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godines\Desktop\NEXT VERSION OF BILL COMPARISON AND 36141\"/>
    </mc:Choice>
  </mc:AlternateContent>
  <bookViews>
    <workbookView xWindow="-60" yWindow="-60" windowWidth="10032" windowHeight="12816"/>
  </bookViews>
  <sheets>
    <sheet name="Oncor" sheetId="1" r:id="rId1"/>
    <sheet name="Centerpoint" sheetId="2" r:id="rId2"/>
    <sheet name="AEP Central" sheetId="4" r:id="rId3"/>
    <sheet name="AEP North" sheetId="6" r:id="rId4"/>
    <sheet name="TNMP" sheetId="5" r:id="rId5"/>
    <sheet name="Sharyland Utilities LP " sheetId="38" r:id="rId6"/>
    <sheet name="Sharyland Utilities LP McAllen" sheetId="40" r:id="rId7"/>
    <sheet name="TOTAL" sheetId="7" r:id="rId8"/>
    <sheet name="Total Chart" sheetId="25" r:id="rId9"/>
    <sheet name="Prim&amp;Trans" sheetId="24" r:id="rId10"/>
    <sheet name="res # of cust" sheetId="8" r:id="rId11"/>
    <sheet name="res MWH" sheetId="15" r:id="rId12"/>
    <sheet name="non-res # of cust" sheetId="13" r:id="rId13"/>
    <sheet name="non-res MWH" sheetId="14" r:id="rId14"/>
    <sheet name="Sheet1" sheetId="35" r:id="rId15"/>
    <sheet name="NOT UPDATED - NON PTB AFF" sheetId="17" r:id="rId16"/>
    <sheet name="NOT UPDATED - SM COM" sheetId="23" r:id="rId17"/>
    <sheet name="Percentage by Class" sheetId="34" r:id="rId18"/>
    <sheet name="Number of Res Cust w a C-REP" sheetId="26" r:id="rId19"/>
    <sheet name="Sheet2" sheetId="28" r:id="rId20"/>
    <sheet name="Sheet3" sheetId="29" r:id="rId21"/>
    <sheet name="Sheet4" sheetId="30" r:id="rId22"/>
    <sheet name="Sheet5" sheetId="31" r:id="rId23"/>
    <sheet name="Sheet6" sheetId="32" r:id="rId24"/>
    <sheet name="Sheet7" sheetId="33" r:id="rId25"/>
  </sheets>
  <externalReferences>
    <externalReference r:id="rId26"/>
  </externalReferences>
  <definedNames>
    <definedName name="_xlnm.Print_Area" localSheetId="3">'AEP North'!$A$1:$BJ$89</definedName>
    <definedName name="_xlnm.Print_Area" localSheetId="15">'NOT UPDATED - NON PTB AFF'!$A$1:$M$35</definedName>
    <definedName name="_xlnm.Print_Titles" localSheetId="1">Centerpoint!$A:$B</definedName>
    <definedName name="_xlnm.Print_Titles" localSheetId="7">TOTAL!$B:$B</definedName>
  </definedNames>
  <calcPr calcId="152511"/>
</workbook>
</file>

<file path=xl/calcChain.xml><?xml version="1.0" encoding="utf-8"?>
<calcChain xmlns="http://schemas.openxmlformats.org/spreadsheetml/2006/main">
  <c r="FQ9" i="26" l="1"/>
  <c r="FR9" i="26"/>
  <c r="FS9" i="26"/>
  <c r="FQ5" i="26"/>
  <c r="FR5" i="26"/>
  <c r="FS5" i="26"/>
  <c r="FQ9" i="14"/>
  <c r="FR9" i="14"/>
  <c r="FS9" i="14"/>
  <c r="FQ8" i="14"/>
  <c r="FR8" i="14"/>
  <c r="FS8" i="14"/>
  <c r="FQ7" i="14"/>
  <c r="FR7" i="14"/>
  <c r="FS7" i="14"/>
  <c r="FQ6" i="14"/>
  <c r="FR6" i="14"/>
  <c r="FS6" i="14"/>
  <c r="FQ5" i="14"/>
  <c r="FR5" i="14"/>
  <c r="FS5" i="14"/>
  <c r="FQ9" i="13"/>
  <c r="FR9" i="13"/>
  <c r="FS9" i="13"/>
  <c r="FQ8" i="13"/>
  <c r="FR8" i="13"/>
  <c r="FS8" i="13"/>
  <c r="FQ7" i="13"/>
  <c r="FR7" i="13"/>
  <c r="FS7" i="13"/>
  <c r="FQ6" i="13"/>
  <c r="FR6" i="13"/>
  <c r="FS6" i="13"/>
  <c r="FQ5" i="13"/>
  <c r="FR5" i="13"/>
  <c r="FS5" i="13"/>
  <c r="FQ9" i="15"/>
  <c r="FR9" i="15"/>
  <c r="FS9" i="15"/>
  <c r="FQ8" i="15"/>
  <c r="FR8" i="15"/>
  <c r="FS8" i="15"/>
  <c r="FQ7" i="15"/>
  <c r="FR7" i="15"/>
  <c r="FS7" i="15"/>
  <c r="FQ6" i="15"/>
  <c r="FR6" i="15"/>
  <c r="FS6" i="15"/>
  <c r="FQ5" i="15"/>
  <c r="FR5" i="15"/>
  <c r="FS5" i="15"/>
  <c r="FQ12" i="8"/>
  <c r="FR12" i="8"/>
  <c r="FS12" i="8"/>
  <c r="FQ9" i="8"/>
  <c r="FR9" i="8"/>
  <c r="FS9" i="8"/>
  <c r="FQ8" i="8"/>
  <c r="FR8" i="8"/>
  <c r="FS8" i="8"/>
  <c r="FQ7" i="8"/>
  <c r="FR7" i="8"/>
  <c r="FS7" i="8"/>
  <c r="FQ6" i="8"/>
  <c r="FR6" i="8"/>
  <c r="FS6" i="8"/>
  <c r="FQ5" i="8"/>
  <c r="FR5" i="8"/>
  <c r="FS5" i="8"/>
  <c r="FR79" i="7"/>
  <c r="FS79" i="7"/>
  <c r="FT79" i="7"/>
  <c r="FR78" i="7"/>
  <c r="FR80" i="7" s="1"/>
  <c r="FR81" i="7" s="1"/>
  <c r="FS78" i="7"/>
  <c r="FT78" i="7"/>
  <c r="FT80" i="7" s="1"/>
  <c r="FR72" i="7"/>
  <c r="FS72" i="7"/>
  <c r="FT72" i="7"/>
  <c r="FR71" i="7"/>
  <c r="FR73" i="7" s="1"/>
  <c r="FR74" i="7" s="1"/>
  <c r="FS71" i="7"/>
  <c r="FS73" i="7" s="1"/>
  <c r="FT71" i="7"/>
  <c r="FT73" i="7" s="1"/>
  <c r="FT74" i="7" s="1"/>
  <c r="FR62" i="7"/>
  <c r="FS62" i="7"/>
  <c r="FT62" i="7"/>
  <c r="FR61" i="7"/>
  <c r="FR63" i="7" s="1"/>
  <c r="FS61" i="7"/>
  <c r="FS63" i="7" s="1"/>
  <c r="FT61" i="7"/>
  <c r="FT63" i="7" s="1"/>
  <c r="FR52" i="7"/>
  <c r="FS52" i="7"/>
  <c r="FT52" i="7"/>
  <c r="FR51" i="7"/>
  <c r="FR53" i="7" s="1"/>
  <c r="FS51" i="7"/>
  <c r="FS53" i="7" s="1"/>
  <c r="FS54" i="7" s="1"/>
  <c r="FT51" i="7"/>
  <c r="FT53" i="7" s="1"/>
  <c r="FT54" i="7" s="1"/>
  <c r="FR32" i="7"/>
  <c r="FS32" i="7"/>
  <c r="FT32" i="7"/>
  <c r="FR31" i="7"/>
  <c r="FR33" i="7" s="1"/>
  <c r="FR34" i="7" s="1"/>
  <c r="FS31" i="7"/>
  <c r="FS33" i="7" s="1"/>
  <c r="FT31" i="7"/>
  <c r="FT33" i="7" s="1"/>
  <c r="FT34" i="7" s="1"/>
  <c r="FR25" i="7"/>
  <c r="FS25" i="7"/>
  <c r="FT25" i="7"/>
  <c r="FS24" i="7"/>
  <c r="FT24" i="7"/>
  <c r="FR24" i="7"/>
  <c r="FS17" i="7"/>
  <c r="FT17" i="7"/>
  <c r="FT16" i="7"/>
  <c r="FT18" i="7" s="1"/>
  <c r="FT19" i="7" s="1"/>
  <c r="FS16" i="7"/>
  <c r="FS18" i="7" s="1"/>
  <c r="FS19" i="7" s="1"/>
  <c r="FR16" i="7"/>
  <c r="FR18" i="7" s="1"/>
  <c r="FR19" i="7" s="1"/>
  <c r="FR17" i="7"/>
  <c r="FR12" i="7"/>
  <c r="FS12" i="7"/>
  <c r="FT12" i="7"/>
  <c r="FR11" i="7"/>
  <c r="FS11" i="7"/>
  <c r="FT11" i="7"/>
  <c r="FR10" i="7"/>
  <c r="FS10" i="7"/>
  <c r="FT10" i="7"/>
  <c r="FR9" i="7"/>
  <c r="FS9" i="7"/>
  <c r="FT9" i="7"/>
  <c r="FR8" i="7"/>
  <c r="FS8" i="7"/>
  <c r="FT8" i="7"/>
  <c r="FR82" i="7" l="1"/>
  <c r="FS20" i="7"/>
  <c r="FR26" i="7"/>
  <c r="FR27" i="7" s="1"/>
  <c r="FT55" i="7"/>
  <c r="FS12" i="15" s="1"/>
  <c r="FT35" i="7"/>
  <c r="FS8" i="26" s="1"/>
  <c r="FS55" i="7"/>
  <c r="FR12" i="15" s="1"/>
  <c r="FS80" i="7"/>
  <c r="FS81" i="7" s="1"/>
  <c r="FR35" i="7"/>
  <c r="FQ8" i="26" s="1"/>
  <c r="FT20" i="7"/>
  <c r="FR6" i="26"/>
  <c r="FR12" i="13"/>
  <c r="FR54" i="7"/>
  <c r="FR55" i="7"/>
  <c r="FQ12" i="15" s="1"/>
  <c r="FR57" i="7"/>
  <c r="FR67" i="7"/>
  <c r="FR64" i="7"/>
  <c r="FT64" i="7"/>
  <c r="FT67" i="7"/>
  <c r="FT65" i="7"/>
  <c r="FS12" i="14" s="1"/>
  <c r="FS64" i="7"/>
  <c r="FS67" i="7"/>
  <c r="FS34" i="7"/>
  <c r="FS35" i="7"/>
  <c r="FR8" i="26" s="1"/>
  <c r="FS65" i="7"/>
  <c r="FR12" i="14" s="1"/>
  <c r="FT81" i="7"/>
  <c r="FT82" i="7"/>
  <c r="FR20" i="7"/>
  <c r="FR65" i="7"/>
  <c r="FQ12" i="14" s="1"/>
  <c r="FS26" i="7"/>
  <c r="FS27" i="7" s="1"/>
  <c r="FS57" i="7"/>
  <c r="FT57" i="7"/>
  <c r="FT26" i="7"/>
  <c r="FT27" i="7" s="1"/>
  <c r="FR75" i="7"/>
  <c r="FQ6" i="24" s="1"/>
  <c r="FS74" i="7"/>
  <c r="FS75" i="7"/>
  <c r="FR6" i="24" s="1"/>
  <c r="FT75" i="7"/>
  <c r="FS6" i="24" s="1"/>
  <c r="FR28" i="7"/>
  <c r="FS80" i="5"/>
  <c r="FT61" i="5"/>
  <c r="FS61" i="5"/>
  <c r="FR61" i="5"/>
  <c r="FS28" i="7" l="1"/>
  <c r="FR5" i="24" s="1"/>
  <c r="FS82" i="7"/>
  <c r="FS6" i="26"/>
  <c r="FS12" i="13"/>
  <c r="FQ6" i="26"/>
  <c r="FQ12" i="13"/>
  <c r="FT28" i="7"/>
  <c r="FS5" i="24" s="1"/>
  <c r="FS7" i="26"/>
  <c r="FQ5" i="24"/>
  <c r="FQ7" i="26"/>
  <c r="FR86" i="5"/>
  <c r="FS86" i="5"/>
  <c r="FT86" i="5"/>
  <c r="FR85" i="5"/>
  <c r="FS85" i="5"/>
  <c r="FT85" i="5"/>
  <c r="FR80" i="5"/>
  <c r="FR81" i="5" s="1"/>
  <c r="FS81" i="5"/>
  <c r="FT80" i="5"/>
  <c r="FT82" i="5" s="1"/>
  <c r="FT72" i="5"/>
  <c r="FS72" i="5"/>
  <c r="FS73" i="5" s="1"/>
  <c r="FS75" i="5" s="1"/>
  <c r="FR72" i="5"/>
  <c r="FR73" i="5"/>
  <c r="FR74" i="5" s="1"/>
  <c r="FT73" i="5"/>
  <c r="FT74" i="5" s="1"/>
  <c r="FQ71" i="5"/>
  <c r="FS71" i="5"/>
  <c r="FT71" i="5"/>
  <c r="FR71" i="5"/>
  <c r="FR63" i="5"/>
  <c r="FR65" i="5" s="1"/>
  <c r="FS63" i="5"/>
  <c r="FS67" i="5" s="1"/>
  <c r="FT63" i="5"/>
  <c r="FT65" i="5" s="1"/>
  <c r="FR53" i="5"/>
  <c r="FS53" i="5"/>
  <c r="FT53" i="5"/>
  <c r="FR7" i="26" l="1"/>
  <c r="FT87" i="5"/>
  <c r="FT89" i="5" s="1"/>
  <c r="FT81" i="5"/>
  <c r="FS87" i="5"/>
  <c r="FS89" i="5" s="1"/>
  <c r="FT64" i="5"/>
  <c r="FR87" i="5"/>
  <c r="FR89" i="5" s="1"/>
  <c r="FR82" i="5"/>
  <c r="FS82" i="5"/>
  <c r="FT75" i="5"/>
  <c r="FS74" i="5"/>
  <c r="FR75" i="5"/>
  <c r="FT67" i="5"/>
  <c r="FS64" i="5"/>
  <c r="FS65" i="5"/>
  <c r="FR67" i="5"/>
  <c r="FR64" i="5"/>
  <c r="FS57" i="5"/>
  <c r="FT57" i="5"/>
  <c r="FS55" i="5"/>
  <c r="FT55" i="5"/>
  <c r="FR54" i="5"/>
  <c r="FS54" i="5"/>
  <c r="FT54" i="5"/>
  <c r="FR57" i="5"/>
  <c r="FS88" i="5" l="1"/>
  <c r="FT88" i="5"/>
  <c r="FR88" i="5"/>
  <c r="FR55" i="5"/>
  <c r="FR40" i="5"/>
  <c r="FR41" i="5" s="1"/>
  <c r="FR39" i="5"/>
  <c r="FR42" i="5" s="1"/>
  <c r="FS39" i="5"/>
  <c r="FT39" i="5"/>
  <c r="FR38" i="5"/>
  <c r="FS38" i="5"/>
  <c r="FS40" i="5" s="1"/>
  <c r="FS41" i="5" s="1"/>
  <c r="FT38" i="5"/>
  <c r="FT40" i="5" s="1"/>
  <c r="FT35" i="5"/>
  <c r="FT34" i="5"/>
  <c r="FT33" i="5"/>
  <c r="FS35" i="5"/>
  <c r="FS34" i="5"/>
  <c r="FS33" i="5"/>
  <c r="FR35" i="5"/>
  <c r="FR34" i="5"/>
  <c r="FR33" i="5"/>
  <c r="FT25" i="5"/>
  <c r="FT26" i="5" s="1"/>
  <c r="FT27" i="5" s="1"/>
  <c r="FS25" i="5"/>
  <c r="FS26" i="5" s="1"/>
  <c r="FS27" i="5" s="1"/>
  <c r="FR25" i="5"/>
  <c r="FR26" i="5"/>
  <c r="FQ26" i="5"/>
  <c r="FQ27" i="5" s="1"/>
  <c r="FR18" i="5"/>
  <c r="FR20" i="5" s="1"/>
  <c r="FS18" i="5"/>
  <c r="FS20" i="5" s="1"/>
  <c r="FT18" i="5"/>
  <c r="FT19" i="5" s="1"/>
  <c r="FS19" i="5"/>
  <c r="FR10" i="5"/>
  <c r="FR11" i="5" s="1"/>
  <c r="FS10" i="5"/>
  <c r="FS11" i="5" s="1"/>
  <c r="FT10" i="5"/>
  <c r="FT11" i="5"/>
  <c r="FT12" i="5"/>
  <c r="FQ10" i="5"/>
  <c r="FQ11" i="5"/>
  <c r="FQ12" i="5"/>
  <c r="FS42" i="5" l="1"/>
  <c r="FT42" i="5"/>
  <c r="FT41" i="5"/>
  <c r="FS28" i="5"/>
  <c r="FR28" i="5"/>
  <c r="FR27" i="5"/>
  <c r="FT28" i="5"/>
  <c r="FQ28" i="5"/>
  <c r="FR19" i="5"/>
  <c r="FT20" i="5"/>
  <c r="FS12" i="5"/>
  <c r="FR12" i="5"/>
  <c r="FR86" i="40"/>
  <c r="FS86" i="40"/>
  <c r="FT86" i="40"/>
  <c r="FR85" i="40"/>
  <c r="FS85" i="40"/>
  <c r="FT85" i="40"/>
  <c r="FR80" i="40"/>
  <c r="FR82" i="40" s="1"/>
  <c r="FS80" i="40"/>
  <c r="FS82" i="40" s="1"/>
  <c r="FT80" i="40"/>
  <c r="FT82" i="40" s="1"/>
  <c r="FT67" i="40"/>
  <c r="FT65" i="40"/>
  <c r="FR63" i="40"/>
  <c r="FR65" i="40" s="1"/>
  <c r="FS63" i="40"/>
  <c r="FT63" i="40"/>
  <c r="FR53" i="40"/>
  <c r="FR55" i="40" s="1"/>
  <c r="FS53" i="40"/>
  <c r="FT53" i="40"/>
  <c r="FR39" i="40"/>
  <c r="FR40" i="40" s="1"/>
  <c r="FR42" i="40" s="1"/>
  <c r="FS39" i="40"/>
  <c r="FT39" i="40"/>
  <c r="FR33" i="40"/>
  <c r="FR35" i="40" s="1"/>
  <c r="FS33" i="40"/>
  <c r="FS35" i="40" s="1"/>
  <c r="FT33" i="40"/>
  <c r="FT35" i="40" s="1"/>
  <c r="FR18" i="40"/>
  <c r="FR20" i="40" s="1"/>
  <c r="FS18" i="40"/>
  <c r="FS20" i="40" s="1"/>
  <c r="FT18" i="40"/>
  <c r="FT20" i="40" s="1"/>
  <c r="FR10" i="40"/>
  <c r="FR12" i="40" s="1"/>
  <c r="FS10" i="40"/>
  <c r="FS12" i="40" s="1"/>
  <c r="FT10" i="40"/>
  <c r="FT12" i="40" s="1"/>
  <c r="FT87" i="38"/>
  <c r="FT88" i="38" s="1"/>
  <c r="FR86" i="38"/>
  <c r="FS86" i="38"/>
  <c r="FS89" i="38" s="1"/>
  <c r="FT86" i="38"/>
  <c r="FT89" i="38" s="1"/>
  <c r="FR85" i="38"/>
  <c r="FR87" i="38" s="1"/>
  <c r="FS85" i="38"/>
  <c r="FS87" i="38" s="1"/>
  <c r="FS88" i="38" s="1"/>
  <c r="FT85" i="38"/>
  <c r="FT82" i="38"/>
  <c r="FT81" i="38"/>
  <c r="FR80" i="38"/>
  <c r="FR81" i="38" s="1"/>
  <c r="FS80" i="38"/>
  <c r="FS81" i="38" s="1"/>
  <c r="FT80" i="38"/>
  <c r="FT72" i="38"/>
  <c r="FS72" i="38"/>
  <c r="FR72" i="38"/>
  <c r="FT73" i="38"/>
  <c r="FT62" i="38"/>
  <c r="FS62" i="38"/>
  <c r="FS65" i="38"/>
  <c r="FR62" i="38"/>
  <c r="FS63" i="38"/>
  <c r="FS67" i="38" s="1"/>
  <c r="FT63" i="38"/>
  <c r="FT67" i="38" s="1"/>
  <c r="FR53" i="38"/>
  <c r="FR57" i="38" s="1"/>
  <c r="FS53" i="38"/>
  <c r="FS55" i="38" s="1"/>
  <c r="FT53" i="38"/>
  <c r="FT57" i="38" s="1"/>
  <c r="FR40" i="38"/>
  <c r="FR39" i="38"/>
  <c r="FR42" i="38" s="1"/>
  <c r="FS39" i="38"/>
  <c r="FT39" i="38"/>
  <c r="FT40" i="38" s="1"/>
  <c r="FT42" i="38" s="1"/>
  <c r="FR33" i="38"/>
  <c r="FR35" i="38" s="1"/>
  <c r="FS33" i="38"/>
  <c r="FT33" i="38"/>
  <c r="FS35" i="38"/>
  <c r="FT35" i="38"/>
  <c r="FQ33" i="38"/>
  <c r="FQ35" i="38" s="1"/>
  <c r="FT25" i="38"/>
  <c r="FT26" i="38" s="1"/>
  <c r="FT28" i="38" s="1"/>
  <c r="FS25" i="38"/>
  <c r="FS26" i="38" s="1"/>
  <c r="FR25" i="38"/>
  <c r="FR26" i="38" s="1"/>
  <c r="FR28" i="38" s="1"/>
  <c r="FT17" i="38"/>
  <c r="FS17" i="38"/>
  <c r="FS18" i="38" s="1"/>
  <c r="FR17" i="38"/>
  <c r="FR18" i="38" s="1"/>
  <c r="FR20" i="38" s="1"/>
  <c r="FT18" i="38"/>
  <c r="FT20" i="38" s="1"/>
  <c r="FR10" i="38"/>
  <c r="FR12" i="38" s="1"/>
  <c r="FS10" i="38"/>
  <c r="FS12" i="38" s="1"/>
  <c r="FT10" i="38"/>
  <c r="FT12" i="38" s="1"/>
  <c r="FS72" i="6"/>
  <c r="FR86" i="6"/>
  <c r="FS86" i="6"/>
  <c r="FT86" i="6"/>
  <c r="FT89" i="6" s="1"/>
  <c r="FR85" i="6"/>
  <c r="FR87" i="6" s="1"/>
  <c r="FS85" i="6"/>
  <c r="FT85" i="6"/>
  <c r="FT87" i="6" s="1"/>
  <c r="FT88" i="6" s="1"/>
  <c r="FR80" i="6"/>
  <c r="FR81" i="6" s="1"/>
  <c r="FS80" i="6"/>
  <c r="FS82" i="6" s="1"/>
  <c r="FT80" i="6"/>
  <c r="FS81" i="6"/>
  <c r="FT81" i="6"/>
  <c r="FT82" i="6"/>
  <c r="FT72" i="6"/>
  <c r="FR72" i="6"/>
  <c r="FR73" i="6"/>
  <c r="FR74" i="6" s="1"/>
  <c r="FT73" i="6"/>
  <c r="FT74" i="6" s="1"/>
  <c r="FT75" i="6"/>
  <c r="FT62" i="6"/>
  <c r="FS62" i="6"/>
  <c r="FR62" i="6"/>
  <c r="FT61" i="6"/>
  <c r="FS61" i="6"/>
  <c r="FR61" i="6"/>
  <c r="FT63" i="6"/>
  <c r="FR63" i="6"/>
  <c r="FR64" i="6" s="1"/>
  <c r="FR53" i="6"/>
  <c r="FR55" i="6" s="1"/>
  <c r="FS53" i="6"/>
  <c r="FS54" i="6" s="1"/>
  <c r="FT53" i="6"/>
  <c r="FT55" i="6" s="1"/>
  <c r="FR38" i="6"/>
  <c r="FS38" i="6"/>
  <c r="FS40" i="6" s="1"/>
  <c r="FT38" i="6"/>
  <c r="FR39" i="6"/>
  <c r="FS39" i="6"/>
  <c r="FT39" i="6"/>
  <c r="FT40" i="6" s="1"/>
  <c r="FT41" i="6" s="1"/>
  <c r="FR40" i="6"/>
  <c r="FR41" i="6" s="1"/>
  <c r="FR33" i="6"/>
  <c r="FR34" i="6" s="1"/>
  <c r="FS33" i="6"/>
  <c r="FS34" i="6" s="1"/>
  <c r="FT33" i="6"/>
  <c r="FT34" i="6" s="1"/>
  <c r="FT35" i="6"/>
  <c r="FT25" i="6"/>
  <c r="FT26" i="6" s="1"/>
  <c r="FS25" i="6"/>
  <c r="FS26" i="6" s="1"/>
  <c r="FR25" i="6"/>
  <c r="FT17" i="6"/>
  <c r="FS17" i="6"/>
  <c r="FR17" i="6"/>
  <c r="FR18" i="6"/>
  <c r="FR19" i="6" s="1"/>
  <c r="FT16" i="6"/>
  <c r="FS16" i="6"/>
  <c r="FR16" i="6"/>
  <c r="FT18" i="6"/>
  <c r="FR10" i="6"/>
  <c r="FR11" i="6" s="1"/>
  <c r="FS10" i="6"/>
  <c r="FS11" i="6" s="1"/>
  <c r="FT10" i="6"/>
  <c r="FT12" i="6" s="1"/>
  <c r="FT11" i="6"/>
  <c r="FR87" i="4"/>
  <c r="FR88" i="4" s="1"/>
  <c r="FR86" i="4"/>
  <c r="FS86" i="4"/>
  <c r="FT86" i="4"/>
  <c r="FT89" i="4" s="1"/>
  <c r="FR85" i="4"/>
  <c r="FS85" i="4"/>
  <c r="FT85" i="4"/>
  <c r="FT87" i="4" s="1"/>
  <c r="FT88" i="4" s="1"/>
  <c r="FR80" i="4"/>
  <c r="FR81" i="4" s="1"/>
  <c r="FS80" i="4"/>
  <c r="FS82" i="4" s="1"/>
  <c r="FT80" i="4"/>
  <c r="FT82" i="4" s="1"/>
  <c r="FT72" i="4"/>
  <c r="FS72" i="4"/>
  <c r="FS73" i="4" s="1"/>
  <c r="FS74" i="4" s="1"/>
  <c r="FR72" i="4"/>
  <c r="FR73" i="4" s="1"/>
  <c r="FT73" i="4"/>
  <c r="FT74" i="4" s="1"/>
  <c r="FT62" i="4"/>
  <c r="FS62" i="4"/>
  <c r="FR62" i="4"/>
  <c r="FT61" i="4"/>
  <c r="FS61" i="4"/>
  <c r="FR61" i="4"/>
  <c r="FR63" i="4" s="1"/>
  <c r="FR53" i="4"/>
  <c r="FR54" i="4" s="1"/>
  <c r="FS53" i="4"/>
  <c r="FS57" i="4" s="1"/>
  <c r="FT53" i="4"/>
  <c r="FT57" i="4" s="1"/>
  <c r="FR57" i="4"/>
  <c r="FT40" i="4"/>
  <c r="FT41" i="4" s="1"/>
  <c r="FR39" i="4"/>
  <c r="FS39" i="4"/>
  <c r="FS42" i="4" s="1"/>
  <c r="FT39" i="4"/>
  <c r="FT42" i="4" s="1"/>
  <c r="FR38" i="4"/>
  <c r="FR40" i="4" s="1"/>
  <c r="FS38" i="4"/>
  <c r="FS40" i="4" s="1"/>
  <c r="FS41" i="4" s="1"/>
  <c r="FT38" i="4"/>
  <c r="FR33" i="4"/>
  <c r="FR34" i="4" s="1"/>
  <c r="FS33" i="4"/>
  <c r="FS35" i="4" s="1"/>
  <c r="FT33" i="4"/>
  <c r="FT34" i="4"/>
  <c r="FT35" i="4"/>
  <c r="FT25" i="4"/>
  <c r="FT26" i="4" s="1"/>
  <c r="FT27" i="4" s="1"/>
  <c r="FS25" i="4"/>
  <c r="FR25" i="4"/>
  <c r="FR26" i="4" s="1"/>
  <c r="FR27" i="4" s="1"/>
  <c r="FT17" i="4"/>
  <c r="FS17" i="4"/>
  <c r="FR17" i="4"/>
  <c r="FT16" i="4"/>
  <c r="FS16" i="4"/>
  <c r="FR16" i="4"/>
  <c r="FS18" i="4"/>
  <c r="FS19" i="4" s="1"/>
  <c r="FT18" i="4"/>
  <c r="FT20" i="4" s="1"/>
  <c r="FR10" i="4"/>
  <c r="FR12" i="4" s="1"/>
  <c r="FS10" i="4"/>
  <c r="FS11" i="4" s="1"/>
  <c r="FT10" i="4"/>
  <c r="FT11" i="4" s="1"/>
  <c r="FS87" i="40" l="1"/>
  <c r="FS88" i="40" s="1"/>
  <c r="FR87" i="40"/>
  <c r="FR88" i="40" s="1"/>
  <c r="FS57" i="40"/>
  <c r="FT87" i="40"/>
  <c r="FT88" i="40" s="1"/>
  <c r="FT57" i="40"/>
  <c r="FR81" i="40"/>
  <c r="FS67" i="40"/>
  <c r="FT40" i="40"/>
  <c r="FT42" i="40" s="1"/>
  <c r="FS40" i="40"/>
  <c r="FS42" i="40" s="1"/>
  <c r="FR88" i="38"/>
  <c r="FR89" i="38"/>
  <c r="FT75" i="38"/>
  <c r="FS40" i="38"/>
  <c r="FS42" i="38" s="1"/>
  <c r="FR88" i="6"/>
  <c r="FR89" i="6"/>
  <c r="FS41" i="6"/>
  <c r="FS42" i="6"/>
  <c r="FR41" i="4"/>
  <c r="FR42" i="4"/>
  <c r="FS81" i="40"/>
  <c r="FT81" i="40"/>
  <c r="FS65" i="40"/>
  <c r="FR67" i="40"/>
  <c r="FT55" i="40"/>
  <c r="FS55" i="40"/>
  <c r="FR57" i="40"/>
  <c r="FS82" i="38"/>
  <c r="FR82" i="38"/>
  <c r="FS75" i="38"/>
  <c r="FS73" i="38"/>
  <c r="FR73" i="38"/>
  <c r="FR75" i="38" s="1"/>
  <c r="FT65" i="38"/>
  <c r="FR65" i="38"/>
  <c r="FR63" i="38"/>
  <c r="FR67" i="38" s="1"/>
  <c r="FT55" i="38"/>
  <c r="FS57" i="38"/>
  <c r="FR55" i="38"/>
  <c r="FS28" i="38"/>
  <c r="FS20" i="38"/>
  <c r="FS87" i="6"/>
  <c r="FS88" i="6" s="1"/>
  <c r="FR82" i="6"/>
  <c r="FR75" i="6"/>
  <c r="FS73" i="6"/>
  <c r="FS74" i="6" s="1"/>
  <c r="FS63" i="6"/>
  <c r="FS67" i="6" s="1"/>
  <c r="FS65" i="6"/>
  <c r="FR67" i="6"/>
  <c r="FT67" i="6"/>
  <c r="FT64" i="6"/>
  <c r="FT65" i="6"/>
  <c r="FR65" i="6"/>
  <c r="FS57" i="6"/>
  <c r="FR54" i="6"/>
  <c r="FR57" i="6"/>
  <c r="FS55" i="6"/>
  <c r="FT54" i="6"/>
  <c r="FT57" i="6"/>
  <c r="FR42" i="6"/>
  <c r="FT42" i="6"/>
  <c r="FS35" i="6"/>
  <c r="FR35" i="6"/>
  <c r="FT28" i="6"/>
  <c r="FT27" i="6"/>
  <c r="FS28" i="6"/>
  <c r="FS27" i="6"/>
  <c r="FR26" i="6"/>
  <c r="FR27" i="6" s="1"/>
  <c r="FS18" i="6"/>
  <c r="FS19" i="6" s="1"/>
  <c r="FT20" i="6"/>
  <c r="FT19" i="6"/>
  <c r="FR20" i="6"/>
  <c r="FR12" i="6"/>
  <c r="FS12" i="6"/>
  <c r="FR89" i="4"/>
  <c r="FS87" i="4"/>
  <c r="FS89" i="4" s="1"/>
  <c r="FT81" i="4"/>
  <c r="FR82" i="4"/>
  <c r="FS81" i="4"/>
  <c r="FR75" i="4"/>
  <c r="FR74" i="4"/>
  <c r="FS75" i="4"/>
  <c r="FT75" i="4"/>
  <c r="FT63" i="4"/>
  <c r="FT67" i="4" s="1"/>
  <c r="FS63" i="4"/>
  <c r="FS67" i="4" s="1"/>
  <c r="FR64" i="4"/>
  <c r="FR67" i="4"/>
  <c r="FT65" i="4"/>
  <c r="FR65" i="4"/>
  <c r="FS65" i="4"/>
  <c r="FR55" i="4"/>
  <c r="FT55" i="4"/>
  <c r="FT54" i="4"/>
  <c r="FS55" i="4"/>
  <c r="FS54" i="4"/>
  <c r="FS34" i="4"/>
  <c r="FR35" i="4"/>
  <c r="FR28" i="4"/>
  <c r="FS26" i="4"/>
  <c r="FS27" i="4" s="1"/>
  <c r="FT28" i="4"/>
  <c r="FT19" i="4"/>
  <c r="FS20" i="4"/>
  <c r="FR18" i="4"/>
  <c r="FR20" i="4" s="1"/>
  <c r="FS12" i="4"/>
  <c r="FR11" i="4"/>
  <c r="FT12" i="4"/>
  <c r="FR85" i="2"/>
  <c r="FS85" i="2"/>
  <c r="FS87" i="2" s="1"/>
  <c r="FT85" i="2"/>
  <c r="FR86" i="2"/>
  <c r="FS86" i="2"/>
  <c r="FT86" i="2"/>
  <c r="FR80" i="2"/>
  <c r="FR81" i="2" s="1"/>
  <c r="FS80" i="2"/>
  <c r="FS81" i="2" s="1"/>
  <c r="FT80" i="2"/>
  <c r="FT81" i="2" s="1"/>
  <c r="FT72" i="2"/>
  <c r="FT73" i="2" s="1"/>
  <c r="FS72" i="2"/>
  <c r="FR72" i="2"/>
  <c r="FT71" i="2"/>
  <c r="FS71" i="2"/>
  <c r="FR71" i="2"/>
  <c r="FT62" i="2"/>
  <c r="FT63" i="2" s="1"/>
  <c r="FT64" i="2" s="1"/>
  <c r="FS62" i="2"/>
  <c r="FR62" i="2"/>
  <c r="FT61" i="2"/>
  <c r="FS61" i="2"/>
  <c r="FR61" i="2"/>
  <c r="FR63" i="2"/>
  <c r="FR53" i="2"/>
  <c r="FR54" i="2" s="1"/>
  <c r="FS53" i="2"/>
  <c r="FS54" i="2" s="1"/>
  <c r="FT53" i="2"/>
  <c r="FT55" i="2" s="1"/>
  <c r="FR57" i="2"/>
  <c r="FR38" i="2"/>
  <c r="FR40" i="2" s="1"/>
  <c r="FR41" i="2" s="1"/>
  <c r="FS38" i="2"/>
  <c r="FT38" i="2"/>
  <c r="FR39" i="2"/>
  <c r="FS39" i="2"/>
  <c r="FT39" i="2"/>
  <c r="FT40" i="2" s="1"/>
  <c r="FS40" i="2"/>
  <c r="FS42" i="2" s="1"/>
  <c r="FR33" i="2"/>
  <c r="FR34" i="2" s="1"/>
  <c r="FS33" i="2"/>
  <c r="FS34" i="2" s="1"/>
  <c r="FT33" i="2"/>
  <c r="FT34" i="2"/>
  <c r="FT35" i="2"/>
  <c r="FT25" i="2"/>
  <c r="FS25" i="2"/>
  <c r="FR25" i="2"/>
  <c r="FT24" i="2"/>
  <c r="FS24" i="2"/>
  <c r="FR24" i="2"/>
  <c r="FT17" i="2"/>
  <c r="FS17" i="2"/>
  <c r="FR17" i="2"/>
  <c r="FT16" i="2"/>
  <c r="FS16" i="2"/>
  <c r="FR16" i="2"/>
  <c r="FR10" i="2"/>
  <c r="FR12" i="2" s="1"/>
  <c r="FS10" i="2"/>
  <c r="FS11" i="2" s="1"/>
  <c r="FT10" i="2"/>
  <c r="FT12" i="2" s="1"/>
  <c r="FT11" i="2"/>
  <c r="FR85" i="1"/>
  <c r="FR85" i="7" s="1"/>
  <c r="FS85" i="1"/>
  <c r="FS85" i="7" s="1"/>
  <c r="FT85" i="1"/>
  <c r="FR86" i="1"/>
  <c r="FR86" i="7" s="1"/>
  <c r="FS86" i="1"/>
  <c r="FS86" i="7" s="1"/>
  <c r="FT86" i="1"/>
  <c r="FR80" i="1"/>
  <c r="FR81" i="1" s="1"/>
  <c r="FS80" i="1"/>
  <c r="FS81" i="1" s="1"/>
  <c r="FT80" i="1"/>
  <c r="FT82" i="1" s="1"/>
  <c r="FT72" i="1"/>
  <c r="FS72" i="1"/>
  <c r="FR72" i="1"/>
  <c r="FR73" i="1" s="1"/>
  <c r="FR74" i="1" s="1"/>
  <c r="FT71" i="1"/>
  <c r="FS71" i="1"/>
  <c r="FR71" i="1"/>
  <c r="FT62" i="1"/>
  <c r="FT63" i="1" s="1"/>
  <c r="FS62" i="1"/>
  <c r="FR62" i="1"/>
  <c r="FT61" i="1"/>
  <c r="FS61" i="1"/>
  <c r="FR61" i="1"/>
  <c r="FR63" i="1" s="1"/>
  <c r="FS63" i="1"/>
  <c r="FS67" i="1" s="1"/>
  <c r="FR53" i="1"/>
  <c r="FR57" i="1" s="1"/>
  <c r="FS53" i="1"/>
  <c r="FS54" i="1" s="1"/>
  <c r="FT53" i="1"/>
  <c r="FT57" i="1" s="1"/>
  <c r="FT54" i="1"/>
  <c r="FT55" i="1"/>
  <c r="FR40" i="1"/>
  <c r="FR39" i="1"/>
  <c r="FR39" i="7" s="1"/>
  <c r="FS39" i="1"/>
  <c r="FS39" i="7" s="1"/>
  <c r="FT39" i="1"/>
  <c r="FT39" i="7" s="1"/>
  <c r="FR38" i="1"/>
  <c r="FR38" i="7" s="1"/>
  <c r="FS38" i="1"/>
  <c r="FS38" i="7" s="1"/>
  <c r="FT38" i="1"/>
  <c r="FT38" i="7" s="1"/>
  <c r="FR33" i="1"/>
  <c r="FR34" i="1" s="1"/>
  <c r="FS33" i="1"/>
  <c r="FS34" i="1" s="1"/>
  <c r="FT33" i="1"/>
  <c r="FT35" i="1" s="1"/>
  <c r="FT34" i="1"/>
  <c r="FT25" i="1"/>
  <c r="FS25" i="1"/>
  <c r="FR25" i="1"/>
  <c r="FT24" i="1"/>
  <c r="FS24" i="1"/>
  <c r="FR24" i="1"/>
  <c r="FR26" i="1"/>
  <c r="FT16" i="1"/>
  <c r="FT17" i="1"/>
  <c r="FS17" i="1"/>
  <c r="FR17" i="1"/>
  <c r="FR18" i="1" s="1"/>
  <c r="FS16" i="1"/>
  <c r="FR16" i="1"/>
  <c r="FR12" i="1"/>
  <c r="FS12" i="1"/>
  <c r="FR10" i="1"/>
  <c r="FR11" i="1" s="1"/>
  <c r="FS10" i="1"/>
  <c r="FS11" i="1" s="1"/>
  <c r="FT10" i="1"/>
  <c r="FT12" i="1" s="1"/>
  <c r="FR89" i="40" l="1"/>
  <c r="FT89" i="40"/>
  <c r="FS89" i="40"/>
  <c r="FS89" i="6"/>
  <c r="FT85" i="7"/>
  <c r="FR87" i="2"/>
  <c r="FR88" i="2" s="1"/>
  <c r="FS87" i="7"/>
  <c r="FS88" i="7" s="1"/>
  <c r="FR40" i="7"/>
  <c r="FR41" i="7" s="1"/>
  <c r="FR87" i="7"/>
  <c r="FR88" i="7" s="1"/>
  <c r="FS87" i="1"/>
  <c r="FS88" i="1" s="1"/>
  <c r="FR87" i="1"/>
  <c r="FR88" i="1" s="1"/>
  <c r="FT87" i="1"/>
  <c r="FT88" i="1" s="1"/>
  <c r="FT86" i="7"/>
  <c r="FR41" i="1"/>
  <c r="FT42" i="1"/>
  <c r="FT40" i="1"/>
  <c r="FR42" i="1"/>
  <c r="FS40" i="1"/>
  <c r="FS75" i="6"/>
  <c r="FS64" i="6"/>
  <c r="FR28" i="6"/>
  <c r="FS20" i="6"/>
  <c r="FS88" i="4"/>
  <c r="FT64" i="4"/>
  <c r="FS64" i="4"/>
  <c r="FS28" i="4"/>
  <c r="FR19" i="4"/>
  <c r="FS88" i="2"/>
  <c r="FS89" i="2"/>
  <c r="FR89" i="2"/>
  <c r="FT87" i="2"/>
  <c r="FT88" i="2" s="1"/>
  <c r="FT82" i="2"/>
  <c r="FS82" i="2"/>
  <c r="FR82" i="2"/>
  <c r="FS73" i="2"/>
  <c r="FS75" i="2" s="1"/>
  <c r="FT75" i="2"/>
  <c r="FT74" i="2"/>
  <c r="FR73" i="2"/>
  <c r="FR74" i="2" s="1"/>
  <c r="FS63" i="2"/>
  <c r="FS67" i="2" s="1"/>
  <c r="FT67" i="2"/>
  <c r="FT65" i="2"/>
  <c r="FR64" i="2"/>
  <c r="FR67" i="2"/>
  <c r="FR65" i="2"/>
  <c r="FT57" i="2"/>
  <c r="FT54" i="2"/>
  <c r="FS57" i="2"/>
  <c r="FS55" i="2"/>
  <c r="FR55" i="2"/>
  <c r="FT41" i="2"/>
  <c r="FT42" i="2"/>
  <c r="FR42" i="2"/>
  <c r="FS41" i="2"/>
  <c r="FS35" i="2"/>
  <c r="FR35" i="2"/>
  <c r="FT26" i="2"/>
  <c r="FT27" i="2" s="1"/>
  <c r="FS26" i="2"/>
  <c r="FS27" i="2" s="1"/>
  <c r="FR26" i="2"/>
  <c r="FR27" i="2" s="1"/>
  <c r="FT18" i="2"/>
  <c r="FT19" i="2" s="1"/>
  <c r="FS18" i="2"/>
  <c r="FS19" i="2" s="1"/>
  <c r="FR18" i="2"/>
  <c r="FR19" i="2" s="1"/>
  <c r="FS12" i="2"/>
  <c r="FR11" i="2"/>
  <c r="FR89" i="1"/>
  <c r="FT89" i="1"/>
  <c r="FT81" i="1"/>
  <c r="FS82" i="1"/>
  <c r="FR82" i="1"/>
  <c r="FT73" i="1"/>
  <c r="FT74" i="1" s="1"/>
  <c r="FS73" i="1"/>
  <c r="FS75" i="1" s="1"/>
  <c r="FR75" i="1"/>
  <c r="FT75" i="1"/>
  <c r="FR64" i="1"/>
  <c r="FR67" i="1"/>
  <c r="FT67" i="1"/>
  <c r="FT65" i="1"/>
  <c r="FT64" i="1"/>
  <c r="FS65" i="1"/>
  <c r="FR65" i="1"/>
  <c r="FS64" i="1"/>
  <c r="FS57" i="1"/>
  <c r="FS55" i="1"/>
  <c r="FR55" i="1"/>
  <c r="FR54" i="1"/>
  <c r="FS35" i="1"/>
  <c r="FR35" i="1"/>
  <c r="FT26" i="1"/>
  <c r="FT28" i="1" s="1"/>
  <c r="FS26" i="1"/>
  <c r="FS27" i="1" s="1"/>
  <c r="FR27" i="1"/>
  <c r="FR28" i="1"/>
  <c r="FS28" i="1"/>
  <c r="FT27" i="1"/>
  <c r="FT18" i="1"/>
  <c r="FT20" i="1" s="1"/>
  <c r="FS18" i="1"/>
  <c r="FS20" i="1" s="1"/>
  <c r="FR20" i="1"/>
  <c r="FR19" i="1"/>
  <c r="FT11" i="1"/>
  <c r="FQ17" i="38"/>
  <c r="FS89" i="7" l="1"/>
  <c r="FS74" i="2"/>
  <c r="FT89" i="2"/>
  <c r="FR42" i="7"/>
  <c r="FS89" i="1"/>
  <c r="FR89" i="7"/>
  <c r="FT87" i="7"/>
  <c r="FT88" i="7" s="1"/>
  <c r="FS40" i="7"/>
  <c r="FS41" i="1"/>
  <c r="FT40" i="7"/>
  <c r="FT41" i="1"/>
  <c r="FS42" i="1"/>
  <c r="FR75" i="2"/>
  <c r="FS65" i="2"/>
  <c r="FS64" i="2"/>
  <c r="FT28" i="2"/>
  <c r="FS28" i="2"/>
  <c r="FR28" i="2"/>
  <c r="FT20" i="2"/>
  <c r="FS20" i="2"/>
  <c r="FR20" i="2"/>
  <c r="FS74" i="1"/>
  <c r="FT19" i="1"/>
  <c r="FS19" i="1"/>
  <c r="FN16" i="7"/>
  <c r="FO16" i="7"/>
  <c r="FP16" i="7"/>
  <c r="FQ16" i="7"/>
  <c r="FM16" i="7"/>
  <c r="FL16" i="7"/>
  <c r="FT89" i="7" l="1"/>
  <c r="FS41" i="7"/>
  <c r="FS42" i="7"/>
  <c r="FT41" i="7"/>
  <c r="FT42" i="7"/>
  <c r="FJ6" i="26"/>
  <c r="FL5" i="26"/>
  <c r="FM5" i="26"/>
  <c r="FN5" i="26"/>
  <c r="FO5" i="26"/>
  <c r="FP5" i="26"/>
  <c r="FK5" i="26"/>
  <c r="FL9" i="7" l="1"/>
  <c r="FM9" i="7"/>
  <c r="FN9" i="7"/>
  <c r="FO9" i="7"/>
  <c r="FP9" i="7"/>
  <c r="FQ9" i="7"/>
  <c r="FM8" i="7"/>
  <c r="FN8" i="7"/>
  <c r="FO8" i="7"/>
  <c r="FP8" i="7"/>
  <c r="FQ8" i="7"/>
  <c r="FL8" i="7"/>
  <c r="FK57" i="7"/>
  <c r="FN79" i="7"/>
  <c r="FM79" i="7"/>
  <c r="FL79" i="7"/>
  <c r="FN78" i="7"/>
  <c r="FM78" i="7"/>
  <c r="FL78" i="7"/>
  <c r="FN72" i="7"/>
  <c r="FM72" i="7"/>
  <c r="FL72" i="7"/>
  <c r="FN71" i="7"/>
  <c r="FM71" i="7"/>
  <c r="FL71" i="7"/>
  <c r="FN62" i="7"/>
  <c r="FM62" i="7"/>
  <c r="FL62" i="7"/>
  <c r="FN61" i="7"/>
  <c r="FM61" i="7"/>
  <c r="FL61" i="7"/>
  <c r="FN52" i="7"/>
  <c r="FM52" i="7"/>
  <c r="FL52" i="7"/>
  <c r="FN51" i="7"/>
  <c r="FM51" i="7"/>
  <c r="FL51" i="7"/>
  <c r="FM32" i="7"/>
  <c r="FN32" i="7"/>
  <c r="FL32" i="7"/>
  <c r="FM31" i="7"/>
  <c r="FN31" i="7"/>
  <c r="FL31" i="7"/>
  <c r="FM25" i="7"/>
  <c r="FN25" i="7"/>
  <c r="FL25" i="7"/>
  <c r="FM24" i="7"/>
  <c r="FN24" i="7"/>
  <c r="FL24" i="7"/>
  <c r="FL17" i="7"/>
  <c r="FM17" i="7"/>
  <c r="FN17" i="7"/>
  <c r="FN9" i="14" l="1"/>
  <c r="FO9" i="14"/>
  <c r="FP9" i="14"/>
  <c r="FN8" i="14"/>
  <c r="FO8" i="14"/>
  <c r="FP8" i="14"/>
  <c r="FN7" i="14"/>
  <c r="FO7" i="14"/>
  <c r="FP7" i="14"/>
  <c r="FN6" i="14"/>
  <c r="FO6" i="14"/>
  <c r="FP6" i="14"/>
  <c r="FN5" i="14"/>
  <c r="FO5" i="14"/>
  <c r="FP5" i="14"/>
  <c r="FN9" i="13"/>
  <c r="FO9" i="13"/>
  <c r="FP9" i="13"/>
  <c r="FN8" i="13"/>
  <c r="FO8" i="13"/>
  <c r="FP8" i="13"/>
  <c r="FN7" i="13"/>
  <c r="FO7" i="13"/>
  <c r="FP7" i="13"/>
  <c r="FN6" i="13"/>
  <c r="FO6" i="13"/>
  <c r="FP6" i="13"/>
  <c r="FN5" i="13"/>
  <c r="FO5" i="13"/>
  <c r="FP5" i="13"/>
  <c r="FN9" i="15"/>
  <c r="FO9" i="15"/>
  <c r="FP9" i="15"/>
  <c r="FN8" i="15"/>
  <c r="FO8" i="15"/>
  <c r="FP8" i="15"/>
  <c r="FN7" i="15"/>
  <c r="FO7" i="15"/>
  <c r="FP7" i="15"/>
  <c r="FN6" i="15"/>
  <c r="FO6" i="15"/>
  <c r="FN5" i="15"/>
  <c r="FO5" i="15"/>
  <c r="FP5" i="15"/>
  <c r="FN9" i="8"/>
  <c r="FO9" i="8"/>
  <c r="FP9" i="8"/>
  <c r="FN8" i="8"/>
  <c r="FO8" i="8"/>
  <c r="FP8" i="8"/>
  <c r="FN7" i="8"/>
  <c r="FO7" i="8"/>
  <c r="FP7" i="8"/>
  <c r="FN6" i="8"/>
  <c r="FO6" i="8"/>
  <c r="FP6" i="8"/>
  <c r="FN5" i="8"/>
  <c r="FO5" i="8"/>
  <c r="FP5" i="8"/>
  <c r="FQ11" i="1" l="1"/>
  <c r="FP79" i="7"/>
  <c r="FQ79" i="7"/>
  <c r="FO79" i="7"/>
  <c r="FP78" i="7"/>
  <c r="FQ78" i="7"/>
  <c r="FQ80" i="7" s="1"/>
  <c r="FQ82" i="7" s="1"/>
  <c r="FO78" i="7"/>
  <c r="FO80" i="7" s="1"/>
  <c r="FP72" i="7"/>
  <c r="FQ72" i="7"/>
  <c r="FO72" i="7"/>
  <c r="FP71" i="7"/>
  <c r="FQ71" i="7"/>
  <c r="FO71" i="7"/>
  <c r="FP62" i="7"/>
  <c r="FQ62" i="7"/>
  <c r="FO62" i="7"/>
  <c r="FP61" i="7"/>
  <c r="FQ61" i="7"/>
  <c r="FQ63" i="7" s="1"/>
  <c r="FO61" i="7"/>
  <c r="FO63" i="7" s="1"/>
  <c r="FP52" i="7"/>
  <c r="FQ52" i="7"/>
  <c r="FO52" i="7"/>
  <c r="FP51" i="7"/>
  <c r="FP53" i="7" s="1"/>
  <c r="FQ51" i="7"/>
  <c r="FO51" i="7"/>
  <c r="FO53" i="7" s="1"/>
  <c r="FP32" i="7"/>
  <c r="FQ32" i="7"/>
  <c r="FP31" i="7"/>
  <c r="FQ31" i="7"/>
  <c r="FO32" i="7"/>
  <c r="FO31" i="7"/>
  <c r="FO33" i="7" s="1"/>
  <c r="FP25" i="7"/>
  <c r="FQ25" i="7"/>
  <c r="FP24" i="7"/>
  <c r="FQ24" i="7"/>
  <c r="FO25" i="7"/>
  <c r="FO24" i="7"/>
  <c r="FP17" i="7"/>
  <c r="FP18" i="7" s="1"/>
  <c r="FQ17" i="7"/>
  <c r="FQ18" i="7" s="1"/>
  <c r="FO17" i="7"/>
  <c r="FO18" i="7" s="1"/>
  <c r="FQ10" i="7"/>
  <c r="FP10" i="7"/>
  <c r="FQ64" i="7" l="1"/>
  <c r="FQ65" i="7"/>
  <c r="FP12" i="14" s="1"/>
  <c r="FO64" i="7"/>
  <c r="FO65" i="7"/>
  <c r="FN12" i="14" s="1"/>
  <c r="FP33" i="7"/>
  <c r="FP55" i="7"/>
  <c r="FO12" i="15" s="1"/>
  <c r="FP63" i="7"/>
  <c r="FP64" i="7" s="1"/>
  <c r="FQ53" i="7"/>
  <c r="FQ54" i="7" s="1"/>
  <c r="FO57" i="7"/>
  <c r="FO55" i="7"/>
  <c r="FN12" i="15" s="1"/>
  <c r="FO54" i="7"/>
  <c r="FP57" i="7"/>
  <c r="FP54" i="7"/>
  <c r="FP80" i="7"/>
  <c r="FP81" i="7" s="1"/>
  <c r="FQ33" i="7"/>
  <c r="FQ35" i="7" s="1"/>
  <c r="FP8" i="26" s="1"/>
  <c r="FO73" i="7"/>
  <c r="FO75" i="7" s="1"/>
  <c r="FN6" i="24" s="1"/>
  <c r="FP73" i="7"/>
  <c r="FP74" i="7" s="1"/>
  <c r="FO35" i="7"/>
  <c r="FN8" i="26" s="1"/>
  <c r="FO34" i="7"/>
  <c r="FP35" i="7"/>
  <c r="FO8" i="26" s="1"/>
  <c r="FP34" i="7"/>
  <c r="FO26" i="7"/>
  <c r="FO27" i="7" s="1"/>
  <c r="FQ57" i="7"/>
  <c r="FQ55" i="7"/>
  <c r="FP12" i="15" s="1"/>
  <c r="FO82" i="7"/>
  <c r="FO81" i="7"/>
  <c r="FQ81" i="7"/>
  <c r="FP12" i="7"/>
  <c r="FP11" i="7"/>
  <c r="FP19" i="7"/>
  <c r="FP20" i="7"/>
  <c r="FO6" i="26" s="1"/>
  <c r="FO9" i="26"/>
  <c r="FO12" i="8"/>
  <c r="FQ67" i="7"/>
  <c r="FQ20" i="7"/>
  <c r="FP6" i="26" s="1"/>
  <c r="FQ19" i="7"/>
  <c r="FQ12" i="7"/>
  <c r="FQ11" i="7"/>
  <c r="FO20" i="7"/>
  <c r="FN6" i="26" s="1"/>
  <c r="FO67" i="7"/>
  <c r="FO19" i="7"/>
  <c r="FQ73" i="7"/>
  <c r="FQ74" i="7" s="1"/>
  <c r="FQ26" i="7"/>
  <c r="FQ27" i="7" s="1"/>
  <c r="FP26" i="7"/>
  <c r="FP27" i="7" s="1"/>
  <c r="FO10" i="7"/>
  <c r="FO86" i="40"/>
  <c r="FP86" i="40"/>
  <c r="FQ86" i="40"/>
  <c r="FO80" i="40"/>
  <c r="FO82" i="40" s="1"/>
  <c r="FP80" i="40"/>
  <c r="FP82" i="40" s="1"/>
  <c r="FQ80" i="40"/>
  <c r="FQ82" i="40" s="1"/>
  <c r="FO63" i="40"/>
  <c r="FO65" i="40" s="1"/>
  <c r="FP63" i="40"/>
  <c r="FP65" i="40" s="1"/>
  <c r="FQ63" i="40"/>
  <c r="FQ65" i="40" s="1"/>
  <c r="FO85" i="40"/>
  <c r="FP85" i="40"/>
  <c r="FP87" i="40" s="1"/>
  <c r="FQ85" i="40"/>
  <c r="FO53" i="40"/>
  <c r="FP53" i="40"/>
  <c r="FP55" i="40" s="1"/>
  <c r="FQ53" i="40"/>
  <c r="FQ55" i="40" s="1"/>
  <c r="FO39" i="40"/>
  <c r="FP39" i="40"/>
  <c r="FQ39" i="40"/>
  <c r="FP33" i="40"/>
  <c r="FP35" i="40" s="1"/>
  <c r="FO33" i="40"/>
  <c r="FO35" i="40" s="1"/>
  <c r="FQ33" i="40"/>
  <c r="FQ35" i="40" s="1"/>
  <c r="FO18" i="40"/>
  <c r="FO20" i="40" s="1"/>
  <c r="FP18" i="40"/>
  <c r="FP20" i="40" s="1"/>
  <c r="FQ18" i="40"/>
  <c r="FQ20" i="40"/>
  <c r="FO10" i="40"/>
  <c r="FO12" i="40" s="1"/>
  <c r="FP10" i="40"/>
  <c r="FP12" i="40" s="1"/>
  <c r="FQ10" i="40"/>
  <c r="FQ57" i="40" s="1"/>
  <c r="FO86" i="38"/>
  <c r="FP86" i="38"/>
  <c r="FQ86" i="38"/>
  <c r="FP85" i="38"/>
  <c r="FQ85" i="38"/>
  <c r="FO85" i="38"/>
  <c r="FO80" i="38"/>
  <c r="FO81" i="38" s="1"/>
  <c r="FP80" i="38"/>
  <c r="FP81" i="38" s="1"/>
  <c r="FQ80" i="38"/>
  <c r="FQ82" i="38" s="1"/>
  <c r="FQ81" i="38"/>
  <c r="FO73" i="38"/>
  <c r="FO75" i="38" s="1"/>
  <c r="FP73" i="38"/>
  <c r="FP75" i="38" s="1"/>
  <c r="FQ73" i="38"/>
  <c r="FQ75" i="38" s="1"/>
  <c r="FQ72" i="38"/>
  <c r="FP72" i="38"/>
  <c r="FO72" i="38"/>
  <c r="FO67" i="38"/>
  <c r="FP67" i="38"/>
  <c r="FQ62" i="38"/>
  <c r="FP62" i="38"/>
  <c r="FO62" i="38"/>
  <c r="FP63" i="38"/>
  <c r="FQ63" i="38"/>
  <c r="FQ65" i="38" s="1"/>
  <c r="FO57" i="38"/>
  <c r="FQ57" i="38"/>
  <c r="FO39" i="38"/>
  <c r="FO40" i="38" s="1"/>
  <c r="FP39" i="38"/>
  <c r="FQ39" i="38"/>
  <c r="FQ40" i="38" s="1"/>
  <c r="FO35" i="38"/>
  <c r="FO33" i="38"/>
  <c r="FP33" i="38"/>
  <c r="FP35" i="38" s="1"/>
  <c r="FQ25" i="38"/>
  <c r="FP25" i="38"/>
  <c r="FO25" i="38"/>
  <c r="FO26" i="38"/>
  <c r="FQ26" i="38"/>
  <c r="FO20" i="38"/>
  <c r="FP20" i="38"/>
  <c r="FO18" i="38"/>
  <c r="FP18" i="38"/>
  <c r="FQ18" i="38"/>
  <c r="FQ67" i="38" s="1"/>
  <c r="FP17" i="38"/>
  <c r="FO17" i="38"/>
  <c r="FO53" i="38"/>
  <c r="FO55" i="38" s="1"/>
  <c r="FP53" i="38"/>
  <c r="FP55" i="38" s="1"/>
  <c r="FQ53" i="38"/>
  <c r="FQ55" i="38"/>
  <c r="FO12" i="38"/>
  <c r="FP12" i="38"/>
  <c r="FQ12" i="38"/>
  <c r="FO10" i="38"/>
  <c r="FP10" i="38"/>
  <c r="FQ10" i="38"/>
  <c r="FO87" i="40" l="1"/>
  <c r="FO88" i="40" s="1"/>
  <c r="FQ87" i="40"/>
  <c r="FQ88" i="40" s="1"/>
  <c r="FO74" i="7"/>
  <c r="FP57" i="40"/>
  <c r="FP82" i="7"/>
  <c r="FP67" i="7"/>
  <c r="FQ12" i="40"/>
  <c r="FO57" i="40"/>
  <c r="FP65" i="7"/>
  <c r="FO12" i="14" s="1"/>
  <c r="FO55" i="40"/>
  <c r="FQ67" i="40"/>
  <c r="FQ34" i="7"/>
  <c r="FP67" i="40"/>
  <c r="FO67" i="40"/>
  <c r="FP75" i="7"/>
  <c r="FO6" i="24" s="1"/>
  <c r="FP87" i="38"/>
  <c r="FP88" i="38" s="1"/>
  <c r="FO87" i="38"/>
  <c r="FO88" i="38" s="1"/>
  <c r="FQ87" i="38"/>
  <c r="FQ88" i="38" s="1"/>
  <c r="FQ28" i="38"/>
  <c r="FO28" i="7"/>
  <c r="FN5" i="24" s="1"/>
  <c r="FQ20" i="38"/>
  <c r="FP89" i="40"/>
  <c r="FP88" i="40"/>
  <c r="FQ89" i="40"/>
  <c r="FO89" i="40"/>
  <c r="FQ40" i="40"/>
  <c r="FQ42" i="40" s="1"/>
  <c r="FP40" i="40"/>
  <c r="FP42" i="40" s="1"/>
  <c r="FO40" i="40"/>
  <c r="FO42" i="40" s="1"/>
  <c r="FQ89" i="38"/>
  <c r="FO42" i="38"/>
  <c r="FO28" i="38"/>
  <c r="FP40" i="38"/>
  <c r="FP42" i="38" s="1"/>
  <c r="FQ42" i="38"/>
  <c r="FQ75" i="7"/>
  <c r="FP6" i="24" s="1"/>
  <c r="FO12" i="13"/>
  <c r="FP9" i="26"/>
  <c r="FP12" i="8"/>
  <c r="FN12" i="13"/>
  <c r="FO12" i="7"/>
  <c r="FP12" i="13"/>
  <c r="FP28" i="7"/>
  <c r="FO7" i="26" s="1"/>
  <c r="FQ28" i="7"/>
  <c r="FP5" i="24" s="1"/>
  <c r="FO11" i="7"/>
  <c r="FP89" i="38"/>
  <c r="FP57" i="38"/>
  <c r="FQ81" i="40"/>
  <c r="FP81" i="40"/>
  <c r="FO81" i="40"/>
  <c r="FP82" i="38"/>
  <c r="FO82" i="38"/>
  <c r="FP65" i="38"/>
  <c r="FO63" i="38"/>
  <c r="FO65" i="38" s="1"/>
  <c r="FP26" i="38"/>
  <c r="FP28" i="38" s="1"/>
  <c r="FP85" i="1"/>
  <c r="FQ85" i="1"/>
  <c r="FQ87" i="1" s="1"/>
  <c r="FQ89" i="1" s="1"/>
  <c r="FP86" i="1"/>
  <c r="FQ86" i="1"/>
  <c r="FO86" i="1"/>
  <c r="FO85" i="1"/>
  <c r="FO80" i="1"/>
  <c r="FO81" i="1" s="1"/>
  <c r="FP80" i="1"/>
  <c r="FP81" i="1" s="1"/>
  <c r="FQ80" i="1"/>
  <c r="FQ81" i="1" s="1"/>
  <c r="FQ72" i="1"/>
  <c r="FP72" i="1"/>
  <c r="FO72" i="1"/>
  <c r="FQ71" i="1"/>
  <c r="FP71" i="1"/>
  <c r="FO71" i="1"/>
  <c r="FP73" i="1"/>
  <c r="FP75" i="1" s="1"/>
  <c r="FQ62" i="1"/>
  <c r="FP62" i="1"/>
  <c r="FP65" i="1" s="1"/>
  <c r="FO62" i="1"/>
  <c r="FQ61" i="1"/>
  <c r="FP61" i="1"/>
  <c r="FO61" i="1"/>
  <c r="FO63" i="1"/>
  <c r="FP63" i="1"/>
  <c r="FQ63" i="1"/>
  <c r="FO53" i="1"/>
  <c r="FO57" i="1" s="1"/>
  <c r="FP53" i="1"/>
  <c r="FP57" i="1" s="1"/>
  <c r="FQ53" i="1"/>
  <c r="FQ55" i="1" s="1"/>
  <c r="FQ54" i="1"/>
  <c r="FO39" i="1"/>
  <c r="FP39" i="1"/>
  <c r="FQ39" i="1"/>
  <c r="FO38" i="1"/>
  <c r="FP38" i="1"/>
  <c r="FQ38" i="1"/>
  <c r="FO33" i="1"/>
  <c r="FO35" i="1" s="1"/>
  <c r="FP33" i="1"/>
  <c r="FP34" i="1" s="1"/>
  <c r="FQ33" i="1"/>
  <c r="FQ35" i="1" s="1"/>
  <c r="FQ34" i="1"/>
  <c r="FQ25" i="1"/>
  <c r="FP25" i="1"/>
  <c r="FO25" i="1"/>
  <c r="FQ24" i="1"/>
  <c r="FP24" i="1"/>
  <c r="FO24" i="1"/>
  <c r="FO26" i="1"/>
  <c r="FO28" i="1" s="1"/>
  <c r="FQ17" i="1"/>
  <c r="FP17" i="1"/>
  <c r="FO17" i="1"/>
  <c r="FQ16" i="1"/>
  <c r="FQ18" i="1" s="1"/>
  <c r="FQ20" i="1" s="1"/>
  <c r="FP16" i="1"/>
  <c r="FO16" i="1"/>
  <c r="FO12" i="1"/>
  <c r="FQ12" i="1"/>
  <c r="FO11" i="1"/>
  <c r="FO10" i="1"/>
  <c r="FP10" i="1"/>
  <c r="FP11" i="1" s="1"/>
  <c r="FQ10" i="1"/>
  <c r="FP87" i="1" l="1"/>
  <c r="FP88" i="1" s="1"/>
  <c r="FO89" i="38"/>
  <c r="FN7" i="26"/>
  <c r="FO5" i="24"/>
  <c r="FP7" i="26"/>
  <c r="FN9" i="26"/>
  <c r="FN12" i="8"/>
  <c r="FO87" i="1"/>
  <c r="FO88" i="1" s="1"/>
  <c r="FP89" i="1"/>
  <c r="FQ88" i="1"/>
  <c r="FQ40" i="1"/>
  <c r="FQ42" i="1" s="1"/>
  <c r="FP40" i="1"/>
  <c r="FO40" i="1"/>
  <c r="FQ82" i="1"/>
  <c r="FP82" i="1"/>
  <c r="FO82" i="1"/>
  <c r="FQ73" i="1"/>
  <c r="FQ75" i="1" s="1"/>
  <c r="FO73" i="1"/>
  <c r="FO74" i="1" s="1"/>
  <c r="FP74" i="1"/>
  <c r="FO65" i="1"/>
  <c r="FO67" i="1"/>
  <c r="FO64" i="1"/>
  <c r="FQ65" i="1"/>
  <c r="FQ67" i="1"/>
  <c r="FQ64" i="1"/>
  <c r="FP64" i="1"/>
  <c r="FP67" i="1"/>
  <c r="FQ57" i="1"/>
  <c r="FP54" i="1"/>
  <c r="FP55" i="1"/>
  <c r="FO54" i="1"/>
  <c r="FO55" i="1"/>
  <c r="FP35" i="1"/>
  <c r="FO34" i="1"/>
  <c r="FQ26" i="1"/>
  <c r="FQ27" i="1" s="1"/>
  <c r="FP26" i="1"/>
  <c r="FP27" i="1" s="1"/>
  <c r="FO27" i="1"/>
  <c r="FP18" i="1"/>
  <c r="FP20" i="1" s="1"/>
  <c r="FQ19" i="1"/>
  <c r="FP19" i="1"/>
  <c r="FO18" i="1"/>
  <c r="FO19" i="1" s="1"/>
  <c r="FP12" i="1"/>
  <c r="FO86" i="5"/>
  <c r="FP86" i="5"/>
  <c r="FQ86" i="5"/>
  <c r="FO80" i="5"/>
  <c r="FO81" i="5" s="1"/>
  <c r="FP80" i="5"/>
  <c r="FP81" i="5" s="1"/>
  <c r="FQ80" i="5"/>
  <c r="FQ82" i="5" s="1"/>
  <c r="FQ81" i="5"/>
  <c r="FP82" i="5"/>
  <c r="FQ72" i="5"/>
  <c r="FP72" i="5"/>
  <c r="FO72" i="5"/>
  <c r="FO73" i="5"/>
  <c r="FO74" i="5" s="1"/>
  <c r="FP73" i="5"/>
  <c r="FP74" i="5" s="1"/>
  <c r="FP67" i="5"/>
  <c r="FQ67" i="5"/>
  <c r="FO63" i="5"/>
  <c r="FO65" i="5" s="1"/>
  <c r="FP63" i="5"/>
  <c r="FP64" i="5" s="1"/>
  <c r="FQ63" i="5"/>
  <c r="FQ65" i="5"/>
  <c r="FQ64" i="5"/>
  <c r="FO57" i="5"/>
  <c r="FP57" i="5"/>
  <c r="FQ57" i="5"/>
  <c r="FO53" i="5"/>
  <c r="FO55" i="5" s="1"/>
  <c r="FP53" i="5"/>
  <c r="FP54" i="5" s="1"/>
  <c r="FQ53" i="5"/>
  <c r="FQ54" i="5" s="1"/>
  <c r="FO85" i="5"/>
  <c r="FP85" i="5"/>
  <c r="FQ85" i="5"/>
  <c r="FM71" i="5"/>
  <c r="FP71" i="5"/>
  <c r="FO71" i="5"/>
  <c r="FQ61" i="5"/>
  <c r="FP61" i="5"/>
  <c r="FO61" i="5"/>
  <c r="FO39" i="5"/>
  <c r="FP39" i="5"/>
  <c r="FQ39" i="5"/>
  <c r="FO35" i="5"/>
  <c r="FP35" i="5"/>
  <c r="FO33" i="5"/>
  <c r="FO34" i="5" s="1"/>
  <c r="FP33" i="5"/>
  <c r="FP34" i="5" s="1"/>
  <c r="FQ33" i="5"/>
  <c r="FQ35" i="5" s="1"/>
  <c r="FO26" i="5"/>
  <c r="FO27" i="5" s="1"/>
  <c r="FP26" i="5"/>
  <c r="FP27" i="5" s="1"/>
  <c r="FQ25" i="5"/>
  <c r="FP25" i="5"/>
  <c r="FO25" i="5"/>
  <c r="FO20" i="5"/>
  <c r="FO19" i="5"/>
  <c r="FP19" i="5"/>
  <c r="FO18" i="5"/>
  <c r="FP18" i="5"/>
  <c r="FP20" i="5" s="1"/>
  <c r="FQ18" i="5"/>
  <c r="FQ20" i="5" s="1"/>
  <c r="FO12" i="5"/>
  <c r="FO11" i="5"/>
  <c r="FP11" i="5"/>
  <c r="FO10" i="5"/>
  <c r="FP10" i="5"/>
  <c r="FP12" i="5" s="1"/>
  <c r="FO38" i="5"/>
  <c r="FP38" i="5"/>
  <c r="FP40" i="5" s="1"/>
  <c r="FP41" i="5" s="1"/>
  <c r="FQ38" i="5"/>
  <c r="FQ16" i="5"/>
  <c r="FP16" i="5"/>
  <c r="FO16" i="5"/>
  <c r="FP75" i="5" l="1"/>
  <c r="FP28" i="5"/>
  <c r="FO28" i="5"/>
  <c r="FQ40" i="5"/>
  <c r="FQ41" i="5" s="1"/>
  <c r="FO40" i="5"/>
  <c r="FO41" i="5" s="1"/>
  <c r="FO75" i="5"/>
  <c r="FQ87" i="5"/>
  <c r="FQ89" i="5" s="1"/>
  <c r="FP87" i="5"/>
  <c r="FP89" i="5" s="1"/>
  <c r="FQ42" i="5"/>
  <c r="FP42" i="5"/>
  <c r="FO89" i="1"/>
  <c r="FQ74" i="1"/>
  <c r="FO41" i="1"/>
  <c r="FP41" i="1"/>
  <c r="FP42" i="1"/>
  <c r="FP28" i="1"/>
  <c r="FO42" i="1"/>
  <c r="FQ28" i="1"/>
  <c r="FQ41" i="1"/>
  <c r="FO75" i="1"/>
  <c r="FO20" i="1"/>
  <c r="FO67" i="5"/>
  <c r="FO87" i="5"/>
  <c r="FO88" i="5" s="1"/>
  <c r="FO82" i="5"/>
  <c r="FQ73" i="5"/>
  <c r="FQ74" i="5" s="1"/>
  <c r="FP65" i="5"/>
  <c r="FO64" i="5"/>
  <c r="FQ55" i="5"/>
  <c r="FP55" i="5"/>
  <c r="FO54" i="5"/>
  <c r="FQ34" i="5"/>
  <c r="FQ19" i="5"/>
  <c r="FO86" i="6"/>
  <c r="FP86" i="6"/>
  <c r="FQ86" i="6"/>
  <c r="FO85" i="6"/>
  <c r="FP85" i="6"/>
  <c r="FQ85" i="6"/>
  <c r="FN85" i="6"/>
  <c r="FO80" i="6"/>
  <c r="FO81" i="6" s="1"/>
  <c r="FP80" i="6"/>
  <c r="FP82" i="6" s="1"/>
  <c r="FQ80" i="6"/>
  <c r="FQ81" i="6" s="1"/>
  <c r="FQ72" i="6"/>
  <c r="FP72" i="6"/>
  <c r="FP73" i="6" s="1"/>
  <c r="FP75" i="6" s="1"/>
  <c r="FO72" i="6"/>
  <c r="FO73" i="6" s="1"/>
  <c r="FO75" i="6" s="1"/>
  <c r="FO67" i="6"/>
  <c r="FP67" i="6"/>
  <c r="FQ67" i="6"/>
  <c r="FQ62" i="6"/>
  <c r="FQ63" i="6" s="1"/>
  <c r="FQ64" i="6" s="1"/>
  <c r="FP62" i="6"/>
  <c r="FP63" i="6" s="1"/>
  <c r="FP65" i="6" s="1"/>
  <c r="FO62" i="6"/>
  <c r="FQ61" i="6"/>
  <c r="FP61" i="6"/>
  <c r="FO61" i="6"/>
  <c r="FO57" i="6"/>
  <c r="FQ57" i="6"/>
  <c r="FO55" i="6"/>
  <c r="FO54" i="6"/>
  <c r="FP54" i="6"/>
  <c r="FO53" i="6"/>
  <c r="FP53" i="6"/>
  <c r="FP55" i="6" s="1"/>
  <c r="FQ53" i="6"/>
  <c r="FQ55" i="6" s="1"/>
  <c r="FO39" i="6"/>
  <c r="FP39" i="6"/>
  <c r="FQ39" i="6"/>
  <c r="FO38" i="6"/>
  <c r="FO40" i="6" s="1"/>
  <c r="FO41" i="6" s="1"/>
  <c r="FP38" i="6"/>
  <c r="FQ38" i="6"/>
  <c r="FO33" i="6"/>
  <c r="FO34" i="6" s="1"/>
  <c r="FP33" i="6"/>
  <c r="FP34" i="6" s="1"/>
  <c r="FQ33" i="6"/>
  <c r="FQ35" i="6" s="1"/>
  <c r="FQ25" i="6"/>
  <c r="FP25" i="6"/>
  <c r="FO25" i="6"/>
  <c r="FO26" i="6"/>
  <c r="FO28" i="6" s="1"/>
  <c r="FP26" i="6"/>
  <c r="FP27" i="6" s="1"/>
  <c r="FQ17" i="6"/>
  <c r="FP17" i="6"/>
  <c r="FP18" i="6" s="1"/>
  <c r="FP19" i="6" s="1"/>
  <c r="FO17" i="6"/>
  <c r="FQ16" i="6"/>
  <c r="FP16" i="6"/>
  <c r="FO16" i="6"/>
  <c r="FO19" i="6" s="1"/>
  <c r="FO18" i="6"/>
  <c r="FO20" i="6" s="1"/>
  <c r="FO12" i="6"/>
  <c r="FP12" i="6"/>
  <c r="FQ12" i="6"/>
  <c r="FO11" i="6"/>
  <c r="FP11" i="6"/>
  <c r="FQ11" i="6"/>
  <c r="FO10" i="6"/>
  <c r="FP10" i="6"/>
  <c r="FQ10" i="6"/>
  <c r="FP88" i="5" l="1"/>
  <c r="FO42" i="5"/>
  <c r="FQ87" i="6"/>
  <c r="FQ88" i="6" s="1"/>
  <c r="FP87" i="6"/>
  <c r="FO87" i="6"/>
  <c r="FO88" i="6" s="1"/>
  <c r="FQ40" i="6"/>
  <c r="FQ41" i="6" s="1"/>
  <c r="FQ88" i="5"/>
  <c r="FO89" i="6"/>
  <c r="FO27" i="6"/>
  <c r="FP40" i="6"/>
  <c r="FP41" i="6" s="1"/>
  <c r="FP89" i="6"/>
  <c r="FP88" i="6"/>
  <c r="FQ42" i="6"/>
  <c r="FO42" i="6"/>
  <c r="FP28" i="6"/>
  <c r="FO89" i="5"/>
  <c r="FQ75" i="5"/>
  <c r="FQ82" i="6"/>
  <c r="FP81" i="6"/>
  <c r="FO82" i="6"/>
  <c r="FQ73" i="6"/>
  <c r="FQ74" i="6" s="1"/>
  <c r="FP74" i="6"/>
  <c r="FO74" i="6"/>
  <c r="FQ65" i="6"/>
  <c r="FP64" i="6"/>
  <c r="FO63" i="6"/>
  <c r="FO65" i="6" s="1"/>
  <c r="FQ54" i="6"/>
  <c r="FP57" i="6"/>
  <c r="FQ34" i="6"/>
  <c r="FP35" i="6"/>
  <c r="FO35" i="6"/>
  <c r="FQ26" i="6"/>
  <c r="FQ27" i="6" s="1"/>
  <c r="FQ18" i="6"/>
  <c r="FQ20" i="6" s="1"/>
  <c r="FP20" i="6"/>
  <c r="FO86" i="4"/>
  <c r="FP86" i="4"/>
  <c r="FP87" i="4" s="1"/>
  <c r="FP88" i="4" s="1"/>
  <c r="FQ86" i="4"/>
  <c r="FQ87" i="4" s="1"/>
  <c r="FQ88" i="4" s="1"/>
  <c r="FO85" i="4"/>
  <c r="FP85" i="4"/>
  <c r="FQ85" i="4"/>
  <c r="FO82" i="4"/>
  <c r="FP82" i="4"/>
  <c r="FQ82" i="4"/>
  <c r="FO81" i="4"/>
  <c r="FP81" i="4"/>
  <c r="FQ81" i="4"/>
  <c r="FO80" i="4"/>
  <c r="FP80" i="4"/>
  <c r="FQ80" i="4"/>
  <c r="FQ72" i="4"/>
  <c r="FP72" i="4"/>
  <c r="FO72" i="4"/>
  <c r="FO73" i="4"/>
  <c r="FO75" i="4" s="1"/>
  <c r="FP73" i="4"/>
  <c r="FP75" i="4" s="1"/>
  <c r="FQ73" i="4"/>
  <c r="FQ75" i="4" s="1"/>
  <c r="FQ62" i="4"/>
  <c r="FP62" i="4"/>
  <c r="FP65" i="4" s="1"/>
  <c r="FO62" i="4"/>
  <c r="FQ61" i="4"/>
  <c r="FP61" i="4"/>
  <c r="FO61" i="4"/>
  <c r="FP63" i="4"/>
  <c r="FP64" i="4" s="1"/>
  <c r="FP57" i="4"/>
  <c r="FQ57" i="4"/>
  <c r="FO53" i="4"/>
  <c r="FO57" i="4" s="1"/>
  <c r="FP53" i="4"/>
  <c r="FP55" i="4" s="1"/>
  <c r="FQ53" i="4"/>
  <c r="FQ55" i="4" s="1"/>
  <c r="FO39" i="4"/>
  <c r="FP39" i="4"/>
  <c r="FQ39" i="4"/>
  <c r="FO38" i="4"/>
  <c r="FO40" i="4" s="1"/>
  <c r="FP38" i="4"/>
  <c r="FQ38" i="4"/>
  <c r="FO34" i="4"/>
  <c r="FP34" i="4"/>
  <c r="FO33" i="4"/>
  <c r="FO35" i="4" s="1"/>
  <c r="FP33" i="4"/>
  <c r="FP35" i="4" s="1"/>
  <c r="FQ33" i="4"/>
  <c r="FQ34" i="4" s="1"/>
  <c r="FQ25" i="4"/>
  <c r="FP25" i="4"/>
  <c r="FO25" i="4"/>
  <c r="FO26" i="4"/>
  <c r="FO27" i="4" s="1"/>
  <c r="FP26" i="4"/>
  <c r="FP27" i="4" s="1"/>
  <c r="FQ26" i="4"/>
  <c r="FQ27" i="4" s="1"/>
  <c r="FO20" i="4"/>
  <c r="FP20" i="4"/>
  <c r="FQ20" i="4"/>
  <c r="FO19" i="4"/>
  <c r="FP19" i="4"/>
  <c r="FQ19" i="4"/>
  <c r="FO18" i="4"/>
  <c r="FP18" i="4"/>
  <c r="FQ18" i="4"/>
  <c r="FQ17" i="4"/>
  <c r="FP17" i="4"/>
  <c r="FO17" i="4"/>
  <c r="FQ16" i="4"/>
  <c r="FP16" i="4"/>
  <c r="FO16" i="4"/>
  <c r="FO12" i="4"/>
  <c r="FP12" i="4"/>
  <c r="FQ12" i="4"/>
  <c r="FO11" i="4"/>
  <c r="FP11" i="4"/>
  <c r="FQ11" i="4"/>
  <c r="FO10" i="4"/>
  <c r="FP10" i="4"/>
  <c r="FQ10" i="4"/>
  <c r="FQ89" i="6" l="1"/>
  <c r="FP42" i="6"/>
  <c r="FO87" i="4"/>
  <c r="FO88" i="4" s="1"/>
  <c r="FQ40" i="4"/>
  <c r="FQ41" i="4" s="1"/>
  <c r="FQ75" i="6"/>
  <c r="FQ28" i="6"/>
  <c r="FQ35" i="4"/>
  <c r="FQ28" i="4"/>
  <c r="FP40" i="4"/>
  <c r="FP41" i="4" s="1"/>
  <c r="FO89" i="4"/>
  <c r="FQ89" i="4"/>
  <c r="FP89" i="4"/>
  <c r="FO41" i="4"/>
  <c r="FO42" i="4"/>
  <c r="FP42" i="4"/>
  <c r="FO28" i="4"/>
  <c r="FO64" i="6"/>
  <c r="FQ19" i="6"/>
  <c r="FQ74" i="4"/>
  <c r="FP74" i="4"/>
  <c r="FO74" i="4"/>
  <c r="FQ63" i="4"/>
  <c r="FQ67" i="4" s="1"/>
  <c r="FP67" i="4"/>
  <c r="FO63" i="4"/>
  <c r="FO67" i="4" s="1"/>
  <c r="FQ65" i="4"/>
  <c r="FO65" i="4"/>
  <c r="FQ54" i="4"/>
  <c r="FP54" i="4"/>
  <c r="FO55" i="4"/>
  <c r="FO54" i="4"/>
  <c r="FP28" i="4"/>
  <c r="FP62" i="2"/>
  <c r="FO86" i="2"/>
  <c r="FO86" i="7" s="1"/>
  <c r="FP86" i="2"/>
  <c r="FQ86" i="2"/>
  <c r="FQ86" i="7" s="1"/>
  <c r="FO85" i="2"/>
  <c r="FO85" i="7" s="1"/>
  <c r="FP85" i="2"/>
  <c r="FP85" i="7" s="1"/>
  <c r="FQ85" i="2"/>
  <c r="FQ85" i="7" s="1"/>
  <c r="FO82" i="2"/>
  <c r="FP82" i="2"/>
  <c r="FQ82" i="2"/>
  <c r="FO81" i="2"/>
  <c r="FP81" i="2"/>
  <c r="FQ81" i="2"/>
  <c r="FO80" i="2"/>
  <c r="FP80" i="2"/>
  <c r="FQ80" i="2"/>
  <c r="FQ72" i="2"/>
  <c r="FQ73" i="2" s="1"/>
  <c r="FP72" i="2"/>
  <c r="FP73" i="2" s="1"/>
  <c r="FP75" i="2" s="1"/>
  <c r="FO72" i="2"/>
  <c r="FQ71" i="2"/>
  <c r="FP71" i="2"/>
  <c r="FO71" i="2"/>
  <c r="FO73" i="2"/>
  <c r="FO75" i="2" s="1"/>
  <c r="FO67" i="2"/>
  <c r="FQ67" i="2"/>
  <c r="FQ62" i="2"/>
  <c r="FQ65" i="2" s="1"/>
  <c r="FO62" i="2"/>
  <c r="FO63" i="2" s="1"/>
  <c r="FO64" i="2" s="1"/>
  <c r="FQ63" i="2"/>
  <c r="FQ64" i="2" s="1"/>
  <c r="FQ61" i="2"/>
  <c r="FP61" i="2"/>
  <c r="FO61" i="2"/>
  <c r="FQ42" i="4" l="1"/>
  <c r="FO87" i="7"/>
  <c r="FO88" i="7" s="1"/>
  <c r="FP87" i="2"/>
  <c r="FP88" i="2" s="1"/>
  <c r="FP86" i="7"/>
  <c r="FP87" i="7" s="1"/>
  <c r="FP88" i="7" s="1"/>
  <c r="FQ87" i="2"/>
  <c r="FQ88" i="2" s="1"/>
  <c r="FO87" i="2"/>
  <c r="FQ87" i="7"/>
  <c r="FQ88" i="7" s="1"/>
  <c r="FQ89" i="2"/>
  <c r="FQ64" i="4"/>
  <c r="FO64" i="4"/>
  <c r="FP89" i="2"/>
  <c r="FQ75" i="2"/>
  <c r="FQ74" i="2"/>
  <c r="FP74" i="2"/>
  <c r="FO74" i="2"/>
  <c r="FP63" i="2"/>
  <c r="FO65" i="2"/>
  <c r="FO57" i="2"/>
  <c r="FP57" i="2"/>
  <c r="FO55" i="2"/>
  <c r="FP55" i="2"/>
  <c r="FP54" i="2"/>
  <c r="FO53" i="2"/>
  <c r="FO54" i="2" s="1"/>
  <c r="FP53" i="2"/>
  <c r="FQ53" i="2"/>
  <c r="FQ57" i="2" s="1"/>
  <c r="FO39" i="2"/>
  <c r="FO39" i="7" s="1"/>
  <c r="FP39" i="2"/>
  <c r="FP39" i="7" s="1"/>
  <c r="FQ39" i="2"/>
  <c r="FQ39" i="7" s="1"/>
  <c r="FO38" i="2"/>
  <c r="FO38" i="7" s="1"/>
  <c r="FP38" i="2"/>
  <c r="FP38" i="7" s="1"/>
  <c r="FQ38" i="2"/>
  <c r="FQ38" i="7" s="1"/>
  <c r="FO35" i="2"/>
  <c r="FP35" i="2"/>
  <c r="FQ35" i="2"/>
  <c r="FO34" i="2"/>
  <c r="FP34" i="2"/>
  <c r="FQ34" i="2"/>
  <c r="FO33" i="2"/>
  <c r="FP33" i="2"/>
  <c r="FQ33" i="2"/>
  <c r="FO26" i="2"/>
  <c r="FO28" i="2" s="1"/>
  <c r="FP26" i="2"/>
  <c r="FP28" i="2" s="1"/>
  <c r="FQ26" i="2"/>
  <c r="FQ27" i="2" s="1"/>
  <c r="FQ25" i="2"/>
  <c r="FP25" i="2"/>
  <c r="FO25" i="2"/>
  <c r="FQ24" i="2"/>
  <c r="FP24" i="2"/>
  <c r="FO24" i="2"/>
  <c r="FO20" i="2"/>
  <c r="FP20" i="2"/>
  <c r="FQ20" i="2"/>
  <c r="FO19" i="2"/>
  <c r="FP19" i="2"/>
  <c r="FQ19" i="2"/>
  <c r="FO18" i="2"/>
  <c r="FP18" i="2"/>
  <c r="FQ18" i="2"/>
  <c r="FQ17" i="2"/>
  <c r="FP17" i="2"/>
  <c r="FO17" i="2"/>
  <c r="FQ16" i="2"/>
  <c r="FP16" i="2"/>
  <c r="FO16" i="2"/>
  <c r="FQ12" i="2"/>
  <c r="FQ11" i="2"/>
  <c r="FQ10" i="2"/>
  <c r="FP10" i="2"/>
  <c r="FP12" i="2" s="1"/>
  <c r="FO12" i="2"/>
  <c r="FO11" i="2"/>
  <c r="FO10" i="2"/>
  <c r="FQ55" i="2" l="1"/>
  <c r="FP6" i="15" s="1"/>
  <c r="FQ54" i="2"/>
  <c r="FQ28" i="2"/>
  <c r="FP27" i="2"/>
  <c r="FO89" i="7"/>
  <c r="FO89" i="2"/>
  <c r="FO88" i="2"/>
  <c r="FP89" i="7"/>
  <c r="FQ89" i="7"/>
  <c r="FO27" i="2"/>
  <c r="FQ40" i="2"/>
  <c r="FQ42" i="2" s="1"/>
  <c r="FO40" i="2"/>
  <c r="FO42" i="2" s="1"/>
  <c r="FP64" i="2"/>
  <c r="FP67" i="2"/>
  <c r="FP65" i="2"/>
  <c r="FP40" i="2"/>
  <c r="FP11" i="2"/>
  <c r="FO40" i="7" l="1"/>
  <c r="FO41" i="2"/>
  <c r="FP41" i="2"/>
  <c r="FP40" i="7"/>
  <c r="FQ40" i="7"/>
  <c r="FQ41" i="2"/>
  <c r="FP42" i="2"/>
  <c r="FK9" i="14"/>
  <c r="FL9" i="14"/>
  <c r="FM9" i="14"/>
  <c r="FK8" i="14"/>
  <c r="FL8" i="14"/>
  <c r="FM8" i="14"/>
  <c r="FK7" i="14"/>
  <c r="FL7" i="14"/>
  <c r="FM7" i="14"/>
  <c r="FK6" i="14"/>
  <c r="FL6" i="14"/>
  <c r="FM6" i="14"/>
  <c r="FK5" i="14"/>
  <c r="FL5" i="14"/>
  <c r="FM5" i="14"/>
  <c r="FK9" i="13"/>
  <c r="FL9" i="13"/>
  <c r="FM9" i="13"/>
  <c r="FK8" i="13"/>
  <c r="FL8" i="13"/>
  <c r="FM8" i="13"/>
  <c r="FK7" i="13"/>
  <c r="FL7" i="13"/>
  <c r="FM7" i="13"/>
  <c r="FK6" i="13"/>
  <c r="FL6" i="13"/>
  <c r="FM6" i="13"/>
  <c r="FK5" i="13"/>
  <c r="FL5" i="13"/>
  <c r="FM5" i="13"/>
  <c r="FK9" i="15"/>
  <c r="FL9" i="15"/>
  <c r="FM9" i="15"/>
  <c r="FK8" i="15"/>
  <c r="FL8" i="15"/>
  <c r="FM8" i="15"/>
  <c r="FK7" i="15"/>
  <c r="FL7" i="15"/>
  <c r="FM7" i="15"/>
  <c r="FK6" i="15"/>
  <c r="FL6" i="15"/>
  <c r="FM6" i="15"/>
  <c r="FK5" i="15"/>
  <c r="FL5" i="15"/>
  <c r="FM5" i="15"/>
  <c r="FK9" i="8"/>
  <c r="FN86" i="40"/>
  <c r="FM86" i="40"/>
  <c r="FL86" i="40"/>
  <c r="FN85" i="40"/>
  <c r="FM85" i="40"/>
  <c r="FL85" i="40"/>
  <c r="FN80" i="40"/>
  <c r="FN82" i="40" s="1"/>
  <c r="FM80" i="40"/>
  <c r="FM81" i="40" s="1"/>
  <c r="FL80" i="40"/>
  <c r="FL82" i="40" s="1"/>
  <c r="FN67" i="40"/>
  <c r="FN63" i="40"/>
  <c r="FN65" i="40" s="1"/>
  <c r="FM63" i="40"/>
  <c r="FL63" i="40"/>
  <c r="FN53" i="40"/>
  <c r="FM53" i="40"/>
  <c r="FL53" i="40"/>
  <c r="FN39" i="40"/>
  <c r="FM39" i="40"/>
  <c r="FL39" i="40"/>
  <c r="FN33" i="40"/>
  <c r="FN35" i="40" s="1"/>
  <c r="FM33" i="40"/>
  <c r="FM35" i="40" s="1"/>
  <c r="FL33" i="40"/>
  <c r="FL35" i="40" s="1"/>
  <c r="FN18" i="40"/>
  <c r="FN20" i="40" s="1"/>
  <c r="FM18" i="40"/>
  <c r="FM20" i="40" s="1"/>
  <c r="FL18" i="40"/>
  <c r="FL20" i="40" s="1"/>
  <c r="FN10" i="40"/>
  <c r="FN12" i="40" s="1"/>
  <c r="FM10" i="40"/>
  <c r="FM12" i="40" s="1"/>
  <c r="FL10" i="40"/>
  <c r="FL12" i="40" s="1"/>
  <c r="FN72" i="6"/>
  <c r="FN86" i="6" s="1"/>
  <c r="FM72" i="6"/>
  <c r="FM86" i="6" s="1"/>
  <c r="FL72" i="6"/>
  <c r="FL73" i="6" s="1"/>
  <c r="FL75" i="6" s="1"/>
  <c r="FL85" i="6"/>
  <c r="FM85" i="6"/>
  <c r="FL80" i="6"/>
  <c r="FL82" i="6" s="1"/>
  <c r="FM80" i="6"/>
  <c r="FN80" i="6"/>
  <c r="FN81" i="6" s="1"/>
  <c r="FM81" i="6"/>
  <c r="FM82" i="6"/>
  <c r="FN82" i="6"/>
  <c r="FN62" i="6"/>
  <c r="FM62" i="6"/>
  <c r="FL62" i="6"/>
  <c r="FN61" i="6"/>
  <c r="FM61" i="6"/>
  <c r="FL61" i="6"/>
  <c r="FL63" i="6" s="1"/>
  <c r="FM63" i="6"/>
  <c r="FM64" i="6" s="1"/>
  <c r="FL57" i="6"/>
  <c r="FM57" i="6"/>
  <c r="FN57" i="6"/>
  <c r="FL53" i="6"/>
  <c r="FL54" i="6" s="1"/>
  <c r="FM53" i="6"/>
  <c r="FM54" i="6" s="1"/>
  <c r="FN53" i="6"/>
  <c r="FN55" i="6" s="1"/>
  <c r="FN54" i="6"/>
  <c r="FM17" i="6"/>
  <c r="FL38" i="6"/>
  <c r="FM38" i="6"/>
  <c r="FN38" i="6"/>
  <c r="FL39" i="6"/>
  <c r="FM39" i="6"/>
  <c r="FN39" i="6"/>
  <c r="FL33" i="6"/>
  <c r="FL34" i="6" s="1"/>
  <c r="FM33" i="6"/>
  <c r="FM34" i="6" s="1"/>
  <c r="FN33" i="6"/>
  <c r="FN34" i="6" s="1"/>
  <c r="FN25" i="6"/>
  <c r="FM25" i="6"/>
  <c r="FL25" i="6"/>
  <c r="FL26" i="6" s="1"/>
  <c r="FL27" i="6" s="1"/>
  <c r="FM26" i="6"/>
  <c r="FM27" i="6" s="1"/>
  <c r="FN26" i="6"/>
  <c r="FN28" i="6" s="1"/>
  <c r="FN17" i="6"/>
  <c r="FL17" i="6"/>
  <c r="FN16" i="6"/>
  <c r="FM16" i="6"/>
  <c r="FL16" i="6"/>
  <c r="FL18" i="6" s="1"/>
  <c r="FL20" i="6" s="1"/>
  <c r="FL12" i="6"/>
  <c r="FM12" i="6"/>
  <c r="FN12" i="6"/>
  <c r="FL11" i="6"/>
  <c r="FM11" i="6"/>
  <c r="FN11" i="6"/>
  <c r="FL10" i="6"/>
  <c r="FM10" i="6"/>
  <c r="FN10" i="6"/>
  <c r="FN57" i="40" l="1"/>
  <c r="FL57" i="40"/>
  <c r="FM57" i="40"/>
  <c r="FL55" i="40"/>
  <c r="FN81" i="40"/>
  <c r="FL67" i="40"/>
  <c r="FM67" i="40"/>
  <c r="FM28" i="6"/>
  <c r="FM82" i="40"/>
  <c r="FL87" i="40"/>
  <c r="FL89" i="40" s="1"/>
  <c r="FN87" i="40"/>
  <c r="FN88" i="40" s="1"/>
  <c r="FQ42" i="7"/>
  <c r="FQ41" i="7"/>
  <c r="FP42" i="7"/>
  <c r="FP41" i="7"/>
  <c r="FO41" i="7"/>
  <c r="FO42" i="7"/>
  <c r="FL40" i="6"/>
  <c r="FL41" i="6" s="1"/>
  <c r="FM87" i="40"/>
  <c r="FM88" i="40" s="1"/>
  <c r="FL42" i="6"/>
  <c r="FM55" i="40"/>
  <c r="FL65" i="40"/>
  <c r="FN55" i="40"/>
  <c r="FM65" i="40"/>
  <c r="FL81" i="40"/>
  <c r="FL40" i="40"/>
  <c r="FL42" i="40" s="1"/>
  <c r="FM40" i="40"/>
  <c r="FM42" i="40" s="1"/>
  <c r="FN40" i="40"/>
  <c r="FN42" i="40" s="1"/>
  <c r="FN73" i="6"/>
  <c r="FN74" i="6" s="1"/>
  <c r="FM73" i="6"/>
  <c r="FM74" i="6" s="1"/>
  <c r="FL86" i="6"/>
  <c r="FN87" i="6"/>
  <c r="FN88" i="6" s="1"/>
  <c r="FL74" i="6"/>
  <c r="FM87" i="6"/>
  <c r="FM88" i="6" s="1"/>
  <c r="FL81" i="6"/>
  <c r="FN63" i="6"/>
  <c r="FN67" i="6" s="1"/>
  <c r="FM67" i="6"/>
  <c r="FM65" i="6"/>
  <c r="FL64" i="6"/>
  <c r="FL65" i="6"/>
  <c r="FL67" i="6"/>
  <c r="FM55" i="6"/>
  <c r="FL55" i="6"/>
  <c r="FN40" i="6"/>
  <c r="FN42" i="6" s="1"/>
  <c r="FM40" i="6"/>
  <c r="FM41" i="6" s="1"/>
  <c r="FN35" i="6"/>
  <c r="FM35" i="6"/>
  <c r="FL35" i="6"/>
  <c r="FN27" i="6"/>
  <c r="FL28" i="6"/>
  <c r="FM18" i="6"/>
  <c r="FM20" i="6" s="1"/>
  <c r="FN19" i="6"/>
  <c r="FN18" i="6"/>
  <c r="FN20" i="6" s="1"/>
  <c r="FL19" i="6"/>
  <c r="FL72" i="4"/>
  <c r="FL73" i="4" s="1"/>
  <c r="FL75" i="4" s="1"/>
  <c r="FN72" i="4"/>
  <c r="FN73" i="4" s="1"/>
  <c r="FN74" i="4" s="1"/>
  <c r="FM72" i="4"/>
  <c r="FM73" i="4"/>
  <c r="FM75" i="4" s="1"/>
  <c r="FN62" i="4"/>
  <c r="FN63" i="4" s="1"/>
  <c r="FN65" i="4" s="1"/>
  <c r="FM62" i="4"/>
  <c r="FM63" i="4" s="1"/>
  <c r="FM64" i="4" s="1"/>
  <c r="FL62" i="4"/>
  <c r="FN61" i="4"/>
  <c r="FM61" i="4"/>
  <c r="FL61" i="4"/>
  <c r="FL86" i="4"/>
  <c r="FL57" i="4"/>
  <c r="FM57" i="4"/>
  <c r="FN57" i="4"/>
  <c r="FL85" i="4"/>
  <c r="FM85" i="4"/>
  <c r="FN85" i="4"/>
  <c r="FM86" i="4"/>
  <c r="FN86" i="4"/>
  <c r="FL80" i="4"/>
  <c r="FL81" i="4" s="1"/>
  <c r="FM80" i="4"/>
  <c r="FM81" i="4" s="1"/>
  <c r="FN80" i="4"/>
  <c r="FN81" i="4" s="1"/>
  <c r="FL53" i="4"/>
  <c r="FL55" i="4" s="1"/>
  <c r="FM53" i="4"/>
  <c r="FM55" i="4" s="1"/>
  <c r="FN53" i="4"/>
  <c r="FN54" i="4" s="1"/>
  <c r="FL54" i="4"/>
  <c r="FM54" i="4"/>
  <c r="FL39" i="4"/>
  <c r="FM39" i="4"/>
  <c r="FN39" i="4"/>
  <c r="FL38" i="4"/>
  <c r="FM38" i="4"/>
  <c r="FM40" i="4" s="1"/>
  <c r="FM41" i="4" s="1"/>
  <c r="FN38" i="4"/>
  <c r="FL33" i="4"/>
  <c r="FL34" i="4" s="1"/>
  <c r="FM33" i="4"/>
  <c r="FM34" i="4" s="1"/>
  <c r="FN33" i="4"/>
  <c r="FN35" i="4" s="1"/>
  <c r="FN25" i="4"/>
  <c r="FN26" i="4" s="1"/>
  <c r="FN27" i="4" s="1"/>
  <c r="FM25" i="4"/>
  <c r="FM26" i="4" s="1"/>
  <c r="FM27" i="4" s="1"/>
  <c r="FL25" i="4"/>
  <c r="FL26" i="4"/>
  <c r="FL27" i="4" s="1"/>
  <c r="FN17" i="4"/>
  <c r="FM17" i="4"/>
  <c r="FL17" i="4"/>
  <c r="FN16" i="4"/>
  <c r="FM16" i="4"/>
  <c r="FL16" i="4"/>
  <c r="FM35" i="4" l="1"/>
  <c r="FL88" i="40"/>
  <c r="FN89" i="40"/>
  <c r="FN41" i="6"/>
  <c r="FM74" i="4"/>
  <c r="FL28" i="4"/>
  <c r="FM89" i="40"/>
  <c r="FM42" i="6"/>
  <c r="FM42" i="4"/>
  <c r="FN40" i="4"/>
  <c r="FN41" i="4" s="1"/>
  <c r="FL40" i="4"/>
  <c r="FL42" i="4" s="1"/>
  <c r="FN75" i="6"/>
  <c r="FM89" i="6"/>
  <c r="FM75" i="6"/>
  <c r="FL87" i="6"/>
  <c r="FL88" i="6" s="1"/>
  <c r="FN89" i="6"/>
  <c r="FN64" i="6"/>
  <c r="FN65" i="6"/>
  <c r="FM19" i="6"/>
  <c r="FL74" i="4"/>
  <c r="FN75" i="4"/>
  <c r="FN82" i="4"/>
  <c r="FM82" i="4"/>
  <c r="FL63" i="4"/>
  <c r="FL67" i="4" s="1"/>
  <c r="FL87" i="4"/>
  <c r="FL88" i="4" s="1"/>
  <c r="FM65" i="4"/>
  <c r="FM67" i="4"/>
  <c r="FN64" i="4"/>
  <c r="FN67" i="4"/>
  <c r="FM87" i="4"/>
  <c r="FM88" i="4" s="1"/>
  <c r="FN87" i="4"/>
  <c r="FN88" i="4" s="1"/>
  <c r="FL82" i="4"/>
  <c r="FN55" i="4"/>
  <c r="FL41" i="4"/>
  <c r="FN34" i="4"/>
  <c r="FL35" i="4"/>
  <c r="FN28" i="4"/>
  <c r="FM28" i="4"/>
  <c r="FN85" i="38"/>
  <c r="FN87" i="38" s="1"/>
  <c r="FN88" i="38" s="1"/>
  <c r="FM85" i="38"/>
  <c r="FL85" i="38"/>
  <c r="FL81" i="38"/>
  <c r="FN80" i="38"/>
  <c r="FN81" i="38" s="1"/>
  <c r="FM80" i="38"/>
  <c r="FM82" i="38" s="1"/>
  <c r="FL80" i="38"/>
  <c r="FL82" i="38" s="1"/>
  <c r="FM73" i="38"/>
  <c r="FL73" i="38"/>
  <c r="FL75" i="38" s="1"/>
  <c r="FN72" i="38"/>
  <c r="FM72" i="38"/>
  <c r="FN63" i="38"/>
  <c r="FN67" i="38" s="1"/>
  <c r="FN62" i="38"/>
  <c r="FN86" i="38" s="1"/>
  <c r="FM62" i="38"/>
  <c r="FM86" i="38" s="1"/>
  <c r="FL62" i="38"/>
  <c r="FL63" i="38" s="1"/>
  <c r="FL67" i="38" s="1"/>
  <c r="FN57" i="38"/>
  <c r="FL57" i="38"/>
  <c r="FN53" i="38"/>
  <c r="FN55" i="38" s="1"/>
  <c r="FM53" i="38"/>
  <c r="FM55" i="38" s="1"/>
  <c r="FL53" i="38"/>
  <c r="FL55" i="38" s="1"/>
  <c r="FM39" i="38"/>
  <c r="FM40" i="38" s="1"/>
  <c r="FM42" i="38" s="1"/>
  <c r="FN35" i="38"/>
  <c r="FN33" i="38"/>
  <c r="FM33" i="38"/>
  <c r="FM35" i="38" s="1"/>
  <c r="FL33" i="38"/>
  <c r="FL35" i="38" s="1"/>
  <c r="FN26" i="38"/>
  <c r="FN28" i="38" s="1"/>
  <c r="FL26" i="38"/>
  <c r="FL28" i="38" s="1"/>
  <c r="FM25" i="38"/>
  <c r="FM26" i="38" s="1"/>
  <c r="FN18" i="38"/>
  <c r="FN20" i="38" s="1"/>
  <c r="FN17" i="38"/>
  <c r="FN39" i="38" s="1"/>
  <c r="FM17" i="38"/>
  <c r="FM18" i="38" s="1"/>
  <c r="FM20" i="38" s="1"/>
  <c r="FL17" i="38"/>
  <c r="FL18" i="38" s="1"/>
  <c r="FN12" i="38"/>
  <c r="FL12" i="38"/>
  <c r="FN10" i="38"/>
  <c r="FM10" i="38"/>
  <c r="FM12" i="38" s="1"/>
  <c r="FL10" i="38"/>
  <c r="FM75" i="38" l="1"/>
  <c r="FN42" i="4"/>
  <c r="FL89" i="6"/>
  <c r="FL89" i="4"/>
  <c r="FL65" i="4"/>
  <c r="FL64" i="4"/>
  <c r="FM89" i="4"/>
  <c r="FN89" i="4"/>
  <c r="FN89" i="38"/>
  <c r="FN40" i="38"/>
  <c r="FN42" i="38" s="1"/>
  <c r="FM87" i="38"/>
  <c r="FM88" i="38" s="1"/>
  <c r="FM63" i="38"/>
  <c r="FN82" i="38"/>
  <c r="FL20" i="38"/>
  <c r="FM28" i="38"/>
  <c r="FL39" i="38"/>
  <c r="FM57" i="38"/>
  <c r="FL65" i="38"/>
  <c r="FN65" i="38"/>
  <c r="FN73" i="38"/>
  <c r="FN75" i="38" s="1"/>
  <c r="FM81" i="38"/>
  <c r="FL86" i="38"/>
  <c r="FL87" i="38" s="1"/>
  <c r="FL88" i="38" s="1"/>
  <c r="FN61" i="5"/>
  <c r="FN63" i="5" s="1"/>
  <c r="FL86" i="5"/>
  <c r="FM86" i="5"/>
  <c r="FN86" i="5"/>
  <c r="FL85" i="5"/>
  <c r="FM85" i="5"/>
  <c r="FN80" i="5"/>
  <c r="FN81" i="5" s="1"/>
  <c r="FM80" i="5"/>
  <c r="FM81" i="5" s="1"/>
  <c r="FL80" i="5"/>
  <c r="FL82" i="5" s="1"/>
  <c r="FL81" i="5"/>
  <c r="FN72" i="5"/>
  <c r="FN73" i="5" s="1"/>
  <c r="FM72" i="5"/>
  <c r="FL72" i="5"/>
  <c r="FL73" i="5" s="1"/>
  <c r="FL71" i="5"/>
  <c r="FN71" i="5"/>
  <c r="FL67" i="5"/>
  <c r="FM67" i="5"/>
  <c r="FM61" i="5"/>
  <c r="FM63" i="5" s="1"/>
  <c r="FM64" i="5" s="1"/>
  <c r="FL61" i="5"/>
  <c r="FL63" i="5"/>
  <c r="FL64" i="5" s="1"/>
  <c r="FL57" i="5"/>
  <c r="FM57" i="5"/>
  <c r="FN57" i="5"/>
  <c r="FL53" i="5"/>
  <c r="FL55" i="5" s="1"/>
  <c r="FM53" i="5"/>
  <c r="FN53" i="5"/>
  <c r="FN55" i="5" s="1"/>
  <c r="FM54" i="5"/>
  <c r="FM55" i="5"/>
  <c r="FL39" i="5"/>
  <c r="FM39" i="5"/>
  <c r="FN39" i="5"/>
  <c r="FL38" i="5"/>
  <c r="FM38" i="5"/>
  <c r="FN38" i="5"/>
  <c r="FL33" i="5"/>
  <c r="FL35" i="5" s="1"/>
  <c r="FM33" i="5"/>
  <c r="FM34" i="5" s="1"/>
  <c r="FN33" i="5"/>
  <c r="FN34" i="5"/>
  <c r="FN35" i="5"/>
  <c r="FN25" i="5"/>
  <c r="FN26" i="5" s="1"/>
  <c r="FN27" i="5" s="1"/>
  <c r="FM25" i="5"/>
  <c r="FM26" i="5" s="1"/>
  <c r="FM27" i="5" s="1"/>
  <c r="FL25" i="5"/>
  <c r="FL26" i="5"/>
  <c r="FL27" i="5" s="1"/>
  <c r="FN16" i="5"/>
  <c r="FM16" i="5"/>
  <c r="FL16" i="5"/>
  <c r="FL18" i="5" s="1"/>
  <c r="FL20" i="5" s="1"/>
  <c r="FN18" i="5"/>
  <c r="FN19" i="5" s="1"/>
  <c r="FL12" i="5"/>
  <c r="FL11" i="5"/>
  <c r="FL10" i="5"/>
  <c r="FM10" i="5"/>
  <c r="FM12" i="5" s="1"/>
  <c r="FN10" i="5"/>
  <c r="FN12" i="5" s="1"/>
  <c r="FN40" i="5" l="1"/>
  <c r="FN41" i="5" s="1"/>
  <c r="FM87" i="5"/>
  <c r="FM88" i="5" s="1"/>
  <c r="FM40" i="5"/>
  <c r="FM41" i="5" s="1"/>
  <c r="FL40" i="5"/>
  <c r="FL41" i="5" s="1"/>
  <c r="FL87" i="5"/>
  <c r="FL88" i="5" s="1"/>
  <c r="FL40" i="38"/>
  <c r="FL42" i="38" s="1"/>
  <c r="FM65" i="38"/>
  <c r="FM67" i="38"/>
  <c r="FL89" i="38"/>
  <c r="FM89" i="38"/>
  <c r="FN65" i="5"/>
  <c r="FN67" i="5"/>
  <c r="FN85" i="5"/>
  <c r="FN82" i="5"/>
  <c r="FM82" i="5"/>
  <c r="FN75" i="5"/>
  <c r="FN74" i="5"/>
  <c r="FL75" i="5"/>
  <c r="FL74" i="5"/>
  <c r="FM73" i="5"/>
  <c r="FM74" i="5" s="1"/>
  <c r="FN64" i="5"/>
  <c r="FM65" i="5"/>
  <c r="FL65" i="5"/>
  <c r="FN54" i="5"/>
  <c r="FL54" i="5"/>
  <c r="FM35" i="5"/>
  <c r="FL34" i="5"/>
  <c r="FN28" i="5"/>
  <c r="FM28" i="5"/>
  <c r="FL28" i="5"/>
  <c r="FN20" i="5"/>
  <c r="FM18" i="5"/>
  <c r="FM20" i="5" s="1"/>
  <c r="FL19" i="5"/>
  <c r="FN11" i="5"/>
  <c r="FM11" i="5"/>
  <c r="FL18" i="4"/>
  <c r="FL20" i="4" s="1"/>
  <c r="FN18" i="4"/>
  <c r="FN19" i="4" s="1"/>
  <c r="FL10" i="4"/>
  <c r="FL11" i="4" s="1"/>
  <c r="FM10" i="4"/>
  <c r="FM11" i="4" s="1"/>
  <c r="FN10" i="4"/>
  <c r="FN12" i="4" s="1"/>
  <c r="FN42" i="5" l="1"/>
  <c r="FM89" i="5"/>
  <c r="FL42" i="5"/>
  <c r="FM42" i="5"/>
  <c r="FL89" i="5"/>
  <c r="FN20" i="4"/>
  <c r="FN11" i="4"/>
  <c r="FM12" i="4"/>
  <c r="FL12" i="4"/>
  <c r="FN87" i="5"/>
  <c r="FN89" i="5" s="1"/>
  <c r="FM75" i="5"/>
  <c r="FM19" i="5"/>
  <c r="FM18" i="4"/>
  <c r="FM20" i="4" s="1"/>
  <c r="FL19" i="4"/>
  <c r="FM61" i="2"/>
  <c r="FL86" i="2"/>
  <c r="FM86" i="2"/>
  <c r="FN86" i="2"/>
  <c r="FL85" i="2"/>
  <c r="FM85" i="2"/>
  <c r="FN85" i="2"/>
  <c r="FN72" i="2"/>
  <c r="FM72" i="2"/>
  <c r="FL72" i="2"/>
  <c r="FM82" i="2"/>
  <c r="FN82" i="2"/>
  <c r="FL81" i="2"/>
  <c r="FM81" i="2"/>
  <c r="FN81" i="2"/>
  <c r="FL80" i="2"/>
  <c r="FL82" i="2" s="1"/>
  <c r="FM80" i="2"/>
  <c r="FN80" i="2"/>
  <c r="FN71" i="2"/>
  <c r="FM71" i="2"/>
  <c r="FL71" i="2"/>
  <c r="FM73" i="2"/>
  <c r="FM75" i="2" s="1"/>
  <c r="FL67" i="2"/>
  <c r="FM67" i="2"/>
  <c r="FN67" i="2"/>
  <c r="FL65" i="2"/>
  <c r="FM65" i="2"/>
  <c r="FN65" i="2"/>
  <c r="FL64" i="2"/>
  <c r="FM64" i="2"/>
  <c r="FN64" i="2"/>
  <c r="FL63" i="2"/>
  <c r="FM63" i="2"/>
  <c r="FN63" i="2"/>
  <c r="FN61" i="2"/>
  <c r="FL61" i="2"/>
  <c r="FN62" i="2"/>
  <c r="FM62" i="2"/>
  <c r="FL62" i="2"/>
  <c r="FL57" i="2"/>
  <c r="FM57" i="2"/>
  <c r="FN57" i="2"/>
  <c r="FN55" i="2"/>
  <c r="FL53" i="2"/>
  <c r="FL54" i="2" s="1"/>
  <c r="FM53" i="2"/>
  <c r="FM54" i="2" s="1"/>
  <c r="FN53" i="2"/>
  <c r="FN54" i="2" s="1"/>
  <c r="FL39" i="2"/>
  <c r="FM39" i="2"/>
  <c r="FN39" i="2"/>
  <c r="FL38" i="2"/>
  <c r="FL40" i="2" s="1"/>
  <c r="FL41" i="2" s="1"/>
  <c r="FM38" i="2"/>
  <c r="FM40" i="2" s="1"/>
  <c r="FN38" i="2"/>
  <c r="FL35" i="2"/>
  <c r="FM35" i="2"/>
  <c r="FN35" i="2"/>
  <c r="FL34" i="2"/>
  <c r="FM34" i="2"/>
  <c r="FN34" i="2"/>
  <c r="FL33" i="2"/>
  <c r="FM33" i="2"/>
  <c r="FN33" i="2"/>
  <c r="FN24" i="2"/>
  <c r="FN26" i="2" s="1"/>
  <c r="FM24" i="2"/>
  <c r="FM26" i="2" s="1"/>
  <c r="FM28" i="2" s="1"/>
  <c r="FL24" i="2"/>
  <c r="FK24" i="2"/>
  <c r="FL26" i="2"/>
  <c r="FN25" i="2"/>
  <c r="FM25" i="2"/>
  <c r="FL25" i="2"/>
  <c r="FN17" i="2"/>
  <c r="FM17" i="2"/>
  <c r="FM18" i="2" s="1"/>
  <c r="FL17" i="2"/>
  <c r="FN16" i="2"/>
  <c r="FN18" i="2" s="1"/>
  <c r="FN20" i="2" s="1"/>
  <c r="FM16" i="2"/>
  <c r="FL16" i="2"/>
  <c r="FL10" i="2"/>
  <c r="FN11" i="2"/>
  <c r="FL11" i="2"/>
  <c r="FM10" i="2"/>
  <c r="FM11" i="2" s="1"/>
  <c r="FN10" i="2"/>
  <c r="FN12" i="2" s="1"/>
  <c r="FN72" i="1"/>
  <c r="FL86" i="1"/>
  <c r="FL86" i="7" s="1"/>
  <c r="FM86" i="1"/>
  <c r="FN86" i="1"/>
  <c r="FN86" i="7" s="1"/>
  <c r="FL85" i="1"/>
  <c r="FL85" i="7" s="1"/>
  <c r="FM85" i="1"/>
  <c r="FM85" i="7" s="1"/>
  <c r="FN85" i="1"/>
  <c r="FN85" i="7" s="1"/>
  <c r="FL80" i="1"/>
  <c r="FM80" i="1"/>
  <c r="FN80" i="1"/>
  <c r="FM72" i="1"/>
  <c r="FM73" i="1" s="1"/>
  <c r="FL72" i="1"/>
  <c r="FL73" i="1"/>
  <c r="FL74" i="1" s="1"/>
  <c r="FN73" i="1"/>
  <c r="FN75" i="1" s="1"/>
  <c r="FN71" i="1"/>
  <c r="FM71" i="1"/>
  <c r="FL71" i="1"/>
  <c r="FL67" i="1"/>
  <c r="FM67" i="1"/>
  <c r="FN67" i="1"/>
  <c r="FL65" i="1"/>
  <c r="FM65" i="1"/>
  <c r="FN65" i="1"/>
  <c r="FL64" i="1"/>
  <c r="FM64" i="1"/>
  <c r="FN64" i="1"/>
  <c r="FL63" i="1"/>
  <c r="FM63" i="1"/>
  <c r="FN63" i="1"/>
  <c r="FN62" i="1"/>
  <c r="FM62" i="1"/>
  <c r="FL62" i="1"/>
  <c r="FN61" i="1"/>
  <c r="FM61" i="1"/>
  <c r="FL61" i="1"/>
  <c r="FK61" i="1"/>
  <c r="FL57" i="1"/>
  <c r="FM57" i="1"/>
  <c r="FN57" i="1"/>
  <c r="FL55" i="1"/>
  <c r="FM55" i="1"/>
  <c r="FN55" i="1"/>
  <c r="FL54" i="1"/>
  <c r="FM54" i="1"/>
  <c r="FN54" i="1"/>
  <c r="FL53" i="1"/>
  <c r="FM53" i="1"/>
  <c r="FN53" i="1"/>
  <c r="FL39" i="1"/>
  <c r="FL39" i="7" s="1"/>
  <c r="FM39" i="1"/>
  <c r="FM39" i="7" s="1"/>
  <c r="FN39" i="1"/>
  <c r="FN39" i="7" s="1"/>
  <c r="FL38" i="1"/>
  <c r="FM38" i="1"/>
  <c r="FN38" i="1"/>
  <c r="FN38" i="7" s="1"/>
  <c r="FL35" i="1"/>
  <c r="FM35" i="1"/>
  <c r="FN35" i="1"/>
  <c r="FL34" i="1"/>
  <c r="FM34" i="1"/>
  <c r="FN34" i="1"/>
  <c r="FL33" i="1"/>
  <c r="FM33" i="1"/>
  <c r="FN33" i="1"/>
  <c r="FN25" i="1"/>
  <c r="FN26" i="1" s="1"/>
  <c r="FN28" i="1" s="1"/>
  <c r="FM25" i="1"/>
  <c r="FM26" i="1" s="1"/>
  <c r="FM28" i="1" s="1"/>
  <c r="FL25" i="1"/>
  <c r="FN24" i="1"/>
  <c r="FM24" i="1"/>
  <c r="FL24" i="1"/>
  <c r="FN17" i="1"/>
  <c r="FM17" i="1"/>
  <c r="FL17" i="1"/>
  <c r="FL18" i="1" s="1"/>
  <c r="FL20" i="1" s="1"/>
  <c r="FN16" i="1"/>
  <c r="FM16" i="1"/>
  <c r="FL16" i="1"/>
  <c r="FN18" i="1"/>
  <c r="FN20" i="1" s="1"/>
  <c r="FL12" i="1"/>
  <c r="FL10" i="1"/>
  <c r="FL11" i="1" s="1"/>
  <c r="FM10" i="1"/>
  <c r="FM12" i="1" s="1"/>
  <c r="FN10" i="1"/>
  <c r="FN12" i="1" s="1"/>
  <c r="FM86" i="7" l="1"/>
  <c r="FM87" i="2"/>
  <c r="FM89" i="2" s="1"/>
  <c r="FL87" i="2"/>
  <c r="FL88" i="2" s="1"/>
  <c r="FM38" i="7"/>
  <c r="FL38" i="7"/>
  <c r="FN40" i="2"/>
  <c r="FN41" i="2" s="1"/>
  <c r="FN40" i="1"/>
  <c r="FN42" i="1" s="1"/>
  <c r="FN42" i="2"/>
  <c r="FL42" i="2"/>
  <c r="FN87" i="2"/>
  <c r="FN88" i="2" s="1"/>
  <c r="FM87" i="1"/>
  <c r="FM88" i="1" s="1"/>
  <c r="FN88" i="5"/>
  <c r="FM41" i="2"/>
  <c r="FM42" i="2"/>
  <c r="FL87" i="1"/>
  <c r="FL88" i="1" s="1"/>
  <c r="FL75" i="1"/>
  <c r="FN87" i="1"/>
  <c r="FN88" i="1" s="1"/>
  <c r="FM40" i="1"/>
  <c r="FM42" i="1" s="1"/>
  <c r="FL40" i="1"/>
  <c r="FM19" i="4"/>
  <c r="FM74" i="2"/>
  <c r="FN73" i="2"/>
  <c r="FN75" i="2" s="1"/>
  <c r="FL73" i="2"/>
  <c r="FL75" i="2" s="1"/>
  <c r="FM55" i="2"/>
  <c r="FL55" i="2"/>
  <c r="FL27" i="2"/>
  <c r="FL28" i="2"/>
  <c r="FN27" i="2"/>
  <c r="FN28" i="2"/>
  <c r="FM27" i="2"/>
  <c r="FM20" i="2"/>
  <c r="FM19" i="2"/>
  <c r="FL18" i="2"/>
  <c r="FN19" i="2"/>
  <c r="FL19" i="2"/>
  <c r="FL20" i="2"/>
  <c r="FM12" i="2"/>
  <c r="FL12" i="2"/>
  <c r="FN74" i="1"/>
  <c r="FM75" i="1"/>
  <c r="FM74" i="1"/>
  <c r="FM27" i="1"/>
  <c r="FN27" i="1"/>
  <c r="FL26" i="1"/>
  <c r="FL28" i="1" s="1"/>
  <c r="FL19" i="1"/>
  <c r="FN19" i="1"/>
  <c r="FM18" i="1"/>
  <c r="FM20" i="1" s="1"/>
  <c r="FN11" i="1"/>
  <c r="FM11" i="1"/>
  <c r="FL89" i="2" l="1"/>
  <c r="FM88" i="2"/>
  <c r="FN41" i="1"/>
  <c r="FN40" i="7"/>
  <c r="FM89" i="1"/>
  <c r="FN89" i="1"/>
  <c r="FN89" i="2"/>
  <c r="FL89" i="1"/>
  <c r="FN74" i="2"/>
  <c r="FL40" i="7"/>
  <c r="FL41" i="1"/>
  <c r="FL42" i="1"/>
  <c r="FM40" i="7"/>
  <c r="FM41" i="1"/>
  <c r="FL74" i="2"/>
  <c r="FL27" i="1"/>
  <c r="FM19" i="1"/>
  <c r="FK8" i="8"/>
  <c r="FL9" i="8"/>
  <c r="FM9" i="8"/>
  <c r="FK5" i="8"/>
  <c r="FL5" i="8"/>
  <c r="FM5" i="8"/>
  <c r="FK6" i="8"/>
  <c r="FL6" i="8"/>
  <c r="FM6" i="8"/>
  <c r="FK7" i="8"/>
  <c r="FL7" i="8"/>
  <c r="FM7" i="8"/>
  <c r="FL8" i="8"/>
  <c r="FM8" i="8"/>
  <c r="FL82" i="1"/>
  <c r="FM82" i="1"/>
  <c r="FN82" i="1"/>
  <c r="FL81" i="1"/>
  <c r="FM81" i="1"/>
  <c r="FN81" i="1"/>
  <c r="FK52" i="7"/>
  <c r="FK51" i="7"/>
  <c r="FK31" i="7"/>
  <c r="FK32" i="7"/>
  <c r="FN18" i="7" l="1"/>
  <c r="FN20" i="7" s="1"/>
  <c r="FM6" i="26" s="1"/>
  <c r="FL41" i="7"/>
  <c r="FL87" i="7"/>
  <c r="FL89" i="7" s="1"/>
  <c r="FL80" i="7"/>
  <c r="FL81" i="7" s="1"/>
  <c r="FM80" i="7"/>
  <c r="FM82" i="7" s="1"/>
  <c r="FN80" i="7"/>
  <c r="FN82" i="7" s="1"/>
  <c r="FL73" i="7"/>
  <c r="FL75" i="7" s="1"/>
  <c r="FK6" i="24" s="1"/>
  <c r="FM73" i="7"/>
  <c r="FM74" i="7" s="1"/>
  <c r="FN73" i="7"/>
  <c r="FN75" i="7" s="1"/>
  <c r="FM6" i="24" s="1"/>
  <c r="FL63" i="7"/>
  <c r="FL65" i="7" s="1"/>
  <c r="FK12" i="14" s="1"/>
  <c r="FM63" i="7"/>
  <c r="FM65" i="7" s="1"/>
  <c r="FL12" i="14" s="1"/>
  <c r="FN63" i="7"/>
  <c r="FN64" i="7" s="1"/>
  <c r="FL53" i="7"/>
  <c r="FL54" i="7" s="1"/>
  <c r="FM53" i="7"/>
  <c r="FN53" i="7"/>
  <c r="FL33" i="7"/>
  <c r="FL35" i="7" s="1"/>
  <c r="FK8" i="26" s="1"/>
  <c r="FM33" i="7"/>
  <c r="FM35" i="7" s="1"/>
  <c r="FL8" i="26" s="1"/>
  <c r="FN33" i="7"/>
  <c r="FN35" i="7" s="1"/>
  <c r="FM8" i="26" s="1"/>
  <c r="FL26" i="7"/>
  <c r="FL28" i="7" s="1"/>
  <c r="FM26" i="7"/>
  <c r="FM28" i="7" s="1"/>
  <c r="FN26" i="7"/>
  <c r="FN27" i="7" s="1"/>
  <c r="FL18" i="7"/>
  <c r="FL20" i="7" s="1"/>
  <c r="FK6" i="26" s="1"/>
  <c r="FM18" i="7"/>
  <c r="FM20" i="7" s="1"/>
  <c r="FL6" i="26" s="1"/>
  <c r="FM55" i="7" l="1"/>
  <c r="FL12" i="15" s="1"/>
  <c r="FM57" i="7"/>
  <c r="FN54" i="7"/>
  <c r="FN57" i="7"/>
  <c r="FM12" i="13"/>
  <c r="FL12" i="13"/>
  <c r="FK12" i="13"/>
  <c r="FL5" i="24"/>
  <c r="FL7" i="26"/>
  <c r="FK5" i="24"/>
  <c r="FK7" i="26"/>
  <c r="FM64" i="7"/>
  <c r="FM81" i="7"/>
  <c r="FN87" i="7"/>
  <c r="FN89" i="7" s="1"/>
  <c r="FM87" i="7"/>
  <c r="FM89" i="7" s="1"/>
  <c r="FN41" i="7"/>
  <c r="FN74" i="7"/>
  <c r="FL88" i="7"/>
  <c r="FL82" i="7"/>
  <c r="FN81" i="7"/>
  <c r="FM75" i="7"/>
  <c r="FL6" i="24" s="1"/>
  <c r="FL74" i="7"/>
  <c r="FL64" i="7"/>
  <c r="FN65" i="7"/>
  <c r="FM12" i="14" s="1"/>
  <c r="FM54" i="7"/>
  <c r="FN55" i="7"/>
  <c r="FM12" i="15" s="1"/>
  <c r="FL55" i="7"/>
  <c r="FK12" i="15" s="1"/>
  <c r="FL42" i="7"/>
  <c r="FL19" i="7"/>
  <c r="FN28" i="7"/>
  <c r="FM34" i="7"/>
  <c r="FN34" i="7"/>
  <c r="FL34" i="7"/>
  <c r="FM27" i="7"/>
  <c r="FL27" i="7"/>
  <c r="FN67" i="7"/>
  <c r="FN19" i="7"/>
  <c r="FM19" i="7"/>
  <c r="FM67" i="7"/>
  <c r="FL67" i="7"/>
  <c r="FK8" i="7"/>
  <c r="FM5" i="24" l="1"/>
  <c r="FM7" i="26"/>
  <c r="FN42" i="7"/>
  <c r="FN88" i="7"/>
  <c r="FM88" i="7"/>
  <c r="FM42" i="7"/>
  <c r="FM41" i="7"/>
  <c r="FN10" i="7"/>
  <c r="FM10" i="7"/>
  <c r="FL10" i="7"/>
  <c r="FL57" i="7" s="1"/>
  <c r="FH9" i="14"/>
  <c r="FI9" i="14"/>
  <c r="FJ9" i="14"/>
  <c r="FH8" i="14"/>
  <c r="FI8" i="14"/>
  <c r="FJ8" i="14"/>
  <c r="FH7" i="14"/>
  <c r="FI7" i="14"/>
  <c r="FJ7" i="14"/>
  <c r="FH6" i="14"/>
  <c r="FI6" i="14"/>
  <c r="FJ6" i="14"/>
  <c r="FH5" i="14"/>
  <c r="FI5" i="14"/>
  <c r="FH9" i="13"/>
  <c r="FI9" i="13"/>
  <c r="FJ9" i="13"/>
  <c r="FH8" i="13"/>
  <c r="FI8" i="13"/>
  <c r="FJ8" i="13"/>
  <c r="FH7" i="13"/>
  <c r="FI7" i="13"/>
  <c r="FJ7" i="13"/>
  <c r="FH6" i="13"/>
  <c r="FI6" i="13"/>
  <c r="FJ6" i="13"/>
  <c r="FH5" i="13"/>
  <c r="FI5" i="13"/>
  <c r="FJ5" i="13"/>
  <c r="FH9" i="15"/>
  <c r="FI9" i="15"/>
  <c r="FJ9" i="15"/>
  <c r="FH8" i="15"/>
  <c r="FI8" i="15"/>
  <c r="FJ8" i="15"/>
  <c r="FH7" i="15"/>
  <c r="FI7" i="15"/>
  <c r="FJ7" i="15"/>
  <c r="FH6" i="15"/>
  <c r="FI6" i="15"/>
  <c r="FJ6" i="15"/>
  <c r="FH5" i="15"/>
  <c r="FI5" i="15"/>
  <c r="FJ5" i="15"/>
  <c r="FH9" i="8"/>
  <c r="FI9" i="8"/>
  <c r="FJ9" i="8"/>
  <c r="FH8" i="8"/>
  <c r="FI8" i="8"/>
  <c r="FJ8" i="8"/>
  <c r="FH7" i="8"/>
  <c r="FI7" i="8"/>
  <c r="FJ7" i="8"/>
  <c r="FH6" i="8"/>
  <c r="FI6" i="8"/>
  <c r="FJ6" i="8"/>
  <c r="FH5" i="8"/>
  <c r="FI5" i="8"/>
  <c r="FJ5" i="8"/>
  <c r="FI78" i="7"/>
  <c r="FJ78" i="7"/>
  <c r="FK78" i="7"/>
  <c r="FK80" i="7" s="1"/>
  <c r="FI79" i="7"/>
  <c r="FJ79" i="7"/>
  <c r="FK79" i="7"/>
  <c r="FI71" i="7"/>
  <c r="FJ71" i="7"/>
  <c r="FK71" i="7"/>
  <c r="FI72" i="7"/>
  <c r="FJ72" i="7"/>
  <c r="FK72" i="7"/>
  <c r="FI61" i="7"/>
  <c r="FJ61" i="7"/>
  <c r="FK61" i="7"/>
  <c r="FI62" i="7"/>
  <c r="FJ62" i="7"/>
  <c r="FK62" i="7"/>
  <c r="FI51" i="7"/>
  <c r="FJ51" i="7"/>
  <c r="FK53" i="7"/>
  <c r="FI52" i="7"/>
  <c r="FJ52" i="7"/>
  <c r="FI31" i="7"/>
  <c r="FJ31" i="7"/>
  <c r="FI32" i="7"/>
  <c r="FJ32" i="7"/>
  <c r="FK33" i="7"/>
  <c r="FK34" i="7" s="1"/>
  <c r="FI24" i="7"/>
  <c r="FJ24" i="7"/>
  <c r="FK24" i="7"/>
  <c r="FI25" i="7"/>
  <c r="FJ25" i="7"/>
  <c r="FK25" i="7"/>
  <c r="FI16" i="7"/>
  <c r="FI18" i="7" s="1"/>
  <c r="FI20" i="7" s="1"/>
  <c r="FJ16" i="7"/>
  <c r="FK16" i="7"/>
  <c r="FI17" i="7"/>
  <c r="FJ17" i="7"/>
  <c r="FK17" i="7"/>
  <c r="FI8" i="7"/>
  <c r="FJ8" i="7"/>
  <c r="FI9" i="7"/>
  <c r="FI10" i="7" s="1"/>
  <c r="FI11" i="7" s="1"/>
  <c r="FJ9" i="7"/>
  <c r="FK9" i="7"/>
  <c r="FI86" i="5"/>
  <c r="FJ86" i="5"/>
  <c r="FK86" i="5"/>
  <c r="FI85" i="5"/>
  <c r="FJ85" i="5"/>
  <c r="FK85" i="5"/>
  <c r="FI80" i="5"/>
  <c r="FJ80" i="5"/>
  <c r="FK80" i="5"/>
  <c r="FK82" i="5" s="1"/>
  <c r="FI81" i="5"/>
  <c r="FJ81" i="5"/>
  <c r="FK81" i="5"/>
  <c r="FI82" i="5"/>
  <c r="FJ82" i="5"/>
  <c r="FK72" i="5"/>
  <c r="FK73" i="5" s="1"/>
  <c r="FK74" i="5" s="1"/>
  <c r="FJ72" i="5"/>
  <c r="FJ73" i="5" s="1"/>
  <c r="FI72" i="5"/>
  <c r="FI73" i="5" s="1"/>
  <c r="FC71" i="5"/>
  <c r="FJ71" i="5"/>
  <c r="FK71" i="5"/>
  <c r="FI71" i="5"/>
  <c r="FI67" i="5"/>
  <c r="FJ67" i="5"/>
  <c r="FK67" i="5"/>
  <c r="FK63" i="5"/>
  <c r="FK64" i="5" s="1"/>
  <c r="FJ63" i="5"/>
  <c r="FJ64" i="5"/>
  <c r="FJ65" i="5"/>
  <c r="FI63" i="5"/>
  <c r="FI64" i="5" s="1"/>
  <c r="FK61" i="5"/>
  <c r="FJ61" i="5"/>
  <c r="FI61" i="5"/>
  <c r="FI53" i="5"/>
  <c r="FI54" i="5" s="1"/>
  <c r="FJ53" i="5"/>
  <c r="FJ57" i="5" s="1"/>
  <c r="FK53" i="5"/>
  <c r="FK57" i="5" s="1"/>
  <c r="FI38" i="5"/>
  <c r="FJ38" i="5"/>
  <c r="FK38" i="5"/>
  <c r="FI39" i="5"/>
  <c r="FJ39" i="5"/>
  <c r="FK39" i="5"/>
  <c r="FI33" i="5"/>
  <c r="FI34" i="5" s="1"/>
  <c r="FJ33" i="5"/>
  <c r="FJ34" i="5" s="1"/>
  <c r="FK33" i="5"/>
  <c r="FK35" i="5" s="1"/>
  <c r="FK25" i="5"/>
  <c r="FK26" i="5" s="1"/>
  <c r="FK28" i="5" s="1"/>
  <c r="FJ25" i="5"/>
  <c r="FJ26" i="5"/>
  <c r="FI25" i="5"/>
  <c r="FI26" i="5"/>
  <c r="FI28" i="5" s="1"/>
  <c r="FK19" i="5"/>
  <c r="FI18" i="5"/>
  <c r="FI19" i="5" s="1"/>
  <c r="FJ18" i="5"/>
  <c r="FJ19" i="5" s="1"/>
  <c r="FK18" i="5"/>
  <c r="FK20" i="5" s="1"/>
  <c r="FK16" i="5"/>
  <c r="FJ16" i="5"/>
  <c r="FI16" i="5"/>
  <c r="FK87" i="5" l="1"/>
  <c r="FK89" i="5" s="1"/>
  <c r="FI40" i="5"/>
  <c r="FI41" i="5" s="1"/>
  <c r="FJ40" i="5"/>
  <c r="FJ41" i="5" s="1"/>
  <c r="FJ10" i="7"/>
  <c r="FI33" i="7"/>
  <c r="FI34" i="7" s="1"/>
  <c r="FJ80" i="7"/>
  <c r="FI63" i="7"/>
  <c r="FI64" i="7" s="1"/>
  <c r="FJ63" i="7"/>
  <c r="FJ87" i="5"/>
  <c r="FJ89" i="5" s="1"/>
  <c r="FJ73" i="7"/>
  <c r="FJ74" i="7" s="1"/>
  <c r="FK26" i="7"/>
  <c r="FK27" i="7" s="1"/>
  <c r="FK63" i="7"/>
  <c r="FK35" i="7"/>
  <c r="FJ8" i="26" s="1"/>
  <c r="FM11" i="7"/>
  <c r="FM12" i="7"/>
  <c r="FL11" i="7"/>
  <c r="FL12" i="7"/>
  <c r="FN12" i="7"/>
  <c r="FN11" i="7"/>
  <c r="FH6" i="26"/>
  <c r="FH12" i="13"/>
  <c r="FK81" i="7"/>
  <c r="FK82" i="7"/>
  <c r="FJ26" i="7"/>
  <c r="FJ27" i="7" s="1"/>
  <c r="FJ53" i="7"/>
  <c r="FJ57" i="7" s="1"/>
  <c r="FK18" i="7"/>
  <c r="FJ33" i="7"/>
  <c r="FJ34" i="7" s="1"/>
  <c r="FI53" i="7"/>
  <c r="FK10" i="7"/>
  <c r="FJ18" i="7"/>
  <c r="FJ67" i="7" s="1"/>
  <c r="FK55" i="7"/>
  <c r="FJ12" i="15" s="1"/>
  <c r="FI65" i="7"/>
  <c r="FH12" i="14" s="1"/>
  <c r="FI80" i="7"/>
  <c r="FI81" i="7" s="1"/>
  <c r="FI73" i="7"/>
  <c r="FI74" i="7" s="1"/>
  <c r="FK40" i="5"/>
  <c r="FK41" i="5" s="1"/>
  <c r="FI27" i="5"/>
  <c r="FI26" i="7"/>
  <c r="FI27" i="7" s="1"/>
  <c r="FK73" i="7"/>
  <c r="FK74" i="7" s="1"/>
  <c r="FJ81" i="7"/>
  <c r="FJ82" i="7"/>
  <c r="FJ64" i="7"/>
  <c r="FJ65" i="7"/>
  <c r="FI12" i="14" s="1"/>
  <c r="FK64" i="7"/>
  <c r="FK65" i="7"/>
  <c r="FJ12" i="14" s="1"/>
  <c r="FI54" i="7"/>
  <c r="FI55" i="7"/>
  <c r="FH12" i="15" s="1"/>
  <c r="FI57" i="7"/>
  <c r="FJ55" i="7"/>
  <c r="FI12" i="15" s="1"/>
  <c r="FK54" i="7"/>
  <c r="FI35" i="7"/>
  <c r="FH8" i="26" s="1"/>
  <c r="FJ19" i="7"/>
  <c r="FJ20" i="7"/>
  <c r="FI19" i="7"/>
  <c r="FJ12" i="7"/>
  <c r="FJ11" i="7"/>
  <c r="FI12" i="7"/>
  <c r="FI87" i="5"/>
  <c r="FI88" i="5" s="1"/>
  <c r="FJ75" i="5"/>
  <c r="FJ74" i="5"/>
  <c r="FI74" i="5"/>
  <c r="FI75" i="5"/>
  <c r="FK75" i="5"/>
  <c r="FK65" i="5"/>
  <c r="FI65" i="5"/>
  <c r="FK55" i="5"/>
  <c r="FK54" i="5"/>
  <c r="FJ55" i="5"/>
  <c r="FJ54" i="5"/>
  <c r="FI55" i="5"/>
  <c r="FI57" i="5"/>
  <c r="FI42" i="5"/>
  <c r="FK34" i="5"/>
  <c r="FJ35" i="5"/>
  <c r="FI35" i="5"/>
  <c r="FJ28" i="5"/>
  <c r="FJ27" i="5"/>
  <c r="FK27" i="5"/>
  <c r="FJ20" i="5"/>
  <c r="FI20" i="5"/>
  <c r="FI12" i="5"/>
  <c r="FJ12" i="5"/>
  <c r="FI11" i="5"/>
  <c r="FJ11" i="5"/>
  <c r="FI10" i="5"/>
  <c r="FJ10" i="5"/>
  <c r="FK10" i="5"/>
  <c r="FK12" i="5" s="1"/>
  <c r="FI61" i="6"/>
  <c r="FI86" i="6"/>
  <c r="FJ86" i="6"/>
  <c r="FK86" i="6"/>
  <c r="FI85" i="6"/>
  <c r="FJ85" i="6"/>
  <c r="FK85" i="6"/>
  <c r="FI81" i="6"/>
  <c r="FJ81" i="6"/>
  <c r="FI82" i="6"/>
  <c r="FI80" i="6"/>
  <c r="FJ80" i="6"/>
  <c r="FJ82" i="6" s="1"/>
  <c r="FK80" i="6"/>
  <c r="FK81" i="6" s="1"/>
  <c r="FK72" i="6"/>
  <c r="FJ72" i="6"/>
  <c r="FI72" i="6"/>
  <c r="FI73" i="6" s="1"/>
  <c r="FI75" i="6" s="1"/>
  <c r="FJ73" i="6"/>
  <c r="FJ75" i="6" s="1"/>
  <c r="FK73" i="6"/>
  <c r="FK74" i="6" s="1"/>
  <c r="FJ67" i="6"/>
  <c r="FK67" i="6"/>
  <c r="FK62" i="6"/>
  <c r="FK63" i="6" s="1"/>
  <c r="FK65" i="6" s="1"/>
  <c r="FJ62" i="6"/>
  <c r="FI62" i="6"/>
  <c r="FK61" i="6"/>
  <c r="FJ61" i="6"/>
  <c r="FJ64" i="6" s="1"/>
  <c r="FJ63" i="6"/>
  <c r="FJ65" i="6" s="1"/>
  <c r="FI57" i="6"/>
  <c r="FI53" i="6"/>
  <c r="FI55" i="6" s="1"/>
  <c r="FJ53" i="6"/>
  <c r="FJ57" i="6" s="1"/>
  <c r="FK53" i="6"/>
  <c r="FK57" i="6" s="1"/>
  <c r="FI39" i="6"/>
  <c r="FJ39" i="6"/>
  <c r="FK39" i="6"/>
  <c r="FI38" i="6"/>
  <c r="FJ38" i="6"/>
  <c r="FK38" i="6"/>
  <c r="FI33" i="6"/>
  <c r="FI35" i="6" s="1"/>
  <c r="FJ33" i="6"/>
  <c r="FJ34" i="6" s="1"/>
  <c r="FK33" i="6"/>
  <c r="FK35" i="6" s="1"/>
  <c r="FK25" i="6"/>
  <c r="FJ25" i="6"/>
  <c r="FI25" i="6"/>
  <c r="FI26" i="6" s="1"/>
  <c r="FJ26" i="6"/>
  <c r="FJ27" i="6" s="1"/>
  <c r="FK26" i="6"/>
  <c r="FK28" i="6" s="1"/>
  <c r="FK17" i="6"/>
  <c r="FJ17" i="6"/>
  <c r="FI17" i="6"/>
  <c r="FK16" i="6"/>
  <c r="FJ16" i="6"/>
  <c r="FI16" i="6"/>
  <c r="FI18" i="6"/>
  <c r="FI20" i="6" s="1"/>
  <c r="FK18" i="6"/>
  <c r="FK20" i="6" s="1"/>
  <c r="FI12" i="6"/>
  <c r="FI10" i="6"/>
  <c r="FI11" i="6" s="1"/>
  <c r="FJ10" i="6"/>
  <c r="FJ11" i="6" s="1"/>
  <c r="FK10" i="6"/>
  <c r="FK11" i="6" s="1"/>
  <c r="FI86" i="4"/>
  <c r="FJ86" i="4"/>
  <c r="FK86" i="4"/>
  <c r="FI85" i="4"/>
  <c r="FJ85" i="4"/>
  <c r="FK85" i="4"/>
  <c r="FI80" i="4"/>
  <c r="FI82" i="4" s="1"/>
  <c r="FJ80" i="4"/>
  <c r="FJ82" i="4" s="1"/>
  <c r="FK80" i="4"/>
  <c r="FK82" i="4" s="1"/>
  <c r="FK72" i="4"/>
  <c r="FJ72" i="4"/>
  <c r="FJ73" i="4" s="1"/>
  <c r="FJ75" i="4" s="1"/>
  <c r="FI72" i="4"/>
  <c r="FI73" i="4"/>
  <c r="FI75" i="4" s="1"/>
  <c r="FK73" i="4"/>
  <c r="FK75" i="4" s="1"/>
  <c r="FK62" i="4"/>
  <c r="FJ62" i="4"/>
  <c r="FI62" i="4"/>
  <c r="FI63" i="4" s="1"/>
  <c r="FK61" i="4"/>
  <c r="FJ61" i="4"/>
  <c r="FI61" i="4"/>
  <c r="FJ64" i="4"/>
  <c r="FK64" i="4"/>
  <c r="FJ63" i="4"/>
  <c r="FJ67" i="4" s="1"/>
  <c r="FK63" i="4"/>
  <c r="FK67" i="4" s="1"/>
  <c r="FI57" i="4"/>
  <c r="FJ57" i="4"/>
  <c r="FK57" i="4"/>
  <c r="FK55" i="4"/>
  <c r="FI54" i="4"/>
  <c r="FK54" i="4"/>
  <c r="FI53" i="4"/>
  <c r="FI55" i="4" s="1"/>
  <c r="FJ53" i="4"/>
  <c r="FJ55" i="4" s="1"/>
  <c r="FK53" i="4"/>
  <c r="FI39" i="4"/>
  <c r="FJ39" i="4"/>
  <c r="FK39" i="4"/>
  <c r="FI38" i="4"/>
  <c r="FJ38" i="4"/>
  <c r="FJ40" i="4" s="1"/>
  <c r="FJ41" i="4" s="1"/>
  <c r="FK38" i="4"/>
  <c r="FJ35" i="4"/>
  <c r="FI33" i="4"/>
  <c r="FI35" i="4" s="1"/>
  <c r="FJ33" i="4"/>
  <c r="FJ34" i="4" s="1"/>
  <c r="FK33" i="4"/>
  <c r="FK34" i="4" s="1"/>
  <c r="FJ25" i="4"/>
  <c r="FJ26" i="4" s="1"/>
  <c r="FJ27" i="4" s="1"/>
  <c r="FI25" i="4"/>
  <c r="FI26" i="4"/>
  <c r="FI27" i="4" s="1"/>
  <c r="FK25" i="4"/>
  <c r="FK26" i="4"/>
  <c r="FK28" i="4" s="1"/>
  <c r="FK17" i="4"/>
  <c r="FK18" i="4" s="1"/>
  <c r="FK20" i="4" s="1"/>
  <c r="FJ17" i="4"/>
  <c r="FI17" i="4"/>
  <c r="FK16" i="4"/>
  <c r="FJ16" i="4"/>
  <c r="FI16" i="4"/>
  <c r="FI18" i="4"/>
  <c r="FI19" i="4" s="1"/>
  <c r="FI12" i="4"/>
  <c r="FJ12" i="4"/>
  <c r="FK12" i="4"/>
  <c r="FI11" i="4"/>
  <c r="FJ11" i="4"/>
  <c r="FK11" i="4"/>
  <c r="FI10" i="4"/>
  <c r="FJ10" i="4"/>
  <c r="FK10" i="4"/>
  <c r="FK88" i="5" l="1"/>
  <c r="FJ42" i="5"/>
  <c r="FJ40" i="6"/>
  <c r="FJ41" i="6" s="1"/>
  <c r="FI87" i="4"/>
  <c r="FI88" i="4" s="1"/>
  <c r="FJ35" i="7"/>
  <c r="FI8" i="26" s="1"/>
  <c r="FI40" i="4"/>
  <c r="FI41" i="4" s="1"/>
  <c r="FK87" i="6"/>
  <c r="FK88" i="6" s="1"/>
  <c r="FJ87" i="6"/>
  <c r="FJ88" i="6" s="1"/>
  <c r="FK40" i="4"/>
  <c r="FK41" i="4" s="1"/>
  <c r="FJ87" i="4"/>
  <c r="FJ88" i="4" s="1"/>
  <c r="FK87" i="4"/>
  <c r="FK88" i="4" s="1"/>
  <c r="FJ88" i="5"/>
  <c r="FK42" i="5"/>
  <c r="FJ42" i="6"/>
  <c r="FK40" i="6"/>
  <c r="FK41" i="6" s="1"/>
  <c r="FJ75" i="7"/>
  <c r="FI6" i="24" s="1"/>
  <c r="FJ54" i="7"/>
  <c r="FK12" i="8"/>
  <c r="FK9" i="26"/>
  <c r="FL12" i="8"/>
  <c r="FL9" i="26"/>
  <c r="FI67" i="7"/>
  <c r="FK28" i="7"/>
  <c r="FJ7" i="26" s="1"/>
  <c r="FM12" i="8"/>
  <c r="FM9" i="26"/>
  <c r="FI40" i="6"/>
  <c r="FI41" i="6" s="1"/>
  <c r="FI75" i="7"/>
  <c r="FH6" i="24" s="1"/>
  <c r="FK67" i="7"/>
  <c r="FJ28" i="7"/>
  <c r="FI7" i="26" s="1"/>
  <c r="FK12" i="7"/>
  <c r="FJ12" i="8" s="1"/>
  <c r="FK11" i="7"/>
  <c r="FH9" i="26"/>
  <c r="FH5" i="26"/>
  <c r="FH12" i="8"/>
  <c r="FK19" i="7"/>
  <c r="FK20" i="7"/>
  <c r="FI28" i="7"/>
  <c r="FH5" i="24" s="1"/>
  <c r="FI82" i="7"/>
  <c r="FI9" i="26"/>
  <c r="FI5" i="26"/>
  <c r="FI12" i="8"/>
  <c r="FK75" i="7"/>
  <c r="FJ6" i="24" s="1"/>
  <c r="FI6" i="26"/>
  <c r="FI12" i="13"/>
  <c r="FI42" i="6"/>
  <c r="FJ28" i="6"/>
  <c r="FI89" i="4"/>
  <c r="FJ42" i="4"/>
  <c r="FI89" i="5"/>
  <c r="FK11" i="5"/>
  <c r="FI87" i="6"/>
  <c r="FI89" i="6" s="1"/>
  <c r="FK82" i="6"/>
  <c r="FK75" i="6"/>
  <c r="FJ74" i="6"/>
  <c r="FI74" i="6"/>
  <c r="FK64" i="6"/>
  <c r="FI63" i="6"/>
  <c r="FK54" i="6"/>
  <c r="FK55" i="6"/>
  <c r="FJ55" i="6"/>
  <c r="FJ54" i="6"/>
  <c r="FI54" i="6"/>
  <c r="FK34" i="6"/>
  <c r="FJ35" i="6"/>
  <c r="FI34" i="6"/>
  <c r="FK27" i="6"/>
  <c r="FI28" i="6"/>
  <c r="FI27" i="6"/>
  <c r="FK19" i="6"/>
  <c r="FJ18" i="6"/>
  <c r="FJ20" i="6" s="1"/>
  <c r="FI19" i="6"/>
  <c r="FK12" i="6"/>
  <c r="FJ12" i="6"/>
  <c r="FK81" i="4"/>
  <c r="FJ81" i="4"/>
  <c r="FI81" i="4"/>
  <c r="FK74" i="4"/>
  <c r="FJ74" i="4"/>
  <c r="FI74" i="4"/>
  <c r="FI67" i="4"/>
  <c r="FI64" i="4"/>
  <c r="FK65" i="4"/>
  <c r="FJ65" i="4"/>
  <c r="FI65" i="4"/>
  <c r="FJ54" i="4"/>
  <c r="FK35" i="4"/>
  <c r="FI34" i="4"/>
  <c r="FK27" i="4"/>
  <c r="FJ28" i="4"/>
  <c r="FI28" i="4"/>
  <c r="FK19" i="4"/>
  <c r="FJ18" i="4"/>
  <c r="FJ20" i="4" s="1"/>
  <c r="FI20" i="4"/>
  <c r="FK62" i="2"/>
  <c r="FK86" i="2" s="1"/>
  <c r="FJ62" i="2"/>
  <c r="FJ63" i="2" s="1"/>
  <c r="FJ67" i="2" s="1"/>
  <c r="FI62" i="2"/>
  <c r="FI86" i="2"/>
  <c r="FJ86" i="2"/>
  <c r="FI85" i="2"/>
  <c r="FI87" i="2" s="1"/>
  <c r="FI88" i="2" s="1"/>
  <c r="FJ85" i="2"/>
  <c r="FK85" i="2"/>
  <c r="FK82" i="2"/>
  <c r="FI80" i="2"/>
  <c r="FI81" i="2" s="1"/>
  <c r="FJ80" i="2"/>
  <c r="FJ81" i="2" s="1"/>
  <c r="FK80" i="2"/>
  <c r="FK81" i="2" s="1"/>
  <c r="FK72" i="2"/>
  <c r="FK73" i="2" s="1"/>
  <c r="FK75" i="2" s="1"/>
  <c r="FJ72" i="2"/>
  <c r="FI72" i="2"/>
  <c r="FK71" i="2"/>
  <c r="FJ71" i="2"/>
  <c r="FI71" i="2"/>
  <c r="FK61" i="2"/>
  <c r="FJ61" i="2"/>
  <c r="FI61" i="2"/>
  <c r="FI63" i="2" s="1"/>
  <c r="FI57" i="2"/>
  <c r="FJ57" i="2"/>
  <c r="FK57" i="2"/>
  <c r="FK55" i="2"/>
  <c r="FK54" i="2"/>
  <c r="FI53" i="2"/>
  <c r="FI54" i="2" s="1"/>
  <c r="FJ53" i="2"/>
  <c r="FJ54" i="2" s="1"/>
  <c r="FK53" i="2"/>
  <c r="FK89" i="6" l="1"/>
  <c r="FK42" i="6"/>
  <c r="FJ89" i="6"/>
  <c r="FJ89" i="4"/>
  <c r="FK89" i="4"/>
  <c r="FI42" i="4"/>
  <c r="FK42" i="4"/>
  <c r="FH7" i="26"/>
  <c r="FJ5" i="24"/>
  <c r="FI5" i="24"/>
  <c r="FJ5" i="26"/>
  <c r="FJ9" i="26"/>
  <c r="FJ12" i="13"/>
  <c r="FI89" i="2"/>
  <c r="FI88" i="6"/>
  <c r="FI65" i="6"/>
  <c r="FI67" i="6"/>
  <c r="FI64" i="6"/>
  <c r="FJ19" i="6"/>
  <c r="FJ19" i="4"/>
  <c r="FK87" i="2"/>
  <c r="FK88" i="2" s="1"/>
  <c r="FJ87" i="2"/>
  <c r="FJ88" i="2" s="1"/>
  <c r="FJ82" i="2"/>
  <c r="FI82" i="2"/>
  <c r="FK74" i="2"/>
  <c r="FJ73" i="2"/>
  <c r="FJ75" i="2" s="1"/>
  <c r="FI73" i="2"/>
  <c r="FI75" i="2" s="1"/>
  <c r="FK63" i="2"/>
  <c r="FK64" i="2" s="1"/>
  <c r="FJ64" i="2"/>
  <c r="FJ65" i="2"/>
  <c r="FI67" i="2"/>
  <c r="FI65" i="2"/>
  <c r="FI64" i="2"/>
  <c r="FJ55" i="2"/>
  <c r="FI55" i="2"/>
  <c r="FI39" i="2"/>
  <c r="FJ39" i="2"/>
  <c r="FK39" i="2"/>
  <c r="FI38" i="2"/>
  <c r="FJ38" i="2"/>
  <c r="FK38" i="2"/>
  <c r="FI33" i="2"/>
  <c r="FI34" i="2" s="1"/>
  <c r="FJ33" i="2"/>
  <c r="FJ35" i="2" s="1"/>
  <c r="FK33" i="2"/>
  <c r="FK35" i="2" s="1"/>
  <c r="FK40" i="2" l="1"/>
  <c r="FK41" i="2" s="1"/>
  <c r="FJ40" i="2"/>
  <c r="FJ41" i="2" s="1"/>
  <c r="FI40" i="2"/>
  <c r="FI41" i="2" s="1"/>
  <c r="FJ74" i="2"/>
  <c r="FI42" i="2"/>
  <c r="FJ42" i="2"/>
  <c r="FJ89" i="2"/>
  <c r="FK89" i="2"/>
  <c r="FI74" i="2"/>
  <c r="FK67" i="2"/>
  <c r="FK65" i="2"/>
  <c r="FI35" i="2"/>
  <c r="FK34" i="2"/>
  <c r="FJ34" i="2"/>
  <c r="FJ24" i="2"/>
  <c r="FI24" i="2"/>
  <c r="FI26" i="2" s="1"/>
  <c r="FI27" i="2" s="1"/>
  <c r="FK25" i="2"/>
  <c r="FJ25" i="2"/>
  <c r="FI25" i="2"/>
  <c r="FK17" i="2"/>
  <c r="FK18" i="2" s="1"/>
  <c r="FK20" i="2" s="1"/>
  <c r="FJ17" i="2"/>
  <c r="FI17" i="2"/>
  <c r="FK16" i="2"/>
  <c r="FJ16" i="2"/>
  <c r="FI16" i="2"/>
  <c r="FJ12" i="2"/>
  <c r="FK12" i="2"/>
  <c r="FI10" i="2"/>
  <c r="FI12" i="2" s="1"/>
  <c r="FJ10" i="2"/>
  <c r="FJ11" i="2" s="1"/>
  <c r="FK10" i="2"/>
  <c r="FK11" i="2" s="1"/>
  <c r="FK42" i="2" l="1"/>
  <c r="FI28" i="2"/>
  <c r="FK26" i="2"/>
  <c r="FK27" i="2" s="1"/>
  <c r="FJ26" i="2"/>
  <c r="FJ27" i="2" s="1"/>
  <c r="FK19" i="2"/>
  <c r="FI18" i="2"/>
  <c r="FI20" i="2" s="1"/>
  <c r="FJ18" i="2"/>
  <c r="FJ20" i="2" s="1"/>
  <c r="FI19" i="2"/>
  <c r="FI11" i="2"/>
  <c r="FI73" i="1"/>
  <c r="FI75" i="1" s="1"/>
  <c r="FJ73" i="1"/>
  <c r="FJ75" i="1" s="1"/>
  <c r="FK73" i="1"/>
  <c r="FK74" i="1" s="1"/>
  <c r="FK72" i="1"/>
  <c r="FJ72" i="1"/>
  <c r="FI72" i="1"/>
  <c r="FJ86" i="1"/>
  <c r="FJ86" i="7" s="1"/>
  <c r="FK71" i="1"/>
  <c r="FJ71" i="1"/>
  <c r="FI71" i="1"/>
  <c r="FI86" i="1"/>
  <c r="FI86" i="7" s="1"/>
  <c r="FK86" i="1"/>
  <c r="FK86" i="7" s="1"/>
  <c r="FI85" i="1"/>
  <c r="FI85" i="7" s="1"/>
  <c r="FJ85" i="1"/>
  <c r="FJ85" i="7" s="1"/>
  <c r="FK85" i="1"/>
  <c r="FK85" i="7" s="1"/>
  <c r="FI82" i="1"/>
  <c r="FJ82" i="1"/>
  <c r="FK82" i="1"/>
  <c r="FI81" i="1"/>
  <c r="FJ81" i="1"/>
  <c r="FK81" i="1"/>
  <c r="FI80" i="1"/>
  <c r="FJ80" i="1"/>
  <c r="FK80" i="1"/>
  <c r="FI67" i="1"/>
  <c r="FJ67" i="1"/>
  <c r="FI65" i="1"/>
  <c r="FJ65" i="1"/>
  <c r="FI64" i="1"/>
  <c r="FJ64" i="1"/>
  <c r="FI63" i="1"/>
  <c r="FJ63" i="1"/>
  <c r="FK63" i="1"/>
  <c r="FK64" i="1" s="1"/>
  <c r="FK62" i="1"/>
  <c r="FJ62" i="1"/>
  <c r="FI62" i="1"/>
  <c r="FJ61" i="1"/>
  <c r="FI61" i="1"/>
  <c r="FI57" i="1"/>
  <c r="FJ57" i="1"/>
  <c r="FK57" i="1"/>
  <c r="FI55" i="1"/>
  <c r="FJ55" i="1"/>
  <c r="FK55" i="1"/>
  <c r="FI54" i="1"/>
  <c r="FJ54" i="1"/>
  <c r="FK54" i="1"/>
  <c r="FI53" i="1"/>
  <c r="FJ53" i="1"/>
  <c r="FK53" i="1"/>
  <c r="FI39" i="1"/>
  <c r="FI39" i="7" s="1"/>
  <c r="FJ39" i="1"/>
  <c r="FJ39" i="7" s="1"/>
  <c r="FK39" i="1"/>
  <c r="FK39" i="7" s="1"/>
  <c r="FI38" i="1"/>
  <c r="FI38" i="7" s="1"/>
  <c r="FJ38" i="1"/>
  <c r="FJ38" i="7" s="1"/>
  <c r="FK38" i="1"/>
  <c r="FK38" i="7" s="1"/>
  <c r="FI25" i="1"/>
  <c r="FI26" i="1" s="1"/>
  <c r="FI27" i="1" s="1"/>
  <c r="FK24" i="1"/>
  <c r="FJ26" i="1"/>
  <c r="FJ27" i="1" s="1"/>
  <c r="FK25" i="1"/>
  <c r="FJ25" i="1"/>
  <c r="FJ24" i="1"/>
  <c r="FI24" i="1"/>
  <c r="FI35" i="1"/>
  <c r="FJ35" i="1"/>
  <c r="FK35" i="1"/>
  <c r="FI34" i="1"/>
  <c r="FJ34" i="1"/>
  <c r="FK34" i="1"/>
  <c r="FI33" i="1"/>
  <c r="FJ33" i="1"/>
  <c r="FK33" i="1"/>
  <c r="FI20" i="1"/>
  <c r="FJ20" i="1"/>
  <c r="FK20" i="1"/>
  <c r="FI19" i="1"/>
  <c r="FJ19" i="1"/>
  <c r="FK19" i="1"/>
  <c r="FI18" i="1"/>
  <c r="FJ18" i="1"/>
  <c r="FK18" i="1"/>
  <c r="FK17" i="1"/>
  <c r="FJ17" i="1"/>
  <c r="FI17" i="1"/>
  <c r="FK16" i="1"/>
  <c r="FJ16" i="1"/>
  <c r="FI16" i="1"/>
  <c r="FI12" i="1"/>
  <c r="FJ12" i="1"/>
  <c r="FI11" i="1"/>
  <c r="FJ11" i="1"/>
  <c r="FI10" i="1"/>
  <c r="FJ10" i="1"/>
  <c r="FK10" i="1"/>
  <c r="FK12" i="1" s="1"/>
  <c r="FK75" i="1" l="1"/>
  <c r="FI87" i="7"/>
  <c r="FI88" i="7" s="1"/>
  <c r="FJ87" i="7"/>
  <c r="FJ88" i="7" s="1"/>
  <c r="FK65" i="1"/>
  <c r="FJ5" i="14" s="1"/>
  <c r="FK67" i="1"/>
  <c r="FK87" i="7"/>
  <c r="FK88" i="7" s="1"/>
  <c r="FJ74" i="1"/>
  <c r="FI74" i="1"/>
  <c r="FJ28" i="1"/>
  <c r="FJ40" i="1"/>
  <c r="FI28" i="1"/>
  <c r="FI40" i="1"/>
  <c r="FI42" i="1" s="1"/>
  <c r="FK28" i="2"/>
  <c r="FJ28" i="2"/>
  <c r="FJ19" i="2"/>
  <c r="FK87" i="1"/>
  <c r="FK88" i="1" s="1"/>
  <c r="FI87" i="1"/>
  <c r="FI89" i="1" s="1"/>
  <c r="FJ87" i="1"/>
  <c r="FJ88" i="1" s="1"/>
  <c r="FK40" i="1"/>
  <c r="FK40" i="7" s="1"/>
  <c r="FK11" i="1"/>
  <c r="FK26" i="1"/>
  <c r="FK28" i="1" s="1"/>
  <c r="FE9" i="14"/>
  <c r="FF9" i="14"/>
  <c r="FG9" i="14"/>
  <c r="FE8" i="14"/>
  <c r="FF8" i="14"/>
  <c r="FG8" i="14"/>
  <c r="FE7" i="14"/>
  <c r="FF7" i="14"/>
  <c r="FG7" i="14"/>
  <c r="FE6" i="14"/>
  <c r="FF6" i="14"/>
  <c r="FG6" i="14"/>
  <c r="FE5" i="14"/>
  <c r="FF5" i="14"/>
  <c r="FG5" i="14"/>
  <c r="FE9" i="13"/>
  <c r="FF9" i="13"/>
  <c r="FG9" i="13"/>
  <c r="FE8" i="13"/>
  <c r="FF8" i="13"/>
  <c r="FG8" i="13"/>
  <c r="FE7" i="13"/>
  <c r="FF7" i="13"/>
  <c r="FG7" i="13"/>
  <c r="FE6" i="13"/>
  <c r="FF6" i="13"/>
  <c r="FG6" i="13"/>
  <c r="FE5" i="13"/>
  <c r="FF5" i="13"/>
  <c r="FG5" i="13"/>
  <c r="FE9" i="15"/>
  <c r="FF9" i="15"/>
  <c r="FG9" i="15"/>
  <c r="FE8" i="15"/>
  <c r="FF8" i="15"/>
  <c r="FG8" i="15"/>
  <c r="FE7" i="15"/>
  <c r="FF7" i="15"/>
  <c r="FG7" i="15"/>
  <c r="FE6" i="15"/>
  <c r="FF6" i="15"/>
  <c r="FG6" i="15"/>
  <c r="FE5" i="15"/>
  <c r="FF5" i="15"/>
  <c r="FG5" i="15"/>
  <c r="FE9" i="8"/>
  <c r="FF9" i="8"/>
  <c r="FG9" i="8"/>
  <c r="FE8" i="8"/>
  <c r="FF8" i="8"/>
  <c r="FG8" i="8"/>
  <c r="FE7" i="8"/>
  <c r="FF7" i="8"/>
  <c r="FG7" i="8"/>
  <c r="FE6" i="8"/>
  <c r="FF6" i="8"/>
  <c r="FG6" i="8"/>
  <c r="FE5" i="8"/>
  <c r="FF5" i="8"/>
  <c r="FG5" i="8"/>
  <c r="FJ89" i="7" l="1"/>
  <c r="FK89" i="7"/>
  <c r="FI89" i="7"/>
  <c r="FK89" i="1"/>
  <c r="FJ40" i="7"/>
  <c r="FJ41" i="1"/>
  <c r="FK27" i="1"/>
  <c r="FK41" i="1"/>
  <c r="FI40" i="7"/>
  <c r="FI41" i="1"/>
  <c r="FJ42" i="1"/>
  <c r="FI88" i="1"/>
  <c r="FJ89" i="1"/>
  <c r="FK42" i="1"/>
  <c r="FF79" i="7"/>
  <c r="FG79" i="7"/>
  <c r="FH79" i="7"/>
  <c r="FH80" i="7" s="1"/>
  <c r="FH81" i="7" s="1"/>
  <c r="FF78" i="7"/>
  <c r="FG78" i="7"/>
  <c r="FH78" i="7"/>
  <c r="FF72" i="7"/>
  <c r="FG72" i="7"/>
  <c r="FH72" i="7"/>
  <c r="FF71" i="7"/>
  <c r="FG71" i="7"/>
  <c r="FH71" i="7"/>
  <c r="FF62" i="7"/>
  <c r="FG62" i="7"/>
  <c r="FH62" i="7"/>
  <c r="FF61" i="7"/>
  <c r="FF63" i="7" s="1"/>
  <c r="FG61" i="7"/>
  <c r="FG63" i="7" s="1"/>
  <c r="FH61" i="7"/>
  <c r="FH53" i="7"/>
  <c r="FH54" i="7" s="1"/>
  <c r="FF52" i="7"/>
  <c r="FG52" i="7"/>
  <c r="FG53" i="7" s="1"/>
  <c r="FH52" i="7"/>
  <c r="FF51" i="7"/>
  <c r="FF53" i="7" s="1"/>
  <c r="FG51" i="7"/>
  <c r="FH51" i="7"/>
  <c r="FF32" i="7"/>
  <c r="FG32" i="7"/>
  <c r="FH32" i="7"/>
  <c r="FF31" i="7"/>
  <c r="FG31" i="7"/>
  <c r="FH31" i="7"/>
  <c r="FF25" i="7"/>
  <c r="FG25" i="7"/>
  <c r="FH25" i="7"/>
  <c r="FF24" i="7"/>
  <c r="FG24" i="7"/>
  <c r="FH24" i="7"/>
  <c r="FF17" i="7"/>
  <c r="FG17" i="7"/>
  <c r="FH17" i="7"/>
  <c r="FF16" i="7"/>
  <c r="FF18" i="7" s="1"/>
  <c r="FF19" i="7" s="1"/>
  <c r="FG16" i="7"/>
  <c r="FG18" i="7" s="1"/>
  <c r="FG19" i="7" s="1"/>
  <c r="FH16" i="7"/>
  <c r="FH18" i="7" s="1"/>
  <c r="FH19" i="7" s="1"/>
  <c r="FF9" i="7"/>
  <c r="FG9" i="7"/>
  <c r="FH9" i="7"/>
  <c r="FF8" i="7"/>
  <c r="FF10" i="7" s="1"/>
  <c r="FF11" i="7" s="1"/>
  <c r="FG8" i="7"/>
  <c r="FG10" i="7" s="1"/>
  <c r="FG11" i="7" s="1"/>
  <c r="FH8" i="7"/>
  <c r="FH10" i="7" s="1"/>
  <c r="FH11" i="7" s="1"/>
  <c r="FF72" i="1"/>
  <c r="FF73" i="1" s="1"/>
  <c r="FF86" i="1"/>
  <c r="FG86" i="1"/>
  <c r="FH86" i="1"/>
  <c r="FF85" i="1"/>
  <c r="FG85" i="1"/>
  <c r="FH85" i="1"/>
  <c r="FH87" i="1" s="1"/>
  <c r="FH88" i="1" s="1"/>
  <c r="FF82" i="1"/>
  <c r="FG82" i="1"/>
  <c r="FH82" i="1"/>
  <c r="FF81" i="1"/>
  <c r="FG81" i="1"/>
  <c r="FH81" i="1"/>
  <c r="FF80" i="1"/>
  <c r="FG80" i="1"/>
  <c r="FH80" i="1"/>
  <c r="FG73" i="1"/>
  <c r="FG75" i="1" s="1"/>
  <c r="FH73" i="1"/>
  <c r="FH75" i="1" s="1"/>
  <c r="FH72" i="1"/>
  <c r="FG72" i="1"/>
  <c r="FH71" i="1"/>
  <c r="FG71" i="1"/>
  <c r="FF71" i="1"/>
  <c r="FF67" i="1"/>
  <c r="FG67" i="1"/>
  <c r="FH67" i="1"/>
  <c r="FF65" i="1"/>
  <c r="FG65" i="1"/>
  <c r="FH65" i="1"/>
  <c r="FF64" i="1"/>
  <c r="FG64" i="1"/>
  <c r="FH64" i="1"/>
  <c r="FF63" i="1"/>
  <c r="FG63" i="1"/>
  <c r="FH63" i="1"/>
  <c r="FH62" i="1"/>
  <c r="FG62" i="1"/>
  <c r="FF62" i="1"/>
  <c r="FH61" i="1"/>
  <c r="FG61" i="1"/>
  <c r="FF61" i="1"/>
  <c r="FF57" i="1"/>
  <c r="FG57" i="1"/>
  <c r="FH57" i="1"/>
  <c r="FF55" i="1"/>
  <c r="FG55" i="1"/>
  <c r="FH55" i="1"/>
  <c r="FF54" i="1"/>
  <c r="FG54" i="1"/>
  <c r="FH54" i="1"/>
  <c r="FF53" i="1"/>
  <c r="FG53" i="1"/>
  <c r="FH53" i="1"/>
  <c r="FF39" i="1"/>
  <c r="FG39" i="1"/>
  <c r="FH39" i="1"/>
  <c r="FF38" i="1"/>
  <c r="FG38" i="1"/>
  <c r="FH38" i="1"/>
  <c r="FF35" i="1"/>
  <c r="FG35" i="1"/>
  <c r="FH35" i="1"/>
  <c r="FF34" i="1"/>
  <c r="FG34" i="1"/>
  <c r="FH34" i="1"/>
  <c r="FF33" i="1"/>
  <c r="FG33" i="1"/>
  <c r="FH33" i="1"/>
  <c r="FF26" i="1"/>
  <c r="FF27" i="1" s="1"/>
  <c r="FG26" i="1"/>
  <c r="FG28" i="1" s="1"/>
  <c r="FH26" i="1"/>
  <c r="FH28" i="1" s="1"/>
  <c r="FH25" i="1"/>
  <c r="FG25" i="1"/>
  <c r="FF25" i="1"/>
  <c r="FH24" i="1"/>
  <c r="FG24" i="1"/>
  <c r="FF24" i="1"/>
  <c r="FF20" i="1"/>
  <c r="FG20" i="1"/>
  <c r="FH20" i="1"/>
  <c r="FF19" i="1"/>
  <c r="FG19" i="1"/>
  <c r="FH19" i="1"/>
  <c r="FF18" i="1"/>
  <c r="FG18" i="1"/>
  <c r="FH18" i="1"/>
  <c r="FH17" i="1"/>
  <c r="FG17" i="1"/>
  <c r="FF17" i="1"/>
  <c r="FH16" i="1"/>
  <c r="FG16" i="1"/>
  <c r="FF16" i="1"/>
  <c r="FF12" i="1"/>
  <c r="FG12" i="1"/>
  <c r="FH12" i="1"/>
  <c r="FF11" i="1"/>
  <c r="FG11" i="1"/>
  <c r="FH11" i="1"/>
  <c r="FF10" i="1"/>
  <c r="FG10" i="1"/>
  <c r="FH10" i="1"/>
  <c r="FH40" i="1" l="1"/>
  <c r="FH41" i="1" s="1"/>
  <c r="FH63" i="7"/>
  <c r="FG33" i="7"/>
  <c r="FG34" i="7" s="1"/>
  <c r="FF33" i="7"/>
  <c r="FF34" i="7" s="1"/>
  <c r="FF65" i="7"/>
  <c r="FE12" i="14" s="1"/>
  <c r="FF12" i="7"/>
  <c r="FE9" i="26" s="1"/>
  <c r="FH33" i="7"/>
  <c r="FH34" i="7" s="1"/>
  <c r="FF55" i="7"/>
  <c r="FE12" i="15" s="1"/>
  <c r="FG54" i="7"/>
  <c r="FG55" i="7"/>
  <c r="FF12" i="15" s="1"/>
  <c r="FG57" i="7"/>
  <c r="FH35" i="7"/>
  <c r="FG8" i="26" s="1"/>
  <c r="FG67" i="7"/>
  <c r="FG64" i="7"/>
  <c r="FH20" i="7"/>
  <c r="FF67" i="7"/>
  <c r="FF64" i="7"/>
  <c r="FH12" i="7"/>
  <c r="FG20" i="7"/>
  <c r="FF54" i="7"/>
  <c r="FF57" i="7"/>
  <c r="FH64" i="7"/>
  <c r="FH67" i="7"/>
  <c r="FG12" i="7"/>
  <c r="FF20" i="7"/>
  <c r="FG65" i="7"/>
  <c r="FF12" i="14" s="1"/>
  <c r="FH55" i="7"/>
  <c r="FG12" i="15" s="1"/>
  <c r="FF80" i="7"/>
  <c r="FH65" i="7"/>
  <c r="FG12" i="14" s="1"/>
  <c r="FH57" i="7"/>
  <c r="FG80" i="7"/>
  <c r="FH27" i="1"/>
  <c r="FG27" i="1"/>
  <c r="FI41" i="7"/>
  <c r="FI42" i="7"/>
  <c r="FK41" i="7"/>
  <c r="FK42" i="7"/>
  <c r="FJ41" i="7"/>
  <c r="FJ42" i="7"/>
  <c r="FF82" i="7"/>
  <c r="FF81" i="7"/>
  <c r="FG82" i="7"/>
  <c r="FG81" i="7"/>
  <c r="FH73" i="7"/>
  <c r="FH74" i="7" s="1"/>
  <c r="FH82" i="7"/>
  <c r="FF26" i="7"/>
  <c r="FF27" i="7" s="1"/>
  <c r="FH26" i="7"/>
  <c r="FH27" i="7" s="1"/>
  <c r="FG74" i="1"/>
  <c r="FG87" i="1"/>
  <c r="FG88" i="1" s="1"/>
  <c r="FH89" i="1"/>
  <c r="FG40" i="1"/>
  <c r="FG42" i="1" s="1"/>
  <c r="FF40" i="1"/>
  <c r="FF42" i="1" s="1"/>
  <c r="FF73" i="7"/>
  <c r="FF74" i="7" s="1"/>
  <c r="FG73" i="7"/>
  <c r="FG74" i="7" s="1"/>
  <c r="FH74" i="1"/>
  <c r="FG26" i="7"/>
  <c r="FG27" i="7" s="1"/>
  <c r="FF28" i="1"/>
  <c r="FF74" i="1"/>
  <c r="FF75" i="1"/>
  <c r="FF87" i="1"/>
  <c r="FF88" i="1" s="1"/>
  <c r="FF86" i="5"/>
  <c r="FG86" i="5"/>
  <c r="FH86" i="5"/>
  <c r="FF85" i="5"/>
  <c r="FG85" i="5"/>
  <c r="FH85" i="5"/>
  <c r="FF82" i="5"/>
  <c r="FG82" i="5"/>
  <c r="FH82" i="5"/>
  <c r="FF81" i="5"/>
  <c r="FG81" i="5"/>
  <c r="FH81" i="5"/>
  <c r="FF80" i="5"/>
  <c r="FG80" i="5"/>
  <c r="FH80" i="5"/>
  <c r="FH72" i="5"/>
  <c r="FG72" i="5"/>
  <c r="FF72" i="5"/>
  <c r="FF73" i="5"/>
  <c r="FF74" i="5" s="1"/>
  <c r="FH73" i="5"/>
  <c r="FH74" i="5" s="1"/>
  <c r="FG73" i="5"/>
  <c r="FG75" i="5" s="1"/>
  <c r="FF71" i="5"/>
  <c r="FG71" i="5"/>
  <c r="FH71" i="5"/>
  <c r="FF67" i="5"/>
  <c r="FG67" i="5"/>
  <c r="FH67" i="5"/>
  <c r="FF65" i="5"/>
  <c r="FG65" i="5"/>
  <c r="FH65" i="5"/>
  <c r="FF64" i="5"/>
  <c r="FG64" i="5"/>
  <c r="FH64" i="5"/>
  <c r="FF63" i="5"/>
  <c r="FG63" i="5"/>
  <c r="FH63" i="5"/>
  <c r="FF57" i="5"/>
  <c r="FG57" i="5"/>
  <c r="FH57" i="5"/>
  <c r="FF55" i="5"/>
  <c r="FG55" i="5"/>
  <c r="FH55" i="5"/>
  <c r="FF54" i="5"/>
  <c r="FG54" i="5"/>
  <c r="FH54" i="5"/>
  <c r="FF53" i="5"/>
  <c r="FG53" i="5"/>
  <c r="FH53" i="5"/>
  <c r="FF39" i="5"/>
  <c r="FG39" i="5"/>
  <c r="FH39" i="5"/>
  <c r="FF38" i="5"/>
  <c r="FG38" i="5"/>
  <c r="FH38" i="5"/>
  <c r="FF35" i="5"/>
  <c r="FG35" i="5"/>
  <c r="FH35" i="5"/>
  <c r="FF34" i="5"/>
  <c r="FG34" i="5"/>
  <c r="FH34" i="5"/>
  <c r="FF33" i="5"/>
  <c r="FG33" i="5"/>
  <c r="FH33" i="5"/>
  <c r="FF26" i="5"/>
  <c r="FF28" i="5" s="1"/>
  <c r="FG26" i="5"/>
  <c r="FG28" i="5" s="1"/>
  <c r="FH26" i="5"/>
  <c r="FH28" i="5" s="1"/>
  <c r="FF20" i="5"/>
  <c r="FG20" i="5"/>
  <c r="FH20" i="5"/>
  <c r="FF19" i="5"/>
  <c r="FG19" i="5"/>
  <c r="FH19" i="5"/>
  <c r="FF18" i="5"/>
  <c r="FG18" i="5"/>
  <c r="FH18" i="5"/>
  <c r="FG12" i="5"/>
  <c r="FH12" i="5"/>
  <c r="FG11" i="5"/>
  <c r="FH11" i="5"/>
  <c r="FH10" i="5"/>
  <c r="FG10" i="5"/>
  <c r="FF12" i="5"/>
  <c r="FF11" i="5"/>
  <c r="FF10" i="5"/>
  <c r="FF86" i="6"/>
  <c r="FG86" i="6"/>
  <c r="FH86" i="6"/>
  <c r="FF85" i="6"/>
  <c r="FG85" i="6"/>
  <c r="FH85" i="6"/>
  <c r="FF82" i="6"/>
  <c r="FG82" i="6"/>
  <c r="FH82" i="6"/>
  <c r="FF81" i="6"/>
  <c r="FG81" i="6"/>
  <c r="FH81" i="6"/>
  <c r="FF80" i="6"/>
  <c r="FG80" i="6"/>
  <c r="FH80" i="6"/>
  <c r="FF73" i="6"/>
  <c r="FF75" i="6" s="1"/>
  <c r="FG73" i="6"/>
  <c r="FG75" i="6" s="1"/>
  <c r="FH73" i="6"/>
  <c r="FH74" i="6" s="1"/>
  <c r="FH72" i="6"/>
  <c r="FG72" i="6"/>
  <c r="FF72" i="6"/>
  <c r="FF67" i="6"/>
  <c r="FG67" i="6"/>
  <c r="FH67" i="6"/>
  <c r="FH62" i="6"/>
  <c r="FH63" i="6" s="1"/>
  <c r="FH65" i="6" s="1"/>
  <c r="FG62" i="6"/>
  <c r="FF62" i="6"/>
  <c r="FH61" i="6"/>
  <c r="FG61" i="6"/>
  <c r="FF61" i="6"/>
  <c r="FF57" i="6"/>
  <c r="FG57" i="6"/>
  <c r="FH57" i="6"/>
  <c r="FF55" i="6"/>
  <c r="FG55" i="6"/>
  <c r="FH55" i="6"/>
  <c r="FF54" i="6"/>
  <c r="FG54" i="6"/>
  <c r="FH54" i="6"/>
  <c r="FF53" i="6"/>
  <c r="FG53" i="6"/>
  <c r="FH53" i="6"/>
  <c r="FF39" i="6"/>
  <c r="FG39" i="6"/>
  <c r="FH39" i="6"/>
  <c r="FF38" i="6"/>
  <c r="FG38" i="6"/>
  <c r="FH38" i="6"/>
  <c r="FF35" i="6"/>
  <c r="FG35" i="6"/>
  <c r="FH35" i="6"/>
  <c r="FF34" i="6"/>
  <c r="FG34" i="6"/>
  <c r="FH34" i="6"/>
  <c r="FF33" i="6"/>
  <c r="FG33" i="6"/>
  <c r="FH33" i="6"/>
  <c r="FF26" i="6"/>
  <c r="FF28" i="6" s="1"/>
  <c r="FG26" i="6"/>
  <c r="FG28" i="6" s="1"/>
  <c r="FH26" i="6"/>
  <c r="FH27" i="6" s="1"/>
  <c r="FH25" i="6"/>
  <c r="FG25" i="6"/>
  <c r="FF25" i="6"/>
  <c r="FH17" i="6"/>
  <c r="FG17" i="6"/>
  <c r="FF17" i="6"/>
  <c r="FH16" i="6"/>
  <c r="FG16" i="6"/>
  <c r="FF16" i="6"/>
  <c r="FF18" i="6"/>
  <c r="FF20" i="6" s="1"/>
  <c r="FF12" i="6"/>
  <c r="FG12" i="6"/>
  <c r="FH12" i="6"/>
  <c r="FF11" i="6"/>
  <c r="FG11" i="6"/>
  <c r="FH11" i="6"/>
  <c r="FF10" i="6"/>
  <c r="FG10" i="6"/>
  <c r="FH10" i="6"/>
  <c r="FH62" i="4"/>
  <c r="FG62" i="4"/>
  <c r="FF62" i="4"/>
  <c r="FF86" i="4"/>
  <c r="FG86" i="4"/>
  <c r="FH86" i="4"/>
  <c r="FF85" i="4"/>
  <c r="FG85" i="4"/>
  <c r="FH85" i="4"/>
  <c r="FF80" i="4"/>
  <c r="FF81" i="4" s="1"/>
  <c r="FG80" i="4"/>
  <c r="FG81" i="4" s="1"/>
  <c r="FH80" i="4"/>
  <c r="FH82" i="4" s="1"/>
  <c r="FH72" i="4"/>
  <c r="FG72" i="4"/>
  <c r="FF72" i="4"/>
  <c r="FF73" i="4" s="1"/>
  <c r="FF74" i="4" s="1"/>
  <c r="FH73" i="4"/>
  <c r="FH74" i="4" s="1"/>
  <c r="FH61" i="4"/>
  <c r="FG61" i="4"/>
  <c r="FF61" i="4"/>
  <c r="FH63" i="4"/>
  <c r="FH65" i="4" s="1"/>
  <c r="FF57" i="4"/>
  <c r="FG57" i="4"/>
  <c r="FH57" i="4"/>
  <c r="FF55" i="4"/>
  <c r="FG55" i="4"/>
  <c r="FH55" i="4"/>
  <c r="FF54" i="4"/>
  <c r="FG54" i="4"/>
  <c r="FH54" i="4"/>
  <c r="FF53" i="4"/>
  <c r="FG53" i="4"/>
  <c r="FH53" i="4"/>
  <c r="FH39" i="4"/>
  <c r="FH17" i="4"/>
  <c r="FH18" i="4" s="1"/>
  <c r="FH19" i="4" s="1"/>
  <c r="FF39" i="4"/>
  <c r="FG39" i="4"/>
  <c r="FF38" i="4"/>
  <c r="FG38" i="4"/>
  <c r="FH38" i="4"/>
  <c r="FF35" i="4"/>
  <c r="FG35" i="4"/>
  <c r="FF33" i="4"/>
  <c r="FF34" i="4" s="1"/>
  <c r="FG33" i="4"/>
  <c r="FG34" i="4" s="1"/>
  <c r="FH33" i="4"/>
  <c r="FH35" i="4" s="1"/>
  <c r="FF26" i="4"/>
  <c r="FF27" i="4" s="1"/>
  <c r="FG26" i="4"/>
  <c r="FG28" i="4" s="1"/>
  <c r="FH26" i="4"/>
  <c r="FH27" i="4" s="1"/>
  <c r="FH25" i="4"/>
  <c r="FG25" i="4"/>
  <c r="FF25" i="4"/>
  <c r="FF20" i="4"/>
  <c r="FG20" i="4"/>
  <c r="FF19" i="4"/>
  <c r="FG19" i="4"/>
  <c r="FF18" i="4"/>
  <c r="FG18" i="4"/>
  <c r="FG17" i="4"/>
  <c r="FF17" i="4"/>
  <c r="FH16" i="4"/>
  <c r="FG16" i="4"/>
  <c r="FF16" i="4"/>
  <c r="FF12" i="4"/>
  <c r="FG12" i="4"/>
  <c r="FH12" i="4"/>
  <c r="FF11" i="4"/>
  <c r="FG11" i="4"/>
  <c r="FH11" i="4"/>
  <c r="FF10" i="4"/>
  <c r="FG10" i="4"/>
  <c r="FH10" i="4"/>
  <c r="FH34" i="4" l="1"/>
  <c r="FG89" i="1"/>
  <c r="FH40" i="6"/>
  <c r="FH41" i="6" s="1"/>
  <c r="FH42" i="1"/>
  <c r="FG40" i="5"/>
  <c r="FG41" i="5" s="1"/>
  <c r="FF40" i="6"/>
  <c r="FF41" i="6" s="1"/>
  <c r="FG87" i="6"/>
  <c r="FG88" i="6" s="1"/>
  <c r="FG40" i="4"/>
  <c r="FG41" i="4" s="1"/>
  <c r="FF87" i="5"/>
  <c r="FF88" i="5" s="1"/>
  <c r="FG40" i="6"/>
  <c r="FG41" i="6" s="1"/>
  <c r="FG41" i="1"/>
  <c r="FE12" i="8"/>
  <c r="FE5" i="26"/>
  <c r="FF35" i="7"/>
  <c r="FE8" i="26" s="1"/>
  <c r="FG35" i="7"/>
  <c r="FF8" i="26" s="1"/>
  <c r="FF40" i="5"/>
  <c r="FF41" i="5" s="1"/>
  <c r="FH75" i="7"/>
  <c r="FG6" i="24" s="1"/>
  <c r="FF6" i="26"/>
  <c r="FF12" i="13"/>
  <c r="FE6" i="26"/>
  <c r="FE12" i="13"/>
  <c r="FG12" i="8"/>
  <c r="FG9" i="26"/>
  <c r="FG5" i="26"/>
  <c r="FF5" i="26"/>
  <c r="FF9" i="26"/>
  <c r="FF12" i="8"/>
  <c r="FG6" i="26"/>
  <c r="FG12" i="13"/>
  <c r="FG87" i="5"/>
  <c r="FG88" i="5" s="1"/>
  <c r="FG27" i="5"/>
  <c r="FF87" i="6"/>
  <c r="FF88" i="6" s="1"/>
  <c r="FH87" i="5"/>
  <c r="FH88" i="5" s="1"/>
  <c r="FH27" i="5"/>
  <c r="FH40" i="5"/>
  <c r="FH41" i="5" s="1"/>
  <c r="FG74" i="6"/>
  <c r="FH75" i="6"/>
  <c r="FH87" i="6"/>
  <c r="FH88" i="6" s="1"/>
  <c r="FF27" i="6"/>
  <c r="FH28" i="7"/>
  <c r="FG5" i="24" s="1"/>
  <c r="FG82" i="4"/>
  <c r="FG27" i="4"/>
  <c r="FH28" i="4"/>
  <c r="FH40" i="4"/>
  <c r="FH42" i="4" s="1"/>
  <c r="FF28" i="4"/>
  <c r="FF28" i="7"/>
  <c r="FE5" i="24" s="1"/>
  <c r="FG75" i="7"/>
  <c r="FF6" i="24" s="1"/>
  <c r="FF75" i="7"/>
  <c r="FE6" i="24" s="1"/>
  <c r="FF41" i="1"/>
  <c r="FF27" i="5"/>
  <c r="FF74" i="6"/>
  <c r="FF42" i="6"/>
  <c r="FG27" i="6"/>
  <c r="FH28" i="6"/>
  <c r="FF40" i="4"/>
  <c r="FF41" i="4" s="1"/>
  <c r="FG28" i="7"/>
  <c r="FF5" i="24" s="1"/>
  <c r="FF89" i="1"/>
  <c r="FG74" i="5"/>
  <c r="FH75" i="5"/>
  <c r="FF75" i="5"/>
  <c r="FH64" i="6"/>
  <c r="FG63" i="6"/>
  <c r="FG65" i="6" s="1"/>
  <c r="FF63" i="6"/>
  <c r="FF65" i="6" s="1"/>
  <c r="FF19" i="6"/>
  <c r="FH18" i="6"/>
  <c r="FH20" i="6" s="1"/>
  <c r="FG19" i="6"/>
  <c r="FG18" i="6"/>
  <c r="FG20" i="6" s="1"/>
  <c r="FF82" i="4"/>
  <c r="FH75" i="4"/>
  <c r="FH64" i="4"/>
  <c r="FH67" i="4"/>
  <c r="FH87" i="4"/>
  <c r="FH88" i="4" s="1"/>
  <c r="FG87" i="4"/>
  <c r="FG88" i="4" s="1"/>
  <c r="FF87" i="4"/>
  <c r="FF88" i="4" s="1"/>
  <c r="FH81" i="4"/>
  <c r="FG73" i="4"/>
  <c r="FG74" i="4" s="1"/>
  <c r="FF75" i="4"/>
  <c r="FG63" i="4"/>
  <c r="FF64" i="4"/>
  <c r="FF63" i="4"/>
  <c r="FH20" i="4"/>
  <c r="FF86" i="2"/>
  <c r="FF86" i="7" s="1"/>
  <c r="FG86" i="2"/>
  <c r="FG86" i="7" s="1"/>
  <c r="FH86" i="2"/>
  <c r="FH86" i="7" s="1"/>
  <c r="FF85" i="2"/>
  <c r="FF85" i="7" s="1"/>
  <c r="FG85" i="2"/>
  <c r="FG85" i="7" s="1"/>
  <c r="FH85" i="2"/>
  <c r="FH85" i="7" s="1"/>
  <c r="FF82" i="2"/>
  <c r="FG82" i="2"/>
  <c r="FH82" i="2"/>
  <c r="FF81" i="2"/>
  <c r="FG81" i="2"/>
  <c r="FH81" i="2"/>
  <c r="FF80" i="2"/>
  <c r="FG80" i="2"/>
  <c r="FH80" i="2"/>
  <c r="FF73" i="2"/>
  <c r="FF75" i="2" s="1"/>
  <c r="FG73" i="2"/>
  <c r="FG74" i="2" s="1"/>
  <c r="FH73" i="2"/>
  <c r="FH75" i="2" s="1"/>
  <c r="FH72" i="2"/>
  <c r="FG72" i="2"/>
  <c r="FF72" i="2"/>
  <c r="FE71" i="2"/>
  <c r="FF71" i="2"/>
  <c r="FH71" i="2"/>
  <c r="FG71" i="2"/>
  <c r="FF67" i="2"/>
  <c r="FG67" i="2"/>
  <c r="FH67" i="2"/>
  <c r="FF65" i="2"/>
  <c r="FG65" i="2"/>
  <c r="FH65" i="2"/>
  <c r="FF64" i="2"/>
  <c r="FG64" i="2"/>
  <c r="FH64" i="2"/>
  <c r="FF63" i="2"/>
  <c r="FG63" i="2"/>
  <c r="FH63" i="2"/>
  <c r="FH62" i="2"/>
  <c r="FG62" i="2"/>
  <c r="FF62" i="2"/>
  <c r="FH61" i="2"/>
  <c r="FG61" i="2"/>
  <c r="FF61" i="2"/>
  <c r="FF57" i="2"/>
  <c r="FG57" i="2"/>
  <c r="FH57" i="2"/>
  <c r="FF55" i="2"/>
  <c r="FG55" i="2"/>
  <c r="FH55" i="2"/>
  <c r="FF54" i="2"/>
  <c r="FG54" i="2"/>
  <c r="FH54" i="2"/>
  <c r="FF53" i="2"/>
  <c r="FG53" i="2"/>
  <c r="FH53" i="2"/>
  <c r="FF39" i="2"/>
  <c r="FF39" i="7" s="1"/>
  <c r="FG39" i="2"/>
  <c r="FG39" i="7" s="1"/>
  <c r="FH39" i="2"/>
  <c r="FH39" i="7" s="1"/>
  <c r="FF38" i="2"/>
  <c r="FF38" i="7" s="1"/>
  <c r="FG38" i="2"/>
  <c r="FG38" i="7" s="1"/>
  <c r="FH38" i="2"/>
  <c r="FH38" i="7" s="1"/>
  <c r="FF35" i="2"/>
  <c r="FG35" i="2"/>
  <c r="FH35" i="2"/>
  <c r="FF34" i="2"/>
  <c r="FG34" i="2"/>
  <c r="FH34" i="2"/>
  <c r="FF33" i="2"/>
  <c r="FG33" i="2"/>
  <c r="FH33" i="2"/>
  <c r="FF26" i="2"/>
  <c r="FF27" i="2" s="1"/>
  <c r="FG26" i="2"/>
  <c r="FG28" i="2" s="1"/>
  <c r="FH26" i="2"/>
  <c r="FH28" i="2" s="1"/>
  <c r="FH25" i="2"/>
  <c r="FG25" i="2"/>
  <c r="FF25" i="2"/>
  <c r="FH24" i="2"/>
  <c r="FG24" i="2"/>
  <c r="FF24" i="2"/>
  <c r="FF20" i="2"/>
  <c r="FG20" i="2"/>
  <c r="FH20" i="2"/>
  <c r="FF19" i="2"/>
  <c r="FG19" i="2"/>
  <c r="FH19" i="2"/>
  <c r="FF18" i="2"/>
  <c r="FG18" i="2"/>
  <c r="FH18" i="2"/>
  <c r="FH17" i="2"/>
  <c r="FG17" i="2"/>
  <c r="FF17" i="2"/>
  <c r="FH16" i="2"/>
  <c r="FG16" i="2"/>
  <c r="FF16" i="2"/>
  <c r="FF12" i="2"/>
  <c r="FG12" i="2"/>
  <c r="FH12" i="2"/>
  <c r="FF11" i="2"/>
  <c r="FG11" i="2"/>
  <c r="FH11" i="2"/>
  <c r="FF10" i="2"/>
  <c r="FG10" i="2"/>
  <c r="FH10" i="2"/>
  <c r="FG42" i="5" l="1"/>
  <c r="FG89" i="5"/>
  <c r="FG89" i="6"/>
  <c r="FG42" i="6"/>
  <c r="FH42" i="6"/>
  <c r="FG42" i="4"/>
  <c r="FF89" i="5"/>
  <c r="FF42" i="5"/>
  <c r="FF89" i="6"/>
  <c r="FH89" i="6"/>
  <c r="FH42" i="5"/>
  <c r="FH89" i="5"/>
  <c r="FH41" i="4"/>
  <c r="FH74" i="2"/>
  <c r="FG7" i="26"/>
  <c r="FG87" i="7"/>
  <c r="FG88" i="7" s="1"/>
  <c r="FF42" i="4"/>
  <c r="FG75" i="2"/>
  <c r="FE7" i="26"/>
  <c r="FH87" i="7"/>
  <c r="FH88" i="7" s="1"/>
  <c r="FF87" i="7"/>
  <c r="FF88" i="7" s="1"/>
  <c r="FF7" i="26"/>
  <c r="FG75" i="4"/>
  <c r="FF74" i="2"/>
  <c r="FH87" i="2"/>
  <c r="FH88" i="2" s="1"/>
  <c r="FG87" i="2"/>
  <c r="FF87" i="2"/>
  <c r="FF88" i="2" s="1"/>
  <c r="FH27" i="2"/>
  <c r="FG27" i="2"/>
  <c r="FF28" i="2"/>
  <c r="FH40" i="2"/>
  <c r="FH42" i="2" s="1"/>
  <c r="FG40" i="2"/>
  <c r="FF40" i="2"/>
  <c r="FG64" i="6"/>
  <c r="FF64" i="6"/>
  <c r="FH19" i="6"/>
  <c r="FH89" i="4"/>
  <c r="FG65" i="4"/>
  <c r="FG67" i="4"/>
  <c r="FG89" i="4"/>
  <c r="FF65" i="4"/>
  <c r="FF67" i="4"/>
  <c r="FF89" i="4"/>
  <c r="FG64" i="4"/>
  <c r="FB9" i="14"/>
  <c r="FC9" i="14"/>
  <c r="FD9" i="14"/>
  <c r="FB8" i="14"/>
  <c r="FC8" i="14"/>
  <c r="FD8" i="14"/>
  <c r="FB7" i="14"/>
  <c r="FC7" i="14"/>
  <c r="FD7" i="14"/>
  <c r="FB6" i="14"/>
  <c r="FC6" i="14"/>
  <c r="FD6" i="14"/>
  <c r="FB5" i="14"/>
  <c r="FC5" i="14"/>
  <c r="FD5" i="14"/>
  <c r="FB9" i="13"/>
  <c r="FC9" i="13"/>
  <c r="FD9" i="13"/>
  <c r="FB8" i="13"/>
  <c r="FC8" i="13"/>
  <c r="FD8" i="13"/>
  <c r="FB7" i="13"/>
  <c r="FC7" i="13"/>
  <c r="FD7" i="13"/>
  <c r="FB6" i="13"/>
  <c r="FC6" i="13"/>
  <c r="FD6" i="13"/>
  <c r="FB5" i="13"/>
  <c r="FC5" i="13"/>
  <c r="FD5" i="13"/>
  <c r="FB9" i="15"/>
  <c r="FC9" i="15"/>
  <c r="FD9" i="15"/>
  <c r="FB8" i="15"/>
  <c r="FC8" i="15"/>
  <c r="FD8" i="15"/>
  <c r="FB7" i="15"/>
  <c r="FC7" i="15"/>
  <c r="FD7" i="15"/>
  <c r="FB6" i="15"/>
  <c r="FC6" i="15"/>
  <c r="FD6" i="15"/>
  <c r="FB5" i="15"/>
  <c r="FC5" i="15"/>
  <c r="FD5" i="15"/>
  <c r="FB9" i="8"/>
  <c r="FC9" i="8"/>
  <c r="FD9" i="8"/>
  <c r="FB8" i="8"/>
  <c r="FC8" i="8"/>
  <c r="FD8" i="8"/>
  <c r="FB7" i="8"/>
  <c r="FC7" i="8"/>
  <c r="FD7" i="8"/>
  <c r="FB6" i="8"/>
  <c r="FC6" i="8"/>
  <c r="FD6" i="8"/>
  <c r="FB5" i="8"/>
  <c r="FC5" i="8"/>
  <c r="FD5" i="8"/>
  <c r="FG89" i="7" l="1"/>
  <c r="FF89" i="7"/>
  <c r="FH89" i="7"/>
  <c r="FG88" i="2"/>
  <c r="FG89" i="2"/>
  <c r="FF89" i="2"/>
  <c r="FH89" i="2"/>
  <c r="FF40" i="7"/>
  <c r="FF41" i="2"/>
  <c r="FH40" i="7"/>
  <c r="FH41" i="2"/>
  <c r="FF42" i="2"/>
  <c r="FG40" i="7"/>
  <c r="FG41" i="2"/>
  <c r="FG42" i="2"/>
  <c r="FC80" i="7"/>
  <c r="FC81" i="7" s="1"/>
  <c r="FC79" i="7"/>
  <c r="FD79" i="7"/>
  <c r="FE79" i="7"/>
  <c r="FC78" i="7"/>
  <c r="FD78" i="7"/>
  <c r="FD80" i="7" s="1"/>
  <c r="FD81" i="7" s="1"/>
  <c r="FE78" i="7"/>
  <c r="FE80" i="7" s="1"/>
  <c r="FE81" i="7" s="1"/>
  <c r="FC72" i="7"/>
  <c r="FD72" i="7"/>
  <c r="FE72" i="7"/>
  <c r="FC71" i="7"/>
  <c r="FD71" i="7"/>
  <c r="FE71" i="7"/>
  <c r="FD63" i="7"/>
  <c r="FD64" i="7" s="1"/>
  <c r="FC62" i="7"/>
  <c r="FD62" i="7"/>
  <c r="FE62" i="7"/>
  <c r="FC61" i="7"/>
  <c r="FD61" i="7"/>
  <c r="FE61" i="7"/>
  <c r="FC52" i="7"/>
  <c r="FD52" i="7"/>
  <c r="FE52" i="7"/>
  <c r="FE53" i="7" s="1"/>
  <c r="FC51" i="7"/>
  <c r="FC53" i="7" s="1"/>
  <c r="FD51" i="7"/>
  <c r="FD53" i="7" s="1"/>
  <c r="FE51" i="7"/>
  <c r="FC32" i="7"/>
  <c r="FD32" i="7"/>
  <c r="FE32" i="7"/>
  <c r="FC31" i="7"/>
  <c r="FC33" i="7" s="1"/>
  <c r="FC34" i="7" s="1"/>
  <c r="FD31" i="7"/>
  <c r="FD33" i="7" s="1"/>
  <c r="FD34" i="7" s="1"/>
  <c r="FE31" i="7"/>
  <c r="FE33" i="7" s="1"/>
  <c r="FE34" i="7" s="1"/>
  <c r="FC25" i="7"/>
  <c r="FD25" i="7"/>
  <c r="FE25" i="7"/>
  <c r="FC24" i="7"/>
  <c r="FD24" i="7"/>
  <c r="FE24" i="7"/>
  <c r="FC17" i="7"/>
  <c r="FD17" i="7"/>
  <c r="FE17" i="7"/>
  <c r="FC16" i="7"/>
  <c r="FD16" i="7"/>
  <c r="FE16" i="7"/>
  <c r="FC9" i="7"/>
  <c r="FD9" i="7"/>
  <c r="FE9" i="7"/>
  <c r="FC8" i="7"/>
  <c r="FC10" i="7" s="1"/>
  <c r="FC11" i="7" s="1"/>
  <c r="FD8" i="7"/>
  <c r="FE8" i="7"/>
  <c r="FC86" i="6"/>
  <c r="FD86" i="6"/>
  <c r="FE86" i="6"/>
  <c r="FC85" i="6"/>
  <c r="FD85" i="6"/>
  <c r="FE85" i="6"/>
  <c r="FC82" i="6"/>
  <c r="FD82" i="6"/>
  <c r="FE82" i="6"/>
  <c r="FC81" i="6"/>
  <c r="FD81" i="6"/>
  <c r="FE81" i="6"/>
  <c r="FC80" i="6"/>
  <c r="FD80" i="6"/>
  <c r="FE80" i="6"/>
  <c r="FC73" i="6"/>
  <c r="FC75" i="6" s="1"/>
  <c r="FD73" i="6"/>
  <c r="FD74" i="6" s="1"/>
  <c r="FE73" i="6"/>
  <c r="FE75" i="6" s="1"/>
  <c r="FE72" i="6"/>
  <c r="FD72" i="6"/>
  <c r="FC72" i="6"/>
  <c r="FC67" i="6"/>
  <c r="FD67" i="6"/>
  <c r="FE67" i="6"/>
  <c r="FC65" i="6"/>
  <c r="FD65" i="6"/>
  <c r="FE65" i="6"/>
  <c r="FC64" i="6"/>
  <c r="FD64" i="6"/>
  <c r="FE64" i="6"/>
  <c r="FC63" i="6"/>
  <c r="FD63" i="6"/>
  <c r="FE63" i="6"/>
  <c r="FE62" i="6"/>
  <c r="FD62" i="6"/>
  <c r="FC62" i="6"/>
  <c r="FE61" i="6"/>
  <c r="FD61" i="6"/>
  <c r="FC61" i="6"/>
  <c r="FC57" i="6"/>
  <c r="FD57" i="6"/>
  <c r="FE57" i="6"/>
  <c r="FC55" i="6"/>
  <c r="FD55" i="6"/>
  <c r="FE55" i="6"/>
  <c r="FC54" i="6"/>
  <c r="FD54" i="6"/>
  <c r="FE54" i="6"/>
  <c r="FC53" i="6"/>
  <c r="FD53" i="6"/>
  <c r="FE53" i="6"/>
  <c r="FC39" i="6"/>
  <c r="FD39" i="6"/>
  <c r="FE39" i="6"/>
  <c r="FC38" i="6"/>
  <c r="FD38" i="6"/>
  <c r="FE38" i="6"/>
  <c r="FC35" i="6"/>
  <c r="FD35" i="6"/>
  <c r="FE35" i="6"/>
  <c r="FC34" i="6"/>
  <c r="FD34" i="6"/>
  <c r="FE34" i="6"/>
  <c r="FC33" i="6"/>
  <c r="FD33" i="6"/>
  <c r="FE33" i="6"/>
  <c r="FC26" i="6"/>
  <c r="FC27" i="6" s="1"/>
  <c r="FD26" i="6"/>
  <c r="FD27" i="6" s="1"/>
  <c r="FE26" i="6"/>
  <c r="FE27" i="6" s="1"/>
  <c r="FE25" i="6"/>
  <c r="FD25" i="6"/>
  <c r="FC25" i="6"/>
  <c r="FC20" i="6"/>
  <c r="FD20" i="6"/>
  <c r="FE20" i="6"/>
  <c r="FC19" i="6"/>
  <c r="FD19" i="6"/>
  <c r="FE19" i="6"/>
  <c r="FC18" i="6"/>
  <c r="FD18" i="6"/>
  <c r="FE18" i="6"/>
  <c r="FE17" i="6"/>
  <c r="FD17" i="6"/>
  <c r="FC17" i="6"/>
  <c r="FE16" i="6"/>
  <c r="FD16" i="6"/>
  <c r="FC16" i="6"/>
  <c r="FC12" i="6"/>
  <c r="FD12" i="6"/>
  <c r="FE12" i="6"/>
  <c r="FC11" i="6"/>
  <c r="FD11" i="6"/>
  <c r="FE11" i="6"/>
  <c r="FC10" i="6"/>
  <c r="FD10" i="6"/>
  <c r="FE10" i="6"/>
  <c r="FC73" i="4"/>
  <c r="FC75" i="4" s="1"/>
  <c r="FD73" i="4"/>
  <c r="FD74" i="4" s="1"/>
  <c r="FE73" i="4"/>
  <c r="FE75" i="4" s="1"/>
  <c r="FE72" i="4"/>
  <c r="FD72" i="4"/>
  <c r="FC72" i="4"/>
  <c r="FC86" i="4" s="1"/>
  <c r="FD86" i="4"/>
  <c r="FE86" i="4"/>
  <c r="FC85" i="4"/>
  <c r="FD85" i="4"/>
  <c r="FE85" i="4"/>
  <c r="FE82" i="4"/>
  <c r="FE81" i="4"/>
  <c r="FC80" i="4"/>
  <c r="FC82" i="4" s="1"/>
  <c r="FD80" i="4"/>
  <c r="FD82" i="4" s="1"/>
  <c r="FE80" i="4"/>
  <c r="FC67" i="4"/>
  <c r="FD67" i="4"/>
  <c r="FE67" i="4"/>
  <c r="FC65" i="4"/>
  <c r="FD65" i="4"/>
  <c r="FE65" i="4"/>
  <c r="FC64" i="4"/>
  <c r="FD64" i="4"/>
  <c r="FE64" i="4"/>
  <c r="FC63" i="4"/>
  <c r="FD63" i="4"/>
  <c r="FE63" i="4"/>
  <c r="FE62" i="4"/>
  <c r="FD62" i="4"/>
  <c r="FC62" i="4"/>
  <c r="FE61" i="4"/>
  <c r="FD61" i="4"/>
  <c r="FC61" i="4"/>
  <c r="FC57" i="4"/>
  <c r="FD57" i="4"/>
  <c r="FE57" i="4"/>
  <c r="FC55" i="4"/>
  <c r="FD55" i="4"/>
  <c r="FE55" i="4"/>
  <c r="FC54" i="4"/>
  <c r="FD54" i="4"/>
  <c r="FE54" i="4"/>
  <c r="FC53" i="4"/>
  <c r="FD53" i="4"/>
  <c r="FE53" i="4"/>
  <c r="FC39" i="4"/>
  <c r="FD39" i="4"/>
  <c r="FE39" i="4"/>
  <c r="FC38" i="4"/>
  <c r="FD38" i="4"/>
  <c r="FE38" i="4"/>
  <c r="FE35" i="4"/>
  <c r="FC34" i="4"/>
  <c r="FE34" i="4"/>
  <c r="FC33" i="4"/>
  <c r="FC35" i="4" s="1"/>
  <c r="FD33" i="4"/>
  <c r="FD34" i="4" s="1"/>
  <c r="FE33" i="4"/>
  <c r="FC26" i="4"/>
  <c r="FC28" i="4" s="1"/>
  <c r="FD26" i="4"/>
  <c r="FD28" i="4" s="1"/>
  <c r="FE26" i="4"/>
  <c r="FE28" i="4" s="1"/>
  <c r="FE25" i="4"/>
  <c r="FD25" i="4"/>
  <c r="FC25" i="4"/>
  <c r="FB25" i="4"/>
  <c r="FC20" i="4"/>
  <c r="FD20" i="4"/>
  <c r="FE20" i="4"/>
  <c r="FC19" i="4"/>
  <c r="FD19" i="4"/>
  <c r="FE19" i="4"/>
  <c r="FC18" i="4"/>
  <c r="FD18" i="4"/>
  <c r="FE18" i="4"/>
  <c r="FE17" i="4"/>
  <c r="FD17" i="4"/>
  <c r="FC17" i="4"/>
  <c r="FB17" i="4"/>
  <c r="FE16" i="4"/>
  <c r="FD16" i="4"/>
  <c r="FC16" i="4"/>
  <c r="FC12" i="4"/>
  <c r="FD12" i="4"/>
  <c r="FE12" i="4"/>
  <c r="FC11" i="4"/>
  <c r="FD11" i="4"/>
  <c r="FE11" i="4"/>
  <c r="FC10" i="4"/>
  <c r="FD10" i="4"/>
  <c r="FE10" i="4"/>
  <c r="FD35" i="4" l="1"/>
  <c r="FE40" i="6"/>
  <c r="FE41" i="6" s="1"/>
  <c r="FD65" i="7"/>
  <c r="FC12" i="14" s="1"/>
  <c r="FC12" i="7"/>
  <c r="FB5" i="26" s="1"/>
  <c r="FE18" i="7"/>
  <c r="FE19" i="7" s="1"/>
  <c r="FE10" i="7"/>
  <c r="FE57" i="7" s="1"/>
  <c r="FD18" i="7"/>
  <c r="FD67" i="7" s="1"/>
  <c r="FC35" i="7"/>
  <c r="FB8" i="26" s="1"/>
  <c r="FE63" i="7"/>
  <c r="FE65" i="7" s="1"/>
  <c r="FD12" i="14" s="1"/>
  <c r="FD10" i="7"/>
  <c r="FD11" i="7" s="1"/>
  <c r="FC18" i="7"/>
  <c r="FC19" i="7" s="1"/>
  <c r="FC63" i="7"/>
  <c r="FC67" i="7" s="1"/>
  <c r="FC57" i="7"/>
  <c r="FC54" i="7"/>
  <c r="FB9" i="26"/>
  <c r="FB12" i="8"/>
  <c r="FE54" i="7"/>
  <c r="FD57" i="7"/>
  <c r="FD54" i="7"/>
  <c r="FE35" i="7"/>
  <c r="FD8" i="26" s="1"/>
  <c r="FD55" i="7"/>
  <c r="FC12" i="15" s="1"/>
  <c r="FD35" i="7"/>
  <c r="FC8" i="26" s="1"/>
  <c r="FC55" i="7"/>
  <c r="FB12" i="15" s="1"/>
  <c r="FE64" i="7"/>
  <c r="FC64" i="7"/>
  <c r="FE55" i="7"/>
  <c r="FD12" i="15" s="1"/>
  <c r="FE28" i="6"/>
  <c r="FD81" i="4"/>
  <c r="FC81" i="4"/>
  <c r="FE82" i="7"/>
  <c r="FD82" i="7"/>
  <c r="FC82" i="7"/>
  <c r="FE74" i="6"/>
  <c r="FD28" i="6"/>
  <c r="FD40" i="6"/>
  <c r="FD41" i="6" s="1"/>
  <c r="FD75" i="4"/>
  <c r="FE40" i="4"/>
  <c r="FE41" i="4" s="1"/>
  <c r="FC40" i="4"/>
  <c r="FC41" i="4" s="1"/>
  <c r="FD26" i="7"/>
  <c r="FD27" i="7" s="1"/>
  <c r="FG41" i="7"/>
  <c r="FG42" i="7"/>
  <c r="FH41" i="7"/>
  <c r="FH42" i="7"/>
  <c r="FF41" i="7"/>
  <c r="FF42" i="7"/>
  <c r="FC40" i="6"/>
  <c r="FC41" i="6" s="1"/>
  <c r="FC74" i="6"/>
  <c r="FE87" i="6"/>
  <c r="FE88" i="6" s="1"/>
  <c r="FD87" i="6"/>
  <c r="FD88" i="6" s="1"/>
  <c r="FC87" i="6"/>
  <c r="FC88" i="6" s="1"/>
  <c r="FD40" i="4"/>
  <c r="FD41" i="4" s="1"/>
  <c r="FE74" i="4"/>
  <c r="FE26" i="7"/>
  <c r="FE27" i="7" s="1"/>
  <c r="FC26" i="7"/>
  <c r="FC27" i="7" s="1"/>
  <c r="FD75" i="6"/>
  <c r="FD42" i="6"/>
  <c r="FC28" i="6"/>
  <c r="FC74" i="4"/>
  <c r="FD73" i="7"/>
  <c r="FD74" i="7" s="1"/>
  <c r="FE27" i="4"/>
  <c r="FD27" i="4"/>
  <c r="FC27" i="4"/>
  <c r="FE73" i="7"/>
  <c r="FE74" i="7" s="1"/>
  <c r="FC73" i="7"/>
  <c r="FC74" i="7" s="1"/>
  <c r="FD87" i="4"/>
  <c r="FD88" i="4" s="1"/>
  <c r="FC87" i="4"/>
  <c r="FC89" i="4" s="1"/>
  <c r="FE87" i="4"/>
  <c r="FE88" i="4" s="1"/>
  <c r="FC86" i="5"/>
  <c r="FD86" i="5"/>
  <c r="FE86" i="5"/>
  <c r="FC85" i="5"/>
  <c r="FD85" i="5"/>
  <c r="FE85" i="5"/>
  <c r="FC82" i="5"/>
  <c r="FD82" i="5"/>
  <c r="FC81" i="5"/>
  <c r="FC80" i="5"/>
  <c r="FD80" i="5"/>
  <c r="FD81" i="5" s="1"/>
  <c r="FE80" i="5"/>
  <c r="FE82" i="5" s="1"/>
  <c r="FC73" i="5"/>
  <c r="FC74" i="5" s="1"/>
  <c r="FD73" i="5"/>
  <c r="FD75" i="5" s="1"/>
  <c r="FE73" i="5"/>
  <c r="FE75" i="5" s="1"/>
  <c r="FE72" i="5"/>
  <c r="FD72" i="5"/>
  <c r="FC72" i="5"/>
  <c r="FC67" i="5"/>
  <c r="FD67" i="5"/>
  <c r="FE67" i="5"/>
  <c r="FE63" i="5"/>
  <c r="FE65" i="5" s="1"/>
  <c r="FC57" i="5"/>
  <c r="FD57" i="5"/>
  <c r="FE57" i="5"/>
  <c r="FC55" i="5"/>
  <c r="FC54" i="5"/>
  <c r="FC53" i="5"/>
  <c r="FD53" i="5"/>
  <c r="FD55" i="5" s="1"/>
  <c r="FE53" i="5"/>
  <c r="FE55" i="5" s="1"/>
  <c r="FD71" i="5"/>
  <c r="FE71" i="5"/>
  <c r="FD65" i="5"/>
  <c r="FC63" i="5"/>
  <c r="FC65" i="5" s="1"/>
  <c r="FD63" i="5"/>
  <c r="FD64" i="5" s="1"/>
  <c r="FE64" i="5"/>
  <c r="FC39" i="5"/>
  <c r="FD39" i="5"/>
  <c r="FE39" i="5"/>
  <c r="FC38" i="5"/>
  <c r="FD38" i="5"/>
  <c r="FE38" i="5"/>
  <c r="FC33" i="5"/>
  <c r="FC35" i="5" s="1"/>
  <c r="FD33" i="5"/>
  <c r="FD35" i="5" s="1"/>
  <c r="FE33" i="5"/>
  <c r="FE35" i="5" s="1"/>
  <c r="FC26" i="5"/>
  <c r="FC28" i="5" s="1"/>
  <c r="FD26" i="5"/>
  <c r="FD28" i="5" s="1"/>
  <c r="FE26" i="5"/>
  <c r="FE27" i="5" s="1"/>
  <c r="FC18" i="5"/>
  <c r="FC20" i="5" s="1"/>
  <c r="FD18" i="5"/>
  <c r="FD20" i="5" s="1"/>
  <c r="FE18" i="5"/>
  <c r="FE19" i="5" s="1"/>
  <c r="FE20" i="5"/>
  <c r="FC10" i="5"/>
  <c r="FC12" i="5" s="1"/>
  <c r="FD10" i="5"/>
  <c r="FD12" i="5" s="1"/>
  <c r="FE10" i="5"/>
  <c r="FE12" i="5" s="1"/>
  <c r="FC89" i="6" l="1"/>
  <c r="FE42" i="6"/>
  <c r="FE20" i="7"/>
  <c r="FD6" i="26" s="1"/>
  <c r="FE67" i="7"/>
  <c r="FC65" i="7"/>
  <c r="FB12" i="14" s="1"/>
  <c r="FD20" i="7"/>
  <c r="FC12" i="13" s="1"/>
  <c r="FD19" i="7"/>
  <c r="FC20" i="7"/>
  <c r="FE12" i="7"/>
  <c r="FD12" i="7"/>
  <c r="FE11" i="7"/>
  <c r="FC6" i="26"/>
  <c r="FD9" i="26"/>
  <c r="FD5" i="26"/>
  <c r="FD12" i="8"/>
  <c r="FD12" i="13"/>
  <c r="FD40" i="5"/>
  <c r="FD41" i="5" s="1"/>
  <c r="FC75" i="5"/>
  <c r="FE87" i="5"/>
  <c r="FE88" i="5" s="1"/>
  <c r="FE89" i="6"/>
  <c r="FD28" i="7"/>
  <c r="FC7" i="26" s="1"/>
  <c r="FE42" i="4"/>
  <c r="FC42" i="4"/>
  <c r="FD87" i="5"/>
  <c r="FD88" i="5" s="1"/>
  <c r="FC87" i="5"/>
  <c r="FC89" i="5" s="1"/>
  <c r="FE28" i="5"/>
  <c r="FE40" i="5"/>
  <c r="FE41" i="5" s="1"/>
  <c r="FC28" i="7"/>
  <c r="FB5" i="24" s="1"/>
  <c r="FD27" i="5"/>
  <c r="FC42" i="6"/>
  <c r="FD89" i="6"/>
  <c r="FD42" i="4"/>
  <c r="FD75" i="7"/>
  <c r="FC6" i="24" s="1"/>
  <c r="FE74" i="5"/>
  <c r="FD74" i="5"/>
  <c r="FE28" i="7"/>
  <c r="FD7" i="26" s="1"/>
  <c r="FC27" i="5"/>
  <c r="FD89" i="4"/>
  <c r="FC75" i="7"/>
  <c r="FB6" i="24" s="1"/>
  <c r="FE75" i="7"/>
  <c r="FD6" i="24" s="1"/>
  <c r="FC88" i="4"/>
  <c r="FE89" i="4"/>
  <c r="FC40" i="5"/>
  <c r="FC41" i="5" s="1"/>
  <c r="FE81" i="5"/>
  <c r="FC64" i="5"/>
  <c r="FE54" i="5"/>
  <c r="FD54" i="5"/>
  <c r="FC34" i="5"/>
  <c r="FE34" i="5"/>
  <c r="FD34" i="5"/>
  <c r="FD19" i="5"/>
  <c r="FC19" i="5"/>
  <c r="FE11" i="5"/>
  <c r="FC11" i="5"/>
  <c r="FD11" i="5"/>
  <c r="FC86" i="2"/>
  <c r="FD86" i="2"/>
  <c r="FE86" i="2"/>
  <c r="FC85" i="2"/>
  <c r="FD85" i="2"/>
  <c r="FE85" i="2"/>
  <c r="FD82" i="2"/>
  <c r="FE82" i="2"/>
  <c r="FC81" i="2"/>
  <c r="FC80" i="2"/>
  <c r="FC82" i="2" s="1"/>
  <c r="FD80" i="2"/>
  <c r="FD81" i="2" s="1"/>
  <c r="FE80" i="2"/>
  <c r="FE81" i="2" s="1"/>
  <c r="FC73" i="2"/>
  <c r="FC74" i="2" s="1"/>
  <c r="FD73" i="2"/>
  <c r="FD75" i="2" s="1"/>
  <c r="FE73" i="2"/>
  <c r="FE75" i="2" s="1"/>
  <c r="FE72" i="2"/>
  <c r="FD72" i="2"/>
  <c r="FC72" i="2"/>
  <c r="FD71" i="2"/>
  <c r="FC71" i="2"/>
  <c r="FC67" i="2"/>
  <c r="FD67" i="2"/>
  <c r="FE67" i="2"/>
  <c r="FC65" i="2"/>
  <c r="FD65" i="2"/>
  <c r="FE65" i="2"/>
  <c r="FC64" i="2"/>
  <c r="FD64" i="2"/>
  <c r="FE64" i="2"/>
  <c r="FC63" i="2"/>
  <c r="FD63" i="2"/>
  <c r="FE63" i="2"/>
  <c r="FE62" i="2"/>
  <c r="FD62" i="2"/>
  <c r="FC62" i="2"/>
  <c r="FE61" i="2"/>
  <c r="FD61" i="2"/>
  <c r="FC61" i="2"/>
  <c r="FC57" i="2"/>
  <c r="FD57" i="2"/>
  <c r="FE57" i="2"/>
  <c r="FC55" i="2"/>
  <c r="FD55" i="2"/>
  <c r="FE55" i="2"/>
  <c r="FC54" i="2"/>
  <c r="FD54" i="2"/>
  <c r="FE54" i="2"/>
  <c r="FC53" i="2"/>
  <c r="FD53" i="2"/>
  <c r="FE53" i="2"/>
  <c r="FE16" i="2"/>
  <c r="FD24" i="2"/>
  <c r="FD16" i="2"/>
  <c r="FD19" i="2" s="1"/>
  <c r="FC39" i="2"/>
  <c r="FD39" i="2"/>
  <c r="FE39" i="2"/>
  <c r="FC38" i="2"/>
  <c r="FD38" i="2"/>
  <c r="FE38" i="2"/>
  <c r="FC35" i="2"/>
  <c r="FD35" i="2"/>
  <c r="FE35" i="2"/>
  <c r="FC34" i="2"/>
  <c r="FD34" i="2"/>
  <c r="FE34" i="2"/>
  <c r="FC33" i="2"/>
  <c r="FD33" i="2"/>
  <c r="FE33" i="2"/>
  <c r="FC26" i="2"/>
  <c r="FC27" i="2" s="1"/>
  <c r="FD26" i="2"/>
  <c r="FD28" i="2" s="1"/>
  <c r="FE26" i="2"/>
  <c r="FE27" i="2" s="1"/>
  <c r="FE25" i="2"/>
  <c r="FD25" i="2"/>
  <c r="FC25" i="2"/>
  <c r="FE24" i="2"/>
  <c r="FC24" i="2"/>
  <c r="FC20" i="2"/>
  <c r="FE20" i="2"/>
  <c r="FC19" i="2"/>
  <c r="FE19" i="2"/>
  <c r="FC18" i="2"/>
  <c r="FD18" i="2"/>
  <c r="FD20" i="2" s="1"/>
  <c r="FE18" i="2"/>
  <c r="FE17" i="2"/>
  <c r="FD17" i="2"/>
  <c r="FC17" i="2"/>
  <c r="FC16" i="2"/>
  <c r="FB16" i="2"/>
  <c r="FD12" i="2"/>
  <c r="FE12" i="2"/>
  <c r="FD11" i="2"/>
  <c r="FE11" i="2"/>
  <c r="FC10" i="2"/>
  <c r="FC12" i="2" s="1"/>
  <c r="FD10" i="2"/>
  <c r="FE10" i="2"/>
  <c r="FE89" i="5" l="1"/>
  <c r="FC9" i="26"/>
  <c r="FC5" i="26"/>
  <c r="FC12" i="8"/>
  <c r="FB6" i="26"/>
  <c r="FB12" i="13"/>
  <c r="FD42" i="5"/>
  <c r="FE40" i="2"/>
  <c r="FE42" i="2" s="1"/>
  <c r="FC5" i="24"/>
  <c r="FE87" i="2"/>
  <c r="FE89" i="2" s="1"/>
  <c r="FD74" i="2"/>
  <c r="FC88" i="5"/>
  <c r="FD89" i="5"/>
  <c r="FE42" i="5"/>
  <c r="FB7" i="26"/>
  <c r="FC75" i="2"/>
  <c r="FD87" i="2"/>
  <c r="FD89" i="2" s="1"/>
  <c r="FC87" i="2"/>
  <c r="FC89" i="2" s="1"/>
  <c r="FE28" i="2"/>
  <c r="FC28" i="2"/>
  <c r="FD5" i="24"/>
  <c r="FE74" i="2"/>
  <c r="FC40" i="2"/>
  <c r="FC41" i="2" s="1"/>
  <c r="FC42" i="5"/>
  <c r="FD27" i="2"/>
  <c r="FD40" i="2"/>
  <c r="FD42" i="2" s="1"/>
  <c r="FC11" i="2"/>
  <c r="FC16" i="1"/>
  <c r="FC18" i="1" s="1"/>
  <c r="FC86" i="1"/>
  <c r="FC86" i="7" s="1"/>
  <c r="FD86" i="1"/>
  <c r="FD86" i="7" s="1"/>
  <c r="FE86" i="1"/>
  <c r="FE86" i="7" s="1"/>
  <c r="FE72" i="1"/>
  <c r="FE73" i="1"/>
  <c r="FD72" i="1"/>
  <c r="FC72" i="1"/>
  <c r="FC73" i="1" s="1"/>
  <c r="FC74" i="1" s="1"/>
  <c r="FD73" i="1"/>
  <c r="FD74" i="1" s="1"/>
  <c r="FD67" i="1"/>
  <c r="FE67" i="1"/>
  <c r="FE62" i="1"/>
  <c r="FE63" i="1" s="1"/>
  <c r="FD62" i="1"/>
  <c r="FC62" i="1"/>
  <c r="FC63" i="1" s="1"/>
  <c r="FC57" i="1"/>
  <c r="FD57" i="1"/>
  <c r="FE57" i="1"/>
  <c r="FC55" i="1"/>
  <c r="FC54" i="1"/>
  <c r="FC53" i="1"/>
  <c r="FD53" i="1"/>
  <c r="FD55" i="1" s="1"/>
  <c r="FE53" i="1"/>
  <c r="FE55" i="1" s="1"/>
  <c r="FC85" i="1"/>
  <c r="FC85" i="7" s="1"/>
  <c r="FD85" i="1"/>
  <c r="FD85" i="7" s="1"/>
  <c r="FE85" i="1"/>
  <c r="FE85" i="7" s="1"/>
  <c r="FE82" i="1"/>
  <c r="FC81" i="1"/>
  <c r="FE81" i="1"/>
  <c r="FC80" i="1"/>
  <c r="FC82" i="1" s="1"/>
  <c r="FD80" i="1"/>
  <c r="FD81" i="1" s="1"/>
  <c r="FE80" i="1"/>
  <c r="FE71" i="1"/>
  <c r="FD71" i="1"/>
  <c r="FC71" i="1"/>
  <c r="FE61" i="1"/>
  <c r="FD61" i="1"/>
  <c r="FC61" i="1"/>
  <c r="FB61" i="1"/>
  <c r="FC39" i="1"/>
  <c r="FC39" i="7" s="1"/>
  <c r="FD39" i="1"/>
  <c r="FD39" i="7" s="1"/>
  <c r="FE39" i="1"/>
  <c r="FE39" i="7" s="1"/>
  <c r="FC35" i="1"/>
  <c r="FD35" i="1"/>
  <c r="FE35" i="1"/>
  <c r="FC34" i="1"/>
  <c r="FD34" i="1"/>
  <c r="FE34" i="1"/>
  <c r="FC33" i="1"/>
  <c r="FD33" i="1"/>
  <c r="FE33" i="1"/>
  <c r="FC26" i="1"/>
  <c r="FC28" i="1" s="1"/>
  <c r="FD26" i="1"/>
  <c r="FD28" i="1" s="1"/>
  <c r="FE26" i="1"/>
  <c r="FE28" i="1" s="1"/>
  <c r="FE25" i="1"/>
  <c r="FD25" i="1"/>
  <c r="FC25" i="1"/>
  <c r="FD20" i="1"/>
  <c r="FE20" i="1"/>
  <c r="FD19" i="1"/>
  <c r="FE19" i="1"/>
  <c r="FD18" i="1"/>
  <c r="FE18" i="1"/>
  <c r="FE17" i="1"/>
  <c r="FD17" i="1"/>
  <c r="FC17" i="1"/>
  <c r="FB17" i="1"/>
  <c r="FC12" i="1"/>
  <c r="FD12" i="1"/>
  <c r="FE12" i="1"/>
  <c r="FC11" i="1"/>
  <c r="FD11" i="1"/>
  <c r="FE11" i="1"/>
  <c r="FC10" i="1"/>
  <c r="FD10" i="1"/>
  <c r="FE10" i="1"/>
  <c r="FC38" i="1"/>
  <c r="FC38" i="7" s="1"/>
  <c r="FD38" i="1"/>
  <c r="FD38" i="7" s="1"/>
  <c r="FE38" i="1"/>
  <c r="FE38" i="7" s="1"/>
  <c r="FE24" i="1"/>
  <c r="FD24" i="1"/>
  <c r="FC24" i="1"/>
  <c r="FE16" i="1"/>
  <c r="FD16" i="1"/>
  <c r="FE41" i="2" l="1"/>
  <c r="FE88" i="2"/>
  <c r="FD88" i="2"/>
  <c r="FE27" i="1"/>
  <c r="FC88" i="2"/>
  <c r="FC42" i="2"/>
  <c r="FC87" i="7"/>
  <c r="FC88" i="7" s="1"/>
  <c r="FD87" i="7"/>
  <c r="FD88" i="7" s="1"/>
  <c r="FE87" i="1"/>
  <c r="FE89" i="1" s="1"/>
  <c r="FD87" i="1"/>
  <c r="FD88" i="1" s="1"/>
  <c r="FC87" i="1"/>
  <c r="FC88" i="1" s="1"/>
  <c r="FE87" i="7"/>
  <c r="FE88" i="7" s="1"/>
  <c r="FC27" i="1"/>
  <c r="FE40" i="1"/>
  <c r="FE42" i="1" s="1"/>
  <c r="FD27" i="1"/>
  <c r="FD40" i="1"/>
  <c r="FD41" i="2"/>
  <c r="FC67" i="1"/>
  <c r="FC20" i="1"/>
  <c r="FC40" i="1"/>
  <c r="FC19" i="1"/>
  <c r="FD82" i="1"/>
  <c r="FE74" i="1"/>
  <c r="FE75" i="1"/>
  <c r="FD75" i="1"/>
  <c r="FC75" i="1"/>
  <c r="FD65" i="1"/>
  <c r="FD63" i="1"/>
  <c r="FD64" i="1" s="1"/>
  <c r="FC65" i="1"/>
  <c r="FC64" i="1"/>
  <c r="FE64" i="1"/>
  <c r="FE65" i="1"/>
  <c r="FE54" i="1"/>
  <c r="FD54" i="1"/>
  <c r="EZ79" i="7"/>
  <c r="FA79" i="7"/>
  <c r="FB79" i="7"/>
  <c r="EZ78" i="7"/>
  <c r="FA78" i="7"/>
  <c r="FB78" i="7"/>
  <c r="EZ52" i="7"/>
  <c r="FA52" i="7"/>
  <c r="FB52" i="7"/>
  <c r="EZ51" i="7"/>
  <c r="FA51" i="7"/>
  <c r="FA53" i="7" s="1"/>
  <c r="FB51" i="7"/>
  <c r="FB53" i="7" s="1"/>
  <c r="EZ32" i="7"/>
  <c r="FA32" i="7"/>
  <c r="FB32" i="7"/>
  <c r="EZ31" i="7"/>
  <c r="FA31" i="7"/>
  <c r="FB31" i="7"/>
  <c r="EZ9" i="7"/>
  <c r="FA9" i="7"/>
  <c r="FB9" i="7"/>
  <c r="EZ8" i="7"/>
  <c r="FA8" i="7"/>
  <c r="FB8" i="7"/>
  <c r="EZ86" i="5"/>
  <c r="FA86" i="5"/>
  <c r="FB86" i="5"/>
  <c r="FB85" i="5"/>
  <c r="FA82" i="5"/>
  <c r="EZ80" i="5"/>
  <c r="EZ82" i="5" s="1"/>
  <c r="FA80" i="5"/>
  <c r="FA81" i="5" s="1"/>
  <c r="FB80" i="5"/>
  <c r="FB81" i="5" s="1"/>
  <c r="EZ71" i="5"/>
  <c r="EZ73" i="5" s="1"/>
  <c r="FA71" i="5"/>
  <c r="FA85" i="5" s="1"/>
  <c r="FA87" i="5" s="1"/>
  <c r="FB71" i="5"/>
  <c r="FB73" i="5" s="1"/>
  <c r="FB74" i="5" s="1"/>
  <c r="FB65" i="5"/>
  <c r="FA9" i="14" s="1"/>
  <c r="EZ63" i="5"/>
  <c r="EZ64" i="5" s="1"/>
  <c r="FA63" i="5"/>
  <c r="FA64" i="5" s="1"/>
  <c r="FB63" i="5"/>
  <c r="FB67" i="5" s="1"/>
  <c r="FB57" i="5"/>
  <c r="FA55" i="5"/>
  <c r="EZ9" i="15" s="1"/>
  <c r="FA54" i="5"/>
  <c r="EZ53" i="5"/>
  <c r="EZ57" i="5" s="1"/>
  <c r="FA53" i="5"/>
  <c r="FB53" i="5"/>
  <c r="FB55" i="5" s="1"/>
  <c r="FA9" i="15" s="1"/>
  <c r="EZ39" i="5"/>
  <c r="FA39" i="5"/>
  <c r="FB39" i="5"/>
  <c r="EZ38" i="5"/>
  <c r="FA38" i="5"/>
  <c r="FB38" i="5"/>
  <c r="EZ26" i="5"/>
  <c r="EZ27" i="5" s="1"/>
  <c r="FA26" i="5"/>
  <c r="FA27" i="5" s="1"/>
  <c r="FB26" i="5"/>
  <c r="FB28" i="5" s="1"/>
  <c r="FB34" i="5"/>
  <c r="EZ33" i="5"/>
  <c r="EZ34" i="5" s="1"/>
  <c r="FA33" i="5"/>
  <c r="FA34" i="5" s="1"/>
  <c r="FB33" i="5"/>
  <c r="FB35" i="5" s="1"/>
  <c r="FA18" i="5"/>
  <c r="FB18" i="5"/>
  <c r="FB20" i="5" s="1"/>
  <c r="FA9" i="13" s="1"/>
  <c r="FA20" i="5"/>
  <c r="EZ9" i="13" s="1"/>
  <c r="FA19" i="5"/>
  <c r="EZ18" i="5"/>
  <c r="EZ67" i="5" s="1"/>
  <c r="EZ11" i="5"/>
  <c r="FB11" i="5"/>
  <c r="EZ10" i="5"/>
  <c r="EZ12" i="5" s="1"/>
  <c r="EY9" i="8" s="1"/>
  <c r="FA10" i="5"/>
  <c r="FA11" i="5" s="1"/>
  <c r="FB10" i="5"/>
  <c r="FB12" i="5" s="1"/>
  <c r="FA9" i="8" s="1"/>
  <c r="FB10" i="7" l="1"/>
  <c r="FB11" i="7" s="1"/>
  <c r="FE88" i="1"/>
  <c r="FC89" i="1"/>
  <c r="FD89" i="1"/>
  <c r="EZ40" i="5"/>
  <c r="EZ41" i="5" s="1"/>
  <c r="EZ80" i="7"/>
  <c r="EZ81" i="7" s="1"/>
  <c r="FE89" i="7"/>
  <c r="FC89" i="7"/>
  <c r="FB40" i="5"/>
  <c r="FB41" i="5" s="1"/>
  <c r="FD89" i="7"/>
  <c r="FD40" i="7"/>
  <c r="FD41" i="1"/>
  <c r="FD42" i="1"/>
  <c r="FC42" i="1"/>
  <c r="FC40" i="7"/>
  <c r="FE40" i="7"/>
  <c r="FE41" i="1"/>
  <c r="EZ53" i="7"/>
  <c r="EZ54" i="7" s="1"/>
  <c r="FA80" i="7"/>
  <c r="FA82" i="7" s="1"/>
  <c r="FA10" i="7"/>
  <c r="FB80" i="7"/>
  <c r="FB81" i="7" s="1"/>
  <c r="FA57" i="7"/>
  <c r="FA54" i="7"/>
  <c r="FB33" i="7"/>
  <c r="FB34" i="7" s="1"/>
  <c r="EZ10" i="7"/>
  <c r="EZ11" i="7" s="1"/>
  <c r="FB12" i="7"/>
  <c r="FA5" i="26" s="1"/>
  <c r="FA33" i="7"/>
  <c r="FA34" i="7" s="1"/>
  <c r="EZ33" i="7"/>
  <c r="EZ34" i="7" s="1"/>
  <c r="FA40" i="5"/>
  <c r="FA41" i="5" s="1"/>
  <c r="FC41" i="1"/>
  <c r="EZ74" i="5"/>
  <c r="EZ75" i="5"/>
  <c r="FB57" i="7"/>
  <c r="FB55" i="7"/>
  <c r="FA12" i="15" s="1"/>
  <c r="FB54" i="7"/>
  <c r="FA11" i="7"/>
  <c r="FA12" i="7"/>
  <c r="FA35" i="7"/>
  <c r="EZ8" i="26" s="1"/>
  <c r="FA9" i="26"/>
  <c r="EZ55" i="7"/>
  <c r="EY12" i="15" s="1"/>
  <c r="FA73" i="5"/>
  <c r="FA75" i="5" s="1"/>
  <c r="EZ19" i="5"/>
  <c r="FA57" i="5"/>
  <c r="EZ20" i="5"/>
  <c r="EY9" i="13" s="1"/>
  <c r="FB54" i="5"/>
  <c r="EZ85" i="5"/>
  <c r="EZ87" i="5" s="1"/>
  <c r="EZ88" i="5" s="1"/>
  <c r="EZ54" i="5"/>
  <c r="FB27" i="5"/>
  <c r="FB64" i="5"/>
  <c r="EZ81" i="5"/>
  <c r="FA55" i="7"/>
  <c r="EZ12" i="15" s="1"/>
  <c r="EZ55" i="5"/>
  <c r="EY9" i="15" s="1"/>
  <c r="FA67" i="5"/>
  <c r="FB87" i="5"/>
  <c r="FB88" i="5" s="1"/>
  <c r="FA35" i="5"/>
  <c r="FA88" i="5"/>
  <c r="FA89" i="5"/>
  <c r="FB75" i="5"/>
  <c r="EZ28" i="5"/>
  <c r="FB82" i="5"/>
  <c r="EZ65" i="5"/>
  <c r="EY9" i="14" s="1"/>
  <c r="FA65" i="5"/>
  <c r="EZ9" i="14" s="1"/>
  <c r="EZ35" i="5"/>
  <c r="FA28" i="5"/>
  <c r="FB19" i="5"/>
  <c r="FA12" i="5"/>
  <c r="EZ9" i="8" s="1"/>
  <c r="FA86" i="6"/>
  <c r="EZ85" i="6"/>
  <c r="FB85" i="6"/>
  <c r="FA82" i="6"/>
  <c r="EZ81" i="6"/>
  <c r="FB81" i="6"/>
  <c r="EZ80" i="6"/>
  <c r="EZ82" i="6" s="1"/>
  <c r="FA80" i="6"/>
  <c r="FA81" i="6" s="1"/>
  <c r="FB80" i="6"/>
  <c r="FB82" i="6" s="1"/>
  <c r="FB72" i="6"/>
  <c r="FB73" i="6" s="1"/>
  <c r="FB75" i="6" s="1"/>
  <c r="FA72" i="6"/>
  <c r="EZ72" i="6"/>
  <c r="EZ73" i="6" s="1"/>
  <c r="EZ74" i="6" s="1"/>
  <c r="FA73" i="6"/>
  <c r="FA74" i="6" s="1"/>
  <c r="FB62" i="6"/>
  <c r="FB63" i="6" s="1"/>
  <c r="FA62" i="6"/>
  <c r="EZ62" i="6"/>
  <c r="EZ63" i="6" s="1"/>
  <c r="FB61" i="6"/>
  <c r="FA61" i="6"/>
  <c r="FA63" i="6" s="1"/>
  <c r="EZ61" i="6"/>
  <c r="FA54" i="6"/>
  <c r="EZ53" i="6"/>
  <c r="EZ54" i="6" s="1"/>
  <c r="FA53" i="6"/>
  <c r="FA57" i="6" s="1"/>
  <c r="FB53" i="6"/>
  <c r="FB55" i="6" s="1"/>
  <c r="FA8" i="15" s="1"/>
  <c r="EZ39" i="6"/>
  <c r="FA35" i="6"/>
  <c r="FB35" i="6"/>
  <c r="FA34" i="6"/>
  <c r="EZ33" i="6"/>
  <c r="EZ35" i="6" s="1"/>
  <c r="FA33" i="6"/>
  <c r="FB33" i="6"/>
  <c r="FB34" i="6" s="1"/>
  <c r="FA26" i="6"/>
  <c r="FA27" i="6" s="1"/>
  <c r="FB25" i="6"/>
  <c r="FB39" i="6" s="1"/>
  <c r="FA25" i="6"/>
  <c r="EZ25" i="6"/>
  <c r="EZ26" i="6" s="1"/>
  <c r="FB17" i="6"/>
  <c r="FA17" i="6"/>
  <c r="FA39" i="6" s="1"/>
  <c r="EZ17" i="6"/>
  <c r="FB18" i="6"/>
  <c r="FB19" i="6" s="1"/>
  <c r="FB16" i="6"/>
  <c r="FB38" i="6" s="1"/>
  <c r="FA16" i="6"/>
  <c r="FA38" i="6" s="1"/>
  <c r="EZ16" i="6"/>
  <c r="EZ38" i="6" s="1"/>
  <c r="FA12" i="6"/>
  <c r="EZ8" i="8" s="1"/>
  <c r="FB12" i="6"/>
  <c r="FA8" i="8" s="1"/>
  <c r="FA11" i="6"/>
  <c r="EZ10" i="6"/>
  <c r="EZ12" i="6" s="1"/>
  <c r="EY8" i="8" s="1"/>
  <c r="FA10" i="6"/>
  <c r="FB10" i="6"/>
  <c r="FB57" i="6" s="1"/>
  <c r="EZ82" i="4"/>
  <c r="FA82" i="4"/>
  <c r="EZ80" i="4"/>
  <c r="EZ81" i="4" s="1"/>
  <c r="FA80" i="4"/>
  <c r="FA81" i="4" s="1"/>
  <c r="FB80" i="4"/>
  <c r="FB82" i="4" s="1"/>
  <c r="FA73" i="4"/>
  <c r="FA74" i="4" s="1"/>
  <c r="FB72" i="4"/>
  <c r="FB73" i="4" s="1"/>
  <c r="FA72" i="4"/>
  <c r="EZ72" i="4"/>
  <c r="EZ73" i="4" s="1"/>
  <c r="FA85" i="4"/>
  <c r="FA63" i="4"/>
  <c r="FA64" i="4" s="1"/>
  <c r="FB62" i="4"/>
  <c r="FB63" i="4" s="1"/>
  <c r="FA62" i="4"/>
  <c r="EZ62" i="4"/>
  <c r="EZ86" i="4" s="1"/>
  <c r="FB61" i="4"/>
  <c r="FB85" i="4" s="1"/>
  <c r="FA61" i="4"/>
  <c r="EZ61" i="4"/>
  <c r="EZ63" i="4" s="1"/>
  <c r="FA55" i="4"/>
  <c r="EZ7" i="15" s="1"/>
  <c r="EZ54" i="4"/>
  <c r="FB54" i="4"/>
  <c r="EZ53" i="4"/>
  <c r="EZ55" i="4" s="1"/>
  <c r="EY7" i="15" s="1"/>
  <c r="FA53" i="4"/>
  <c r="FA54" i="4" s="1"/>
  <c r="FB53" i="4"/>
  <c r="FB55" i="4" s="1"/>
  <c r="FA7" i="15" s="1"/>
  <c r="EZ39" i="4"/>
  <c r="EZ33" i="4"/>
  <c r="EZ34" i="4" s="1"/>
  <c r="FA33" i="4"/>
  <c r="FA35" i="4" s="1"/>
  <c r="FB33" i="4"/>
  <c r="FB34" i="4" s="1"/>
  <c r="FB26" i="4"/>
  <c r="FB28" i="4" s="1"/>
  <c r="FA26" i="4"/>
  <c r="FA27" i="4" s="1"/>
  <c r="FA25" i="4"/>
  <c r="EZ26" i="4"/>
  <c r="EZ28" i="4" s="1"/>
  <c r="EZ25" i="4"/>
  <c r="FB18" i="4"/>
  <c r="FA17" i="4"/>
  <c r="EZ17" i="4"/>
  <c r="FB16" i="4"/>
  <c r="FB38" i="4" s="1"/>
  <c r="FA16" i="4"/>
  <c r="FA18" i="4" s="1"/>
  <c r="FA19" i="4" s="1"/>
  <c r="EZ16" i="4"/>
  <c r="EZ38" i="4" s="1"/>
  <c r="EZ18" i="4"/>
  <c r="EZ20" i="4" s="1"/>
  <c r="EY7" i="13" s="1"/>
  <c r="EZ10" i="4"/>
  <c r="EZ12" i="4" s="1"/>
  <c r="EY7" i="8" s="1"/>
  <c r="FA10" i="4"/>
  <c r="FA12" i="4" s="1"/>
  <c r="EZ7" i="8" s="1"/>
  <c r="FB10" i="4"/>
  <c r="FB12" i="4" s="1"/>
  <c r="FA7" i="8" s="1"/>
  <c r="FA34" i="4" l="1"/>
  <c r="FB35" i="4"/>
  <c r="FA40" i="6"/>
  <c r="FA41" i="6" s="1"/>
  <c r="EZ42" i="5"/>
  <c r="FA81" i="7"/>
  <c r="FB89" i="5"/>
  <c r="EZ82" i="7"/>
  <c r="FB81" i="4"/>
  <c r="EZ40" i="6"/>
  <c r="EZ41" i="6" s="1"/>
  <c r="FB40" i="6"/>
  <c r="FB41" i="6" s="1"/>
  <c r="FA28" i="4"/>
  <c r="FB82" i="7"/>
  <c r="FA74" i="5"/>
  <c r="FB42" i="5"/>
  <c r="FA42" i="5"/>
  <c r="FE41" i="7"/>
  <c r="FE42" i="7"/>
  <c r="FC41" i="7"/>
  <c r="FC42" i="7"/>
  <c r="FD41" i="7"/>
  <c r="FD42" i="7"/>
  <c r="EZ27" i="4"/>
  <c r="EZ89" i="5"/>
  <c r="EZ12" i="7"/>
  <c r="EY12" i="8" s="1"/>
  <c r="EZ57" i="7"/>
  <c r="FB35" i="7"/>
  <c r="FA8" i="26" s="1"/>
  <c r="FA12" i="8"/>
  <c r="EZ35" i="7"/>
  <c r="EY8" i="26" s="1"/>
  <c r="EZ64" i="4"/>
  <c r="EZ67" i="4"/>
  <c r="EZ75" i="4"/>
  <c r="EZ74" i="4"/>
  <c r="EZ28" i="6"/>
  <c r="EZ27" i="6"/>
  <c r="FB75" i="4"/>
  <c r="FB74" i="4"/>
  <c r="FB64" i="4"/>
  <c r="FB67" i="4"/>
  <c r="EZ40" i="4"/>
  <c r="EZ42" i="4" s="1"/>
  <c r="FB65" i="4"/>
  <c r="FA7" i="14" s="1"/>
  <c r="EZ85" i="4"/>
  <c r="EZ87" i="4" s="1"/>
  <c r="EZ88" i="4" s="1"/>
  <c r="FB11" i="6"/>
  <c r="FB26" i="6"/>
  <c r="FA55" i="6"/>
  <c r="EZ8" i="15" s="1"/>
  <c r="FB86" i="4"/>
  <c r="FB67" i="6"/>
  <c r="EZ35" i="4"/>
  <c r="FB57" i="4"/>
  <c r="FA65" i="4"/>
  <c r="EZ7" i="14" s="1"/>
  <c r="FA57" i="4"/>
  <c r="EZ65" i="4"/>
  <c r="EY7" i="14" s="1"/>
  <c r="EZ11" i="6"/>
  <c r="EZ34" i="6"/>
  <c r="FA85" i="6"/>
  <c r="FA87" i="6" s="1"/>
  <c r="FA89" i="6" s="1"/>
  <c r="EY9" i="26"/>
  <c r="EY5" i="26"/>
  <c r="FA38" i="4"/>
  <c r="EZ57" i="6"/>
  <c r="EZ57" i="4"/>
  <c r="FA75" i="4"/>
  <c r="FA11" i="4"/>
  <c r="FA67" i="4"/>
  <c r="FA86" i="4"/>
  <c r="FA87" i="4" s="1"/>
  <c r="FA88" i="4" s="1"/>
  <c r="FB20" i="6"/>
  <c r="FA8" i="13" s="1"/>
  <c r="FB86" i="6"/>
  <c r="FB87" i="6" s="1"/>
  <c r="EZ11" i="4"/>
  <c r="FB39" i="4"/>
  <c r="FB40" i="4" s="1"/>
  <c r="FB41" i="4" s="1"/>
  <c r="FA20" i="4"/>
  <c r="EZ7" i="13" s="1"/>
  <c r="FB27" i="4"/>
  <c r="FA39" i="4"/>
  <c r="EZ86" i="6"/>
  <c r="EZ87" i="6" s="1"/>
  <c r="EZ88" i="6" s="1"/>
  <c r="EZ9" i="26"/>
  <c r="EZ5" i="26"/>
  <c r="EZ12" i="8"/>
  <c r="FA75" i="6"/>
  <c r="EZ75" i="6"/>
  <c r="FA42" i="6"/>
  <c r="FA28" i="6"/>
  <c r="FB74" i="6"/>
  <c r="FB64" i="6"/>
  <c r="EZ65" i="6"/>
  <c r="EY8" i="14" s="1"/>
  <c r="EZ64" i="6"/>
  <c r="FB65" i="6"/>
  <c r="FA8" i="14" s="1"/>
  <c r="FA65" i="6"/>
  <c r="EZ8" i="14" s="1"/>
  <c r="FA64" i="6"/>
  <c r="EZ67" i="6"/>
  <c r="FB54" i="6"/>
  <c r="EZ55" i="6"/>
  <c r="EY8" i="15" s="1"/>
  <c r="FA18" i="6"/>
  <c r="FA19" i="6" s="1"/>
  <c r="EZ18" i="6"/>
  <c r="EZ19" i="6" s="1"/>
  <c r="FB87" i="4"/>
  <c r="FB89" i="4" s="1"/>
  <c r="FB20" i="4"/>
  <c r="FA7" i="13" s="1"/>
  <c r="FB19" i="4"/>
  <c r="EZ19" i="4"/>
  <c r="FB11" i="4"/>
  <c r="EZ85" i="2"/>
  <c r="FB85" i="2"/>
  <c r="EZ81" i="2"/>
  <c r="EZ80" i="2"/>
  <c r="EZ82" i="2" s="1"/>
  <c r="FA80" i="2"/>
  <c r="FA82" i="2" s="1"/>
  <c r="FB80" i="2"/>
  <c r="FB82" i="2" s="1"/>
  <c r="FA73" i="2"/>
  <c r="FA75" i="2" s="1"/>
  <c r="FB72" i="2"/>
  <c r="FA72" i="2"/>
  <c r="EZ72" i="2"/>
  <c r="FB71" i="2"/>
  <c r="FB73" i="2" s="1"/>
  <c r="FB74" i="2" s="1"/>
  <c r="FA71" i="2"/>
  <c r="EZ71" i="2"/>
  <c r="EZ73" i="2" s="1"/>
  <c r="EZ74" i="2" s="1"/>
  <c r="FB62" i="2"/>
  <c r="FB65" i="2" s="1"/>
  <c r="FA6" i="14" s="1"/>
  <c r="FA62" i="2"/>
  <c r="FA86" i="2" s="1"/>
  <c r="EZ62" i="2"/>
  <c r="EZ65" i="2" s="1"/>
  <c r="EY6" i="14" s="1"/>
  <c r="FB61" i="2"/>
  <c r="FB63" i="2" s="1"/>
  <c r="FA61" i="2"/>
  <c r="FA85" i="2" s="1"/>
  <c r="EZ61" i="2"/>
  <c r="EZ63" i="2" s="1"/>
  <c r="EZ57" i="2"/>
  <c r="FB57" i="2"/>
  <c r="EZ55" i="2"/>
  <c r="EY6" i="15" s="1"/>
  <c r="EZ54" i="2"/>
  <c r="FB54" i="2"/>
  <c r="EZ53" i="2"/>
  <c r="FA53" i="2"/>
  <c r="FA54" i="2" s="1"/>
  <c r="FB53" i="2"/>
  <c r="FB55" i="2" s="1"/>
  <c r="FA6" i="15" s="1"/>
  <c r="FA39" i="2"/>
  <c r="FA35" i="2"/>
  <c r="EZ34" i="2"/>
  <c r="FB34" i="2"/>
  <c r="EZ33" i="2"/>
  <c r="EZ35" i="2" s="1"/>
  <c r="FA33" i="2"/>
  <c r="FA34" i="2" s="1"/>
  <c r="FB33" i="2"/>
  <c r="FB35" i="2" s="1"/>
  <c r="FB26" i="2"/>
  <c r="FB28" i="2" s="1"/>
  <c r="FB25" i="2"/>
  <c r="FA25" i="2"/>
  <c r="EZ25" i="2"/>
  <c r="FB24" i="2"/>
  <c r="FA24" i="2"/>
  <c r="FA26" i="2" s="1"/>
  <c r="FA27" i="2" s="1"/>
  <c r="EZ24" i="2"/>
  <c r="EZ26" i="2" s="1"/>
  <c r="FB17" i="2"/>
  <c r="FB39" i="2" s="1"/>
  <c r="FA17" i="2"/>
  <c r="EZ17" i="2"/>
  <c r="EZ39" i="2" s="1"/>
  <c r="FB18" i="2"/>
  <c r="FB19" i="2" s="1"/>
  <c r="FA16" i="2"/>
  <c r="FA18" i="2" s="1"/>
  <c r="EZ16" i="2"/>
  <c r="EZ18" i="2" s="1"/>
  <c r="FB12" i="2"/>
  <c r="FA6" i="8" s="1"/>
  <c r="FB11" i="2"/>
  <c r="EZ10" i="2"/>
  <c r="EZ12" i="2" s="1"/>
  <c r="EY6" i="8" s="1"/>
  <c r="FA10" i="2"/>
  <c r="FA12" i="2" s="1"/>
  <c r="EZ6" i="8" s="1"/>
  <c r="FB10" i="2"/>
  <c r="EZ86" i="1"/>
  <c r="EZ82" i="1"/>
  <c r="EZ81" i="1"/>
  <c r="FB81" i="1"/>
  <c r="EZ80" i="1"/>
  <c r="FA80" i="1"/>
  <c r="FA81" i="1" s="1"/>
  <c r="FB80" i="1"/>
  <c r="FB82" i="1" s="1"/>
  <c r="FA73" i="1"/>
  <c r="FA74" i="1" s="1"/>
  <c r="FB72" i="1"/>
  <c r="FB72" i="7" s="1"/>
  <c r="FA72" i="1"/>
  <c r="FA72" i="7" s="1"/>
  <c r="EZ72" i="1"/>
  <c r="EZ72" i="7" s="1"/>
  <c r="FA85" i="1"/>
  <c r="FB71" i="1"/>
  <c r="FB71" i="7" s="1"/>
  <c r="FA71" i="1"/>
  <c r="FA71" i="7" s="1"/>
  <c r="EZ71" i="1"/>
  <c r="EZ71" i="7" s="1"/>
  <c r="FB63" i="1"/>
  <c r="FB65" i="1" s="1"/>
  <c r="FA5" i="14" s="1"/>
  <c r="FB62" i="1"/>
  <c r="FB62" i="7" s="1"/>
  <c r="FA62" i="1"/>
  <c r="FA62" i="7" s="1"/>
  <c r="EZ62" i="1"/>
  <c r="EZ62" i="7" s="1"/>
  <c r="FB61" i="7"/>
  <c r="FA61" i="1"/>
  <c r="FA63" i="1" s="1"/>
  <c r="EZ61" i="1"/>
  <c r="EZ61" i="7" s="1"/>
  <c r="FA57" i="1"/>
  <c r="FA55" i="1"/>
  <c r="EZ5" i="15" s="1"/>
  <c r="FA54" i="1"/>
  <c r="EZ53" i="1"/>
  <c r="EZ55" i="1" s="1"/>
  <c r="EY5" i="15" s="1"/>
  <c r="FA53" i="1"/>
  <c r="FB53" i="1"/>
  <c r="FB57" i="1" s="1"/>
  <c r="FA25" i="1"/>
  <c r="FA25" i="7" s="1"/>
  <c r="FA35" i="1"/>
  <c r="FA34" i="1"/>
  <c r="EZ33" i="1"/>
  <c r="EZ34" i="1" s="1"/>
  <c r="FA33" i="1"/>
  <c r="FB33" i="1"/>
  <c r="FB35" i="1" s="1"/>
  <c r="FB25" i="1"/>
  <c r="EZ25" i="1"/>
  <c r="FB24" i="1"/>
  <c r="FB24" i="7" s="1"/>
  <c r="FA24" i="1"/>
  <c r="EZ24" i="1"/>
  <c r="EZ24" i="7" s="1"/>
  <c r="FB16" i="1"/>
  <c r="FB17" i="7"/>
  <c r="FA17" i="1"/>
  <c r="EZ17" i="1"/>
  <c r="FA16" i="1"/>
  <c r="EZ16" i="1"/>
  <c r="EZ16" i="7" s="1"/>
  <c r="FB10" i="1"/>
  <c r="FB11" i="1" s="1"/>
  <c r="FA10" i="1"/>
  <c r="FA12" i="1" s="1"/>
  <c r="EZ5" i="8" s="1"/>
  <c r="EZ10" i="1"/>
  <c r="EZ11" i="1" s="1"/>
  <c r="EZ42" i="6" l="1"/>
  <c r="FB42" i="6"/>
  <c r="FB88" i="4"/>
  <c r="FB81" i="2"/>
  <c r="FA88" i="6"/>
  <c r="EZ41" i="4"/>
  <c r="FB27" i="2"/>
  <c r="EZ89" i="6"/>
  <c r="EZ73" i="7"/>
  <c r="EZ74" i="7" s="1"/>
  <c r="EZ63" i="7"/>
  <c r="EZ64" i="7" s="1"/>
  <c r="FB73" i="7"/>
  <c r="FB74" i="7" s="1"/>
  <c r="FB63" i="7"/>
  <c r="EZ75" i="2"/>
  <c r="FB88" i="6"/>
  <c r="FB89" i="6"/>
  <c r="FA19" i="2"/>
  <c r="FA20" i="2"/>
  <c r="EZ6" i="13" s="1"/>
  <c r="FA64" i="1"/>
  <c r="EZ28" i="2"/>
  <c r="EZ27" i="2"/>
  <c r="EZ67" i="2"/>
  <c r="EZ64" i="2"/>
  <c r="FA87" i="2"/>
  <c r="FA88" i="2" s="1"/>
  <c r="EZ20" i="2"/>
  <c r="EY6" i="13" s="1"/>
  <c r="EZ19" i="2"/>
  <c r="FB67" i="2"/>
  <c r="FB64" i="2"/>
  <c r="FB18" i="1"/>
  <c r="FB20" i="1" s="1"/>
  <c r="FA5" i="13" s="1"/>
  <c r="FB16" i="7"/>
  <c r="FB18" i="7" s="1"/>
  <c r="FB19" i="7" s="1"/>
  <c r="FA11" i="1"/>
  <c r="FB34" i="1"/>
  <c r="FB54" i="1"/>
  <c r="EZ57" i="1"/>
  <c r="FB67" i="1"/>
  <c r="EZ85" i="1"/>
  <c r="EZ87" i="1" s="1"/>
  <c r="EZ88" i="1" s="1"/>
  <c r="FA11" i="2"/>
  <c r="FA81" i="2"/>
  <c r="FB86" i="2"/>
  <c r="FB87" i="2" s="1"/>
  <c r="FB88" i="2" s="1"/>
  <c r="FA67" i="6"/>
  <c r="FB12" i="1"/>
  <c r="FA5" i="8" s="1"/>
  <c r="FA26" i="1"/>
  <c r="FA28" i="1" s="1"/>
  <c r="FA24" i="7"/>
  <c r="FA26" i="7" s="1"/>
  <c r="FA27" i="7" s="1"/>
  <c r="EZ63" i="1"/>
  <c r="FA82" i="1"/>
  <c r="EZ11" i="2"/>
  <c r="FB20" i="2"/>
  <c r="FA6" i="13" s="1"/>
  <c r="FB38" i="2"/>
  <c r="FB40" i="2" s="1"/>
  <c r="FB41" i="2" s="1"/>
  <c r="FA55" i="2"/>
  <c r="EZ6" i="15" s="1"/>
  <c r="FA74" i="2"/>
  <c r="EZ54" i="1"/>
  <c r="FA61" i="7"/>
  <c r="FA63" i="7" s="1"/>
  <c r="FA65" i="7" s="1"/>
  <c r="EZ12" i="14" s="1"/>
  <c r="FB64" i="1"/>
  <c r="FA38" i="2"/>
  <c r="FA40" i="2" s="1"/>
  <c r="FA41" i="2" s="1"/>
  <c r="EZ86" i="2"/>
  <c r="EZ86" i="7" s="1"/>
  <c r="FB42" i="4"/>
  <c r="FA38" i="1"/>
  <c r="FA16" i="7"/>
  <c r="FB64" i="7"/>
  <c r="FB86" i="1"/>
  <c r="EZ38" i="2"/>
  <c r="EZ40" i="2" s="1"/>
  <c r="EZ41" i="2" s="1"/>
  <c r="EZ25" i="7"/>
  <c r="EZ26" i="7" s="1"/>
  <c r="EZ27" i="7" s="1"/>
  <c r="FB55" i="1"/>
  <c r="FA5" i="15" s="1"/>
  <c r="EZ18" i="1"/>
  <c r="EZ17" i="7"/>
  <c r="FB39" i="1"/>
  <c r="FB39" i="7" s="1"/>
  <c r="FB25" i="7"/>
  <c r="FA73" i="7"/>
  <c r="FB73" i="1"/>
  <c r="FB74" i="1" s="1"/>
  <c r="FA86" i="1"/>
  <c r="FA86" i="7" s="1"/>
  <c r="FA57" i="2"/>
  <c r="FA63" i="2"/>
  <c r="FA85" i="7"/>
  <c r="FA39" i="1"/>
  <c r="FA39" i="7" s="1"/>
  <c r="FA17" i="7"/>
  <c r="FB65" i="7"/>
  <c r="FA12" i="14" s="1"/>
  <c r="FA65" i="1"/>
  <c r="EZ5" i="14" s="1"/>
  <c r="FB85" i="1"/>
  <c r="EZ73" i="1"/>
  <c r="FA40" i="4"/>
  <c r="FB28" i="6"/>
  <c r="FB27" i="6"/>
  <c r="EZ89" i="4"/>
  <c r="FB75" i="2"/>
  <c r="FA28" i="2"/>
  <c r="FA75" i="1"/>
  <c r="FA20" i="6"/>
  <c r="EZ8" i="13" s="1"/>
  <c r="EZ20" i="6"/>
  <c r="EY8" i="13" s="1"/>
  <c r="FA89" i="4"/>
  <c r="EZ20" i="1"/>
  <c r="EY5" i="13" s="1"/>
  <c r="EZ19" i="1"/>
  <c r="FA18" i="1"/>
  <c r="FA19" i="1" s="1"/>
  <c r="EZ26" i="1"/>
  <c r="EZ27" i="1" s="1"/>
  <c r="EZ39" i="1"/>
  <c r="EZ39" i="7" s="1"/>
  <c r="EZ38" i="1"/>
  <c r="FB26" i="1"/>
  <c r="EZ35" i="1"/>
  <c r="FB19" i="1"/>
  <c r="FB38" i="1"/>
  <c r="EZ12" i="1"/>
  <c r="EY5" i="8" s="1"/>
  <c r="EV9" i="14"/>
  <c r="EV9" i="15"/>
  <c r="EX9" i="8"/>
  <c r="EX72" i="4"/>
  <c r="EW79" i="7"/>
  <c r="EX79" i="7"/>
  <c r="EY79" i="7"/>
  <c r="EW78" i="7"/>
  <c r="EX78" i="7"/>
  <c r="EY78" i="7"/>
  <c r="EW52" i="7"/>
  <c r="EX52" i="7"/>
  <c r="EY52" i="7"/>
  <c r="EW51" i="7"/>
  <c r="EX51" i="7"/>
  <c r="EY51" i="7"/>
  <c r="EW32" i="7"/>
  <c r="EX32" i="7"/>
  <c r="EY32" i="7"/>
  <c r="EW31" i="7"/>
  <c r="EX31" i="7"/>
  <c r="EY31" i="7"/>
  <c r="EW9" i="7"/>
  <c r="EX9" i="7"/>
  <c r="EY9" i="7"/>
  <c r="EW8" i="7"/>
  <c r="EX8" i="7"/>
  <c r="EY8" i="7"/>
  <c r="EX63" i="5"/>
  <c r="EX86" i="5"/>
  <c r="EX85" i="5"/>
  <c r="EW80" i="5"/>
  <c r="EW82" i="5" s="1"/>
  <c r="EX80" i="5"/>
  <c r="EX82" i="5" s="1"/>
  <c r="EY80" i="5"/>
  <c r="EY82" i="5" s="1"/>
  <c r="EY72" i="5"/>
  <c r="EY86" i="5" s="1"/>
  <c r="EX72" i="5"/>
  <c r="EX73" i="5" s="1"/>
  <c r="EX75" i="5" s="1"/>
  <c r="EW72" i="5"/>
  <c r="EW86" i="5" s="1"/>
  <c r="EW71" i="5"/>
  <c r="EW85" i="5" s="1"/>
  <c r="EX71" i="5"/>
  <c r="EY71" i="5"/>
  <c r="EY85" i="5" s="1"/>
  <c r="EW64" i="5"/>
  <c r="EX64" i="5"/>
  <c r="EW63" i="5"/>
  <c r="EW65" i="5" s="1"/>
  <c r="EX65" i="5"/>
  <c r="EW9" i="14" s="1"/>
  <c r="EY63" i="5"/>
  <c r="EY65" i="5" s="1"/>
  <c r="EX9" i="14" s="1"/>
  <c r="EW57" i="5"/>
  <c r="EY57" i="5"/>
  <c r="EW55" i="5"/>
  <c r="EX55" i="5"/>
  <c r="EW9" i="15" s="1"/>
  <c r="EW54" i="5"/>
  <c r="EY54" i="5"/>
  <c r="EW53" i="5"/>
  <c r="EX53" i="5"/>
  <c r="EX57" i="5" s="1"/>
  <c r="EY53" i="5"/>
  <c r="EY55" i="5" s="1"/>
  <c r="EX9" i="15" s="1"/>
  <c r="EW39" i="5"/>
  <c r="EX39" i="5"/>
  <c r="EY39" i="5"/>
  <c r="EX38" i="5"/>
  <c r="EW34" i="5"/>
  <c r="EW33" i="5"/>
  <c r="EW35" i="5" s="1"/>
  <c r="EX33" i="5"/>
  <c r="EX35" i="5" s="1"/>
  <c r="EY33" i="5"/>
  <c r="EY34" i="5" s="1"/>
  <c r="EW26" i="5"/>
  <c r="EW28" i="5" s="1"/>
  <c r="EX26" i="5"/>
  <c r="EX27" i="5" s="1"/>
  <c r="EY26" i="5"/>
  <c r="EY27" i="5" s="1"/>
  <c r="EY12" i="5"/>
  <c r="EX18" i="5"/>
  <c r="EX19" i="5" s="1"/>
  <c r="EY16" i="5"/>
  <c r="EY38" i="5" s="1"/>
  <c r="EX16" i="5"/>
  <c r="EW16" i="5"/>
  <c r="EW38" i="5" s="1"/>
  <c r="EY11" i="5"/>
  <c r="EX10" i="5"/>
  <c r="EX12" i="5" s="1"/>
  <c r="EW9" i="8" s="1"/>
  <c r="EY10" i="5"/>
  <c r="EW10" i="5"/>
  <c r="EW12" i="5" s="1"/>
  <c r="EV9" i="8" s="1"/>
  <c r="FB38" i="7" l="1"/>
  <c r="EZ65" i="7"/>
  <c r="EY12" i="14" s="1"/>
  <c r="FA27" i="1"/>
  <c r="FA38" i="7"/>
  <c r="EW40" i="5"/>
  <c r="EW42" i="5" s="1"/>
  <c r="FB67" i="7"/>
  <c r="EY10" i="7"/>
  <c r="EY11" i="7" s="1"/>
  <c r="EX10" i="7"/>
  <c r="EX11" i="7" s="1"/>
  <c r="FB75" i="7"/>
  <c r="FA6" i="24" s="1"/>
  <c r="EZ75" i="7"/>
  <c r="EY6" i="24" s="1"/>
  <c r="FA87" i="7"/>
  <c r="FA88" i="7" s="1"/>
  <c r="FB20" i="7"/>
  <c r="FA6" i="26" s="1"/>
  <c r="FA28" i="7"/>
  <c r="EZ5" i="24" s="1"/>
  <c r="EX54" i="5"/>
  <c r="FA40" i="1"/>
  <c r="FA40" i="7" s="1"/>
  <c r="FB85" i="7"/>
  <c r="FB87" i="1"/>
  <c r="FA67" i="2"/>
  <c r="FA65" i="2"/>
  <c r="EZ6" i="14" s="1"/>
  <c r="FA64" i="2"/>
  <c r="FB86" i="7"/>
  <c r="FB42" i="2"/>
  <c r="EZ75" i="1"/>
  <c r="EZ74" i="1"/>
  <c r="EW18" i="5"/>
  <c r="EY81" i="5"/>
  <c r="EX11" i="5"/>
  <c r="EY73" i="5"/>
  <c r="EY74" i="5" s="1"/>
  <c r="EW81" i="5"/>
  <c r="EW53" i="7"/>
  <c r="EW54" i="7" s="1"/>
  <c r="FA42" i="2"/>
  <c r="FA87" i="1"/>
  <c r="FA88" i="1" s="1"/>
  <c r="EZ87" i="2"/>
  <c r="EW11" i="5"/>
  <c r="EX40" i="5"/>
  <c r="EX41" i="5" s="1"/>
  <c r="EW73" i="5"/>
  <c r="EW75" i="5" s="1"/>
  <c r="FA64" i="7"/>
  <c r="EZ89" i="1"/>
  <c r="EZ42" i="2"/>
  <c r="EZ38" i="7"/>
  <c r="FA18" i="7"/>
  <c r="FA19" i="7" s="1"/>
  <c r="FB26" i="7"/>
  <c r="FB27" i="7" s="1"/>
  <c r="FB75" i="1"/>
  <c r="EZ18" i="7"/>
  <c r="EZ20" i="7" s="1"/>
  <c r="FB89" i="2"/>
  <c r="EY18" i="5"/>
  <c r="FA20" i="1"/>
  <c r="EZ5" i="13" s="1"/>
  <c r="EZ85" i="7"/>
  <c r="EZ87" i="7" s="1"/>
  <c r="EZ88" i="7" s="1"/>
  <c r="FA42" i="4"/>
  <c r="FA41" i="4"/>
  <c r="FA75" i="7"/>
  <c r="EZ6" i="24" s="1"/>
  <c r="FA74" i="7"/>
  <c r="EZ28" i="7"/>
  <c r="EZ64" i="1"/>
  <c r="EZ67" i="1"/>
  <c r="EZ65" i="1"/>
  <c r="EY5" i="14" s="1"/>
  <c r="FA67" i="1"/>
  <c r="FA89" i="2"/>
  <c r="EX81" i="5"/>
  <c r="EX87" i="5"/>
  <c r="EX88" i="5" s="1"/>
  <c r="EX74" i="5"/>
  <c r="EW87" i="5"/>
  <c r="EW88" i="5" s="1"/>
  <c r="EW27" i="5"/>
  <c r="EY28" i="5"/>
  <c r="EX34" i="5"/>
  <c r="FB40" i="1"/>
  <c r="EY53" i="7"/>
  <c r="EY57" i="7" s="1"/>
  <c r="FB27" i="1"/>
  <c r="FB28" i="1"/>
  <c r="EZ28" i="1"/>
  <c r="EY12" i="7"/>
  <c r="EX9" i="26" s="1"/>
  <c r="EX53" i="7"/>
  <c r="EX54" i="7" s="1"/>
  <c r="EW10" i="7"/>
  <c r="EX12" i="7"/>
  <c r="EW12" i="8" s="1"/>
  <c r="EZ40" i="1"/>
  <c r="EX28" i="5"/>
  <c r="EY35" i="5"/>
  <c r="EX80" i="7"/>
  <c r="EX81" i="7" s="1"/>
  <c r="EW80" i="7"/>
  <c r="EW81" i="7" s="1"/>
  <c r="EX33" i="7"/>
  <c r="EX34" i="7" s="1"/>
  <c r="EY33" i="7"/>
  <c r="EY34" i="7" s="1"/>
  <c r="EY80" i="7"/>
  <c r="EY81" i="7" s="1"/>
  <c r="EW33" i="7"/>
  <c r="EW35" i="7" s="1"/>
  <c r="EV8" i="26" s="1"/>
  <c r="EY64" i="5"/>
  <c r="EY67" i="5"/>
  <c r="EY87" i="5"/>
  <c r="EY88" i="5" s="1"/>
  <c r="EX67" i="5"/>
  <c r="EW67" i="5"/>
  <c r="EY40" i="5"/>
  <c r="EY41" i="5" s="1"/>
  <c r="EX20" i="5"/>
  <c r="EW9" i="13" s="1"/>
  <c r="EY75" i="5" l="1"/>
  <c r="EZ7" i="26"/>
  <c r="FA67" i="7"/>
  <c r="EW57" i="7"/>
  <c r="EX5" i="26"/>
  <c r="EX12" i="8"/>
  <c r="EW55" i="7"/>
  <c r="EV12" i="15" s="1"/>
  <c r="EX42" i="5"/>
  <c r="FA41" i="1"/>
  <c r="EX89" i="5"/>
  <c r="EW41" i="5"/>
  <c r="FA89" i="7"/>
  <c r="EW74" i="5"/>
  <c r="EW9" i="26"/>
  <c r="EW5" i="26"/>
  <c r="FA12" i="13"/>
  <c r="FA89" i="1"/>
  <c r="EY54" i="7"/>
  <c r="EY55" i="7"/>
  <c r="EX12" i="15" s="1"/>
  <c r="EZ19" i="7"/>
  <c r="EZ67" i="7"/>
  <c r="EZ89" i="2"/>
  <c r="EZ88" i="2"/>
  <c r="EZ89" i="7"/>
  <c r="FA20" i="7"/>
  <c r="EW20" i="5"/>
  <c r="EV9" i="13" s="1"/>
  <c r="EW19" i="5"/>
  <c r="EW12" i="7"/>
  <c r="EV9" i="26" s="1"/>
  <c r="EY6" i="26"/>
  <c r="EY12" i="13"/>
  <c r="EW11" i="7"/>
  <c r="FA42" i="1"/>
  <c r="FB28" i="7"/>
  <c r="FB88" i="1"/>
  <c r="FB89" i="1"/>
  <c r="EX57" i="7"/>
  <c r="FB87" i="7"/>
  <c r="FB88" i="7" s="1"/>
  <c r="EY5" i="24"/>
  <c r="EY7" i="26"/>
  <c r="EY20" i="5"/>
  <c r="EX9" i="13" s="1"/>
  <c r="EY19" i="5"/>
  <c r="FB42" i="1"/>
  <c r="FB40" i="7"/>
  <c r="EZ41" i="1"/>
  <c r="EZ40" i="7"/>
  <c r="FA41" i="7"/>
  <c r="FA42" i="7"/>
  <c r="EW89" i="5"/>
  <c r="EX35" i="7"/>
  <c r="EW8" i="26" s="1"/>
  <c r="EX55" i="7"/>
  <c r="EW12" i="15" s="1"/>
  <c r="EZ42" i="1"/>
  <c r="FB41" i="1"/>
  <c r="EX82" i="7"/>
  <c r="EW82" i="7"/>
  <c r="EY35" i="7"/>
  <c r="EX8" i="26" s="1"/>
  <c r="EW34" i="7"/>
  <c r="EY82" i="7"/>
  <c r="EY89" i="5"/>
  <c r="EY42" i="5"/>
  <c r="EV12" i="8" l="1"/>
  <c r="EV5" i="26"/>
  <c r="FB89" i="7"/>
  <c r="FA7" i="26"/>
  <c r="FA5" i="24"/>
  <c r="EZ6" i="26"/>
  <c r="EZ12" i="13"/>
  <c r="EZ41" i="7"/>
  <c r="EZ42" i="7"/>
  <c r="FB41" i="7"/>
  <c r="FB42" i="7"/>
  <c r="EX86" i="6"/>
  <c r="EX81" i="6"/>
  <c r="EW80" i="6"/>
  <c r="EW81" i="6" s="1"/>
  <c r="EX80" i="6"/>
  <c r="EX82" i="6" s="1"/>
  <c r="EY80" i="6"/>
  <c r="EY82" i="6" s="1"/>
  <c r="EW73" i="6"/>
  <c r="EW75" i="6" s="1"/>
  <c r="EY73" i="6"/>
  <c r="EY74" i="6" s="1"/>
  <c r="EY72" i="6"/>
  <c r="EX72" i="6"/>
  <c r="EX73" i="6" s="1"/>
  <c r="EX75" i="6" s="1"/>
  <c r="EW72" i="6"/>
  <c r="EX63" i="6"/>
  <c r="EX65" i="6" s="1"/>
  <c r="EW8" i="14" s="1"/>
  <c r="EY62" i="6"/>
  <c r="EY86" i="6" s="1"/>
  <c r="EX62" i="6"/>
  <c r="EW62" i="6"/>
  <c r="EW86" i="6" s="1"/>
  <c r="EW55" i="6"/>
  <c r="EV8" i="15" s="1"/>
  <c r="EX54" i="6"/>
  <c r="EW53" i="6"/>
  <c r="EW54" i="6" s="1"/>
  <c r="EX53" i="6"/>
  <c r="EX55" i="6" s="1"/>
  <c r="EW8" i="15" s="1"/>
  <c r="EY53" i="6"/>
  <c r="EY55" i="6" s="1"/>
  <c r="EX8" i="15" s="1"/>
  <c r="EX85" i="6"/>
  <c r="EY61" i="6"/>
  <c r="EY63" i="6" s="1"/>
  <c r="EX61" i="6"/>
  <c r="EW61" i="6"/>
  <c r="EW85" i="6" s="1"/>
  <c r="EX39" i="6"/>
  <c r="EW38" i="6"/>
  <c r="EW33" i="6"/>
  <c r="EW34" i="6" s="1"/>
  <c r="EX33" i="6"/>
  <c r="EX35" i="6" s="1"/>
  <c r="EY33" i="6"/>
  <c r="EY34" i="6" s="1"/>
  <c r="EW26" i="6"/>
  <c r="EW28" i="6" s="1"/>
  <c r="EX26" i="6"/>
  <c r="EX27" i="6" s="1"/>
  <c r="EY26" i="6"/>
  <c r="EY27" i="6" s="1"/>
  <c r="EY25" i="6"/>
  <c r="EX25" i="6"/>
  <c r="EW25" i="6"/>
  <c r="EY18" i="6"/>
  <c r="EY20" i="6" s="1"/>
  <c r="EX8" i="13" s="1"/>
  <c r="EY17" i="6"/>
  <c r="EY39" i="6" s="1"/>
  <c r="EX17" i="6"/>
  <c r="EW17" i="6"/>
  <c r="EW39" i="6" s="1"/>
  <c r="EY16" i="6"/>
  <c r="EY38" i="6" s="1"/>
  <c r="EX16" i="6"/>
  <c r="EX38" i="6" s="1"/>
  <c r="EX40" i="6" s="1"/>
  <c r="EX41" i="6" s="1"/>
  <c r="EW16" i="6"/>
  <c r="EW18" i="6" s="1"/>
  <c r="EV16" i="6"/>
  <c r="EW12" i="6"/>
  <c r="EV8" i="8" s="1"/>
  <c r="EW11" i="6"/>
  <c r="EX11" i="6"/>
  <c r="EW10" i="6"/>
  <c r="EX10" i="6"/>
  <c r="EX12" i="6" s="1"/>
  <c r="EW8" i="8" s="1"/>
  <c r="EY10" i="6"/>
  <c r="EY12" i="6" s="1"/>
  <c r="EX8" i="8" s="1"/>
  <c r="EX86" i="4"/>
  <c r="EW85" i="4"/>
  <c r="EW80" i="4"/>
  <c r="EW81" i="4" s="1"/>
  <c r="EX80" i="4"/>
  <c r="EX82" i="4" s="1"/>
  <c r="EY80" i="4"/>
  <c r="EY81" i="4" s="1"/>
  <c r="EX73" i="4"/>
  <c r="EX75" i="4" s="1"/>
  <c r="EY73" i="4"/>
  <c r="EY74" i="4" s="1"/>
  <c r="EY72" i="4"/>
  <c r="EW72" i="4"/>
  <c r="EW73" i="4" s="1"/>
  <c r="EW75" i="4" s="1"/>
  <c r="EY62" i="4"/>
  <c r="EY86" i="4" s="1"/>
  <c r="EX62" i="4"/>
  <c r="EW62" i="4"/>
  <c r="EW86" i="4" s="1"/>
  <c r="EY61" i="4"/>
  <c r="EY85" i="4" s="1"/>
  <c r="EX61" i="4"/>
  <c r="EX63" i="4" s="1"/>
  <c r="EW61" i="4"/>
  <c r="EW63" i="4" s="1"/>
  <c r="EX57" i="4"/>
  <c r="EX55" i="4"/>
  <c r="EW7" i="15" s="1"/>
  <c r="EX54" i="4"/>
  <c r="EW53" i="4"/>
  <c r="EW55" i="4" s="1"/>
  <c r="EV7" i="15" s="1"/>
  <c r="EX53" i="4"/>
  <c r="EY53" i="4"/>
  <c r="EY55" i="4" s="1"/>
  <c r="EX7" i="15" s="1"/>
  <c r="EX39" i="4"/>
  <c r="EY38" i="4"/>
  <c r="EW33" i="4"/>
  <c r="EW35" i="4" s="1"/>
  <c r="EX33" i="4"/>
  <c r="EX34" i="4" s="1"/>
  <c r="EY33" i="4"/>
  <c r="EY34" i="4" s="1"/>
  <c r="EX26" i="4"/>
  <c r="EX27" i="4" s="1"/>
  <c r="EY25" i="4"/>
  <c r="EY26" i="4" s="1"/>
  <c r="EY28" i="4" s="1"/>
  <c r="EX25" i="4"/>
  <c r="EW25" i="4"/>
  <c r="EW39" i="4" s="1"/>
  <c r="EX18" i="4"/>
  <c r="EX20" i="4" s="1"/>
  <c r="EW7" i="13" s="1"/>
  <c r="EY17" i="4"/>
  <c r="EY18" i="4" s="1"/>
  <c r="EY19" i="4" s="1"/>
  <c r="EX17" i="4"/>
  <c r="EW17" i="4"/>
  <c r="EY16" i="4"/>
  <c r="EX16" i="4"/>
  <c r="EX38" i="4" s="1"/>
  <c r="EW16" i="4"/>
  <c r="EW18" i="4" s="1"/>
  <c r="EW12" i="4"/>
  <c r="EV7" i="8" s="1"/>
  <c r="EX12" i="4"/>
  <c r="EW7" i="8" s="1"/>
  <c r="EX11" i="4"/>
  <c r="EW10" i="4"/>
  <c r="EW11" i="4" s="1"/>
  <c r="EX10" i="4"/>
  <c r="EY10" i="4"/>
  <c r="EY57" i="4" s="1"/>
  <c r="EX40" i="4" l="1"/>
  <c r="EX42" i="4" s="1"/>
  <c r="EW87" i="4"/>
  <c r="EW88" i="4" s="1"/>
  <c r="EX87" i="6"/>
  <c r="EX89" i="6" s="1"/>
  <c r="EW65" i="4"/>
  <c r="EV7" i="14" s="1"/>
  <c r="EW64" i="4"/>
  <c r="EW67" i="4"/>
  <c r="EW87" i="6"/>
  <c r="EW88" i="6" s="1"/>
  <c r="EX67" i="4"/>
  <c r="EX65" i="4"/>
  <c r="EW7" i="14" s="1"/>
  <c r="EX64" i="4"/>
  <c r="EW20" i="4"/>
  <c r="EV7" i="13" s="1"/>
  <c r="EW19" i="4"/>
  <c r="EX20" i="6"/>
  <c r="EW8" i="13" s="1"/>
  <c r="EY64" i="6"/>
  <c r="EY67" i="6"/>
  <c r="EW19" i="6"/>
  <c r="EW20" i="6"/>
  <c r="EV8" i="13" s="1"/>
  <c r="EY54" i="4"/>
  <c r="EW82" i="4"/>
  <c r="EX18" i="6"/>
  <c r="EX19" i="6" s="1"/>
  <c r="EY57" i="6"/>
  <c r="EW63" i="6"/>
  <c r="EX67" i="6"/>
  <c r="EY11" i="4"/>
  <c r="EX19" i="4"/>
  <c r="EW38" i="4"/>
  <c r="EW40" i="4" s="1"/>
  <c r="EW41" i="4" s="1"/>
  <c r="EX57" i="6"/>
  <c r="EY20" i="4"/>
  <c r="EX7" i="13" s="1"/>
  <c r="EW26" i="4"/>
  <c r="EW27" i="4" s="1"/>
  <c r="EY39" i="4"/>
  <c r="EY40" i="4" s="1"/>
  <c r="EY41" i="4" s="1"/>
  <c r="EX85" i="4"/>
  <c r="EX87" i="4" s="1"/>
  <c r="EX88" i="4" s="1"/>
  <c r="EY11" i="6"/>
  <c r="EY19" i="6"/>
  <c r="EX34" i="6"/>
  <c r="EY54" i="6"/>
  <c r="EW57" i="6"/>
  <c r="EX64" i="6"/>
  <c r="EY12" i="4"/>
  <c r="EX7" i="8" s="1"/>
  <c r="EY63" i="4"/>
  <c r="EY85" i="6"/>
  <c r="EY87" i="6" s="1"/>
  <c r="EY88" i="6" s="1"/>
  <c r="EY65" i="6"/>
  <c r="EX8" i="14" s="1"/>
  <c r="EW57" i="4"/>
  <c r="EY35" i="4"/>
  <c r="EW27" i="6"/>
  <c r="EW65" i="6"/>
  <c r="EV8" i="14" s="1"/>
  <c r="EW40" i="6"/>
  <c r="EW41" i="6" s="1"/>
  <c r="EY40" i="6"/>
  <c r="EY41" i="6" s="1"/>
  <c r="EX28" i="4"/>
  <c r="EX74" i="6"/>
  <c r="EW74" i="6"/>
  <c r="EW82" i="6"/>
  <c r="EY81" i="6"/>
  <c r="EW35" i="6"/>
  <c r="EX42" i="6"/>
  <c r="EY28" i="6"/>
  <c r="EX74" i="4"/>
  <c r="EY87" i="4"/>
  <c r="EY88" i="4" s="1"/>
  <c r="EW74" i="4"/>
  <c r="EX81" i="4"/>
  <c r="EY27" i="4"/>
  <c r="EY75" i="6"/>
  <c r="EX28" i="6"/>
  <c r="EY35" i="6"/>
  <c r="EY75" i="4"/>
  <c r="EY82" i="4"/>
  <c r="EW34" i="4"/>
  <c r="EX35" i="4"/>
  <c r="EW54" i="4"/>
  <c r="EX86" i="1"/>
  <c r="EW80" i="1"/>
  <c r="EW82" i="1" s="1"/>
  <c r="EX80" i="1"/>
  <c r="EX81" i="1" s="1"/>
  <c r="EY80" i="1"/>
  <c r="EY81" i="1" s="1"/>
  <c r="EY72" i="1"/>
  <c r="EX72" i="1"/>
  <c r="EX72" i="7" s="1"/>
  <c r="EW72" i="1"/>
  <c r="EY71" i="1"/>
  <c r="EX71" i="1"/>
  <c r="EW71" i="1"/>
  <c r="EY62" i="1"/>
  <c r="EX62" i="1"/>
  <c r="EW62" i="1"/>
  <c r="EY61" i="1"/>
  <c r="EY61" i="7" s="1"/>
  <c r="EX61" i="1"/>
  <c r="EW61" i="1"/>
  <c r="EW53" i="1"/>
  <c r="EW55" i="1" s="1"/>
  <c r="EV5" i="15" s="1"/>
  <c r="EX53" i="1"/>
  <c r="EY53" i="1"/>
  <c r="EY57" i="1" s="1"/>
  <c r="EW33" i="1"/>
  <c r="EW35" i="1" s="1"/>
  <c r="EX33" i="1"/>
  <c r="EX34" i="1" s="1"/>
  <c r="EY33" i="1"/>
  <c r="EY34" i="1" s="1"/>
  <c r="EY25" i="1"/>
  <c r="EY25" i="7" s="1"/>
  <c r="EX25" i="1"/>
  <c r="EW25" i="1"/>
  <c r="EY24" i="1"/>
  <c r="EX24" i="1"/>
  <c r="EX26" i="1" s="1"/>
  <c r="EX27" i="1" s="1"/>
  <c r="EW24" i="1"/>
  <c r="EY17" i="1"/>
  <c r="EX17" i="1"/>
  <c r="EW17" i="1"/>
  <c r="EW17" i="7" s="1"/>
  <c r="EY16" i="1"/>
  <c r="EX16" i="1"/>
  <c r="EW16" i="1"/>
  <c r="EX12" i="1"/>
  <c r="EW5" i="8" s="1"/>
  <c r="EW10" i="1"/>
  <c r="EW12" i="1" s="1"/>
  <c r="EV5" i="8" s="1"/>
  <c r="EX10" i="1"/>
  <c r="EX11" i="1" s="1"/>
  <c r="EY10" i="1"/>
  <c r="EY12" i="1" s="1"/>
  <c r="EX5" i="8" s="1"/>
  <c r="EX86" i="2"/>
  <c r="EY85" i="2"/>
  <c r="EW80" i="2"/>
  <c r="EW82" i="2" s="1"/>
  <c r="EX80" i="2"/>
  <c r="EX82" i="2" s="1"/>
  <c r="EY80" i="2"/>
  <c r="EY81" i="2" s="1"/>
  <c r="EY72" i="2"/>
  <c r="EX72" i="2"/>
  <c r="EW72" i="2"/>
  <c r="EY71" i="2"/>
  <c r="EY73" i="2" s="1"/>
  <c r="EY74" i="2" s="1"/>
  <c r="EX71" i="2"/>
  <c r="EX73" i="2" s="1"/>
  <c r="EX74" i="2" s="1"/>
  <c r="EW71" i="2"/>
  <c r="EW73" i="2" s="1"/>
  <c r="EX63" i="2"/>
  <c r="EX65" i="2" s="1"/>
  <c r="EW6" i="14" s="1"/>
  <c r="EY62" i="2"/>
  <c r="EY65" i="2" s="1"/>
  <c r="EX6" i="14" s="1"/>
  <c r="EX62" i="2"/>
  <c r="EW62" i="2"/>
  <c r="EY61" i="2"/>
  <c r="EY63" i="2" s="1"/>
  <c r="EX61" i="2"/>
  <c r="EX85" i="2" s="1"/>
  <c r="EW61" i="2"/>
  <c r="EW85" i="2" s="1"/>
  <c r="EW55" i="2"/>
  <c r="EV6" i="15" s="1"/>
  <c r="EY55" i="2"/>
  <c r="EX6" i="15" s="1"/>
  <c r="EY54" i="2"/>
  <c r="EW53" i="2"/>
  <c r="EW54" i="2" s="1"/>
  <c r="EX53" i="2"/>
  <c r="EX57" i="2" s="1"/>
  <c r="EY53" i="2"/>
  <c r="EW33" i="2"/>
  <c r="EW34" i="2" s="1"/>
  <c r="EX33" i="2"/>
  <c r="EX35" i="2" s="1"/>
  <c r="EY33" i="2"/>
  <c r="EY35" i="2" s="1"/>
  <c r="EX26" i="2"/>
  <c r="EX28" i="2" s="1"/>
  <c r="EY25" i="2"/>
  <c r="EY39" i="2" s="1"/>
  <c r="EX25" i="2"/>
  <c r="EW25" i="2"/>
  <c r="EY24" i="2"/>
  <c r="EY38" i="2" s="1"/>
  <c r="EX24" i="2"/>
  <c r="EW24" i="2"/>
  <c r="EW26" i="2" s="1"/>
  <c r="EW28" i="2" s="1"/>
  <c r="EW39" i="2"/>
  <c r="EY17" i="2"/>
  <c r="EY18" i="2" s="1"/>
  <c r="EX17" i="2"/>
  <c r="EW17" i="2"/>
  <c r="EY16" i="2"/>
  <c r="EX16" i="2"/>
  <c r="EX38" i="2" s="1"/>
  <c r="EW16" i="2"/>
  <c r="EW38" i="2" s="1"/>
  <c r="EX12" i="2"/>
  <c r="EW6" i="8" s="1"/>
  <c r="EW10" i="2"/>
  <c r="EW12" i="2" s="1"/>
  <c r="EV6" i="8" s="1"/>
  <c r="EX10" i="2"/>
  <c r="EX11" i="2" s="1"/>
  <c r="EY10" i="2"/>
  <c r="EY57" i="2" s="1"/>
  <c r="EW89" i="4" l="1"/>
  <c r="EW42" i="6"/>
  <c r="EW28" i="4"/>
  <c r="EX41" i="4"/>
  <c r="EX89" i="4"/>
  <c r="EX88" i="6"/>
  <c r="EW89" i="6"/>
  <c r="EY42" i="4"/>
  <c r="EY19" i="2"/>
  <c r="EY20" i="2"/>
  <c r="EX6" i="13" s="1"/>
  <c r="EW75" i="2"/>
  <c r="EW74" i="2"/>
  <c r="EY64" i="2"/>
  <c r="EY67" i="2"/>
  <c r="EW65" i="2"/>
  <c r="EV6" i="14" s="1"/>
  <c r="EX54" i="2"/>
  <c r="EW63" i="2"/>
  <c r="EY11" i="1"/>
  <c r="EX17" i="7"/>
  <c r="EY54" i="1"/>
  <c r="EW62" i="7"/>
  <c r="EY72" i="7"/>
  <c r="EY11" i="2"/>
  <c r="EW11" i="1"/>
  <c r="EY17" i="7"/>
  <c r="EW54" i="1"/>
  <c r="EX62" i="7"/>
  <c r="EX73" i="1"/>
  <c r="EX74" i="1" s="1"/>
  <c r="EX64" i="2"/>
  <c r="EY86" i="2"/>
  <c r="EW24" i="7"/>
  <c r="EY55" i="1"/>
  <c r="EX5" i="15" s="1"/>
  <c r="EY62" i="7"/>
  <c r="EY63" i="7" s="1"/>
  <c r="EY67" i="4"/>
  <c r="EY64" i="4"/>
  <c r="EW11" i="2"/>
  <c r="EX55" i="2"/>
  <c r="EW6" i="15" s="1"/>
  <c r="EX24" i="7"/>
  <c r="EW71" i="7"/>
  <c r="EY65" i="4"/>
  <c r="EX7" i="14" s="1"/>
  <c r="EW57" i="2"/>
  <c r="EY12" i="2"/>
  <c r="EX6" i="8" s="1"/>
  <c r="EX39" i="2"/>
  <c r="EW86" i="2"/>
  <c r="EW87" i="2" s="1"/>
  <c r="EW88" i="2" s="1"/>
  <c r="EW16" i="7"/>
  <c r="EW18" i="7" s="1"/>
  <c r="EW19" i="7" s="1"/>
  <c r="EY24" i="7"/>
  <c r="EY26" i="7" s="1"/>
  <c r="EY27" i="7" s="1"/>
  <c r="EY39" i="1"/>
  <c r="EY39" i="7" s="1"/>
  <c r="EW57" i="1"/>
  <c r="EX71" i="7"/>
  <c r="EX73" i="7" s="1"/>
  <c r="EX74" i="7" s="1"/>
  <c r="EY89" i="6"/>
  <c r="EW64" i="6"/>
  <c r="EW67" i="6"/>
  <c r="EX16" i="7"/>
  <c r="EX18" i="7" s="1"/>
  <c r="EX19" i="7" s="1"/>
  <c r="EW25" i="7"/>
  <c r="EW61" i="7"/>
  <c r="EY71" i="7"/>
  <c r="EY85" i="1"/>
  <c r="EY85" i="7" s="1"/>
  <c r="EX18" i="2"/>
  <c r="EX19" i="2" s="1"/>
  <c r="EW18" i="2"/>
  <c r="EY26" i="2"/>
  <c r="EY27" i="2" s="1"/>
  <c r="EY16" i="7"/>
  <c r="EX25" i="7"/>
  <c r="EX57" i="1"/>
  <c r="EX61" i="7"/>
  <c r="EW72" i="7"/>
  <c r="EW85" i="1"/>
  <c r="EW85" i="7" s="1"/>
  <c r="EY42" i="6"/>
  <c r="EY89" i="4"/>
  <c r="EX87" i="2"/>
  <c r="EX88" i="2" s="1"/>
  <c r="EW40" i="2"/>
  <c r="EW41" i="2" s="1"/>
  <c r="EY40" i="2"/>
  <c r="EY41" i="2" s="1"/>
  <c r="EW42" i="4"/>
  <c r="EW81" i="2"/>
  <c r="EY75" i="2"/>
  <c r="EX81" i="2"/>
  <c r="EX40" i="2"/>
  <c r="EX42" i="2" s="1"/>
  <c r="EW27" i="2"/>
  <c r="EX34" i="2"/>
  <c r="EW35" i="2"/>
  <c r="EW18" i="1"/>
  <c r="EX38" i="1"/>
  <c r="EX38" i="7" s="1"/>
  <c r="EW39" i="1"/>
  <c r="EW39" i="7" s="1"/>
  <c r="EX55" i="1"/>
  <c r="EW5" i="15" s="1"/>
  <c r="EX63" i="1"/>
  <c r="EY26" i="1"/>
  <c r="EY28" i="1" s="1"/>
  <c r="EW38" i="1"/>
  <c r="EX54" i="1"/>
  <c r="EW63" i="1"/>
  <c r="EY73" i="1"/>
  <c r="EX85" i="1"/>
  <c r="EX85" i="7" s="1"/>
  <c r="EW86" i="1"/>
  <c r="EY18" i="1"/>
  <c r="EX18" i="1"/>
  <c r="EX19" i="1" s="1"/>
  <c r="EW26" i="1"/>
  <c r="EW27" i="1" s="1"/>
  <c r="EY38" i="1"/>
  <c r="EY38" i="7" s="1"/>
  <c r="EX39" i="1"/>
  <c r="EX39" i="7" s="1"/>
  <c r="EY63" i="1"/>
  <c r="EW65" i="1"/>
  <c r="EV5" i="14" s="1"/>
  <c r="EW73" i="1"/>
  <c r="EW74" i="1" s="1"/>
  <c r="EY86" i="1"/>
  <c r="EY82" i="1"/>
  <c r="EW81" i="1"/>
  <c r="EY35" i="1"/>
  <c r="EX28" i="1"/>
  <c r="EW34" i="1"/>
  <c r="EX75" i="2"/>
  <c r="EY82" i="2"/>
  <c r="EX86" i="7"/>
  <c r="EX27" i="2"/>
  <c r="EY34" i="2"/>
  <c r="EX82" i="1"/>
  <c r="EX35" i="1"/>
  <c r="EV62" i="1"/>
  <c r="EX63" i="7" l="1"/>
  <c r="EX65" i="7" s="1"/>
  <c r="EW12" i="14" s="1"/>
  <c r="EY18" i="7"/>
  <c r="EY19" i="7" s="1"/>
  <c r="EY42" i="2"/>
  <c r="EY28" i="2"/>
  <c r="EX75" i="1"/>
  <c r="EW42" i="2"/>
  <c r="EW86" i="7"/>
  <c r="EW87" i="7" s="1"/>
  <c r="EW88" i="7" s="1"/>
  <c r="EY87" i="1"/>
  <c r="EY89" i="1" s="1"/>
  <c r="EW63" i="7"/>
  <c r="EW67" i="7" s="1"/>
  <c r="EY65" i="7"/>
  <c r="EX12" i="14" s="1"/>
  <c r="EW73" i="7"/>
  <c r="EW74" i="7" s="1"/>
  <c r="EW26" i="7"/>
  <c r="EW27" i="7" s="1"/>
  <c r="EX26" i="7"/>
  <c r="EX27" i="7" s="1"/>
  <c r="EY73" i="7"/>
  <c r="EY74" i="7" s="1"/>
  <c r="EX87" i="7"/>
  <c r="EX88" i="7" s="1"/>
  <c r="EX75" i="7"/>
  <c r="EW6" i="24" s="1"/>
  <c r="EW40" i="1"/>
  <c r="EW40" i="7" s="1"/>
  <c r="EW42" i="7" s="1"/>
  <c r="EY86" i="7"/>
  <c r="EY87" i="7" s="1"/>
  <c r="EY88" i="7" s="1"/>
  <c r="EX89" i="2"/>
  <c r="EW20" i="2"/>
  <c r="EV6" i="13" s="1"/>
  <c r="EW19" i="2"/>
  <c r="EY87" i="2"/>
  <c r="EY88" i="2" s="1"/>
  <c r="EX20" i="2"/>
  <c r="EW6" i="13" s="1"/>
  <c r="EW28" i="1"/>
  <c r="EX87" i="1"/>
  <c r="EX88" i="1" s="1"/>
  <c r="EW89" i="2"/>
  <c r="EX67" i="2"/>
  <c r="EY20" i="7"/>
  <c r="EX12" i="13" s="1"/>
  <c r="EW64" i="2"/>
  <c r="EW67" i="2"/>
  <c r="EW20" i="7"/>
  <c r="EV6" i="26" s="1"/>
  <c r="EX41" i="2"/>
  <c r="EW87" i="1"/>
  <c r="EW88" i="1" s="1"/>
  <c r="EY28" i="7"/>
  <c r="EX5" i="24" s="1"/>
  <c r="EY75" i="1"/>
  <c r="EY74" i="1"/>
  <c r="EX40" i="1"/>
  <c r="EX42" i="1" s="1"/>
  <c r="EY19" i="1"/>
  <c r="EY20" i="1"/>
  <c r="EX5" i="13" s="1"/>
  <c r="EY64" i="1"/>
  <c r="EY67" i="1"/>
  <c r="EY65" i="1"/>
  <c r="EX5" i="14" s="1"/>
  <c r="EX20" i="7"/>
  <c r="EY40" i="1"/>
  <c r="EY42" i="1" s="1"/>
  <c r="EW75" i="1"/>
  <c r="EY27" i="1"/>
  <c r="EY64" i="7"/>
  <c r="EY67" i="7"/>
  <c r="EW67" i="1"/>
  <c r="EW64" i="1"/>
  <c r="EX20" i="1"/>
  <c r="EW5" i="13" s="1"/>
  <c r="EX64" i="1"/>
  <c r="EX65" i="1"/>
  <c r="EW5" i="14" s="1"/>
  <c r="EX67" i="1"/>
  <c r="EX64" i="7"/>
  <c r="EW38" i="7"/>
  <c r="EW19" i="1"/>
  <c r="EW20" i="1"/>
  <c r="EV5" i="13" s="1"/>
  <c r="ET79" i="7"/>
  <c r="EU79" i="7"/>
  <c r="EV79" i="7"/>
  <c r="ET78" i="7"/>
  <c r="EU78" i="7"/>
  <c r="EV78" i="7"/>
  <c r="ET52" i="7"/>
  <c r="EU52" i="7"/>
  <c r="EV52" i="7"/>
  <c r="ET51" i="7"/>
  <c r="EU51" i="7"/>
  <c r="EV51" i="7"/>
  <c r="ET32" i="7"/>
  <c r="EU32" i="7"/>
  <c r="EV32" i="7"/>
  <c r="ET31" i="7"/>
  <c r="EU31" i="7"/>
  <c r="EV31" i="7"/>
  <c r="ET9" i="7"/>
  <c r="EU9" i="7"/>
  <c r="EV9" i="7"/>
  <c r="ET8" i="7"/>
  <c r="EU8" i="7"/>
  <c r="EV8" i="7"/>
  <c r="ET86" i="2"/>
  <c r="EV86" i="2"/>
  <c r="ET85" i="2"/>
  <c r="EV85" i="2"/>
  <c r="ET80" i="2"/>
  <c r="ET81" i="2" s="1"/>
  <c r="EU80" i="2"/>
  <c r="EU82" i="2" s="1"/>
  <c r="EV80" i="2"/>
  <c r="EV82" i="2" s="1"/>
  <c r="EV73" i="2"/>
  <c r="EV75" i="2" s="1"/>
  <c r="EV72" i="2"/>
  <c r="EU72" i="2"/>
  <c r="ET72" i="2"/>
  <c r="EV71" i="2"/>
  <c r="EU71" i="2"/>
  <c r="EU73" i="2" s="1"/>
  <c r="EU75" i="2" s="1"/>
  <c r="ET71" i="2"/>
  <c r="ET73" i="2" s="1"/>
  <c r="ET74" i="2" s="1"/>
  <c r="EV62" i="2"/>
  <c r="EV63" i="2" s="1"/>
  <c r="EV64" i="2" s="1"/>
  <c r="EU62" i="2"/>
  <c r="EU86" i="2" s="1"/>
  <c r="ET62" i="2"/>
  <c r="ET57" i="2"/>
  <c r="ET55" i="2"/>
  <c r="ES6" i="15" s="1"/>
  <c r="ET54" i="2"/>
  <c r="ET53" i="2"/>
  <c r="EU53" i="2"/>
  <c r="EU55" i="2" s="1"/>
  <c r="ET6" i="15" s="1"/>
  <c r="EV53" i="2"/>
  <c r="EV55" i="2" s="1"/>
  <c r="EU6" i="15" s="1"/>
  <c r="EV61" i="2"/>
  <c r="EU61" i="2"/>
  <c r="EU85" i="2" s="1"/>
  <c r="ET61" i="2"/>
  <c r="ET33" i="2"/>
  <c r="ET35" i="2" s="1"/>
  <c r="EU33" i="2"/>
  <c r="EU35" i="2" s="1"/>
  <c r="EV33" i="2"/>
  <c r="EV35" i="2" s="1"/>
  <c r="EV25" i="2"/>
  <c r="EU25" i="2"/>
  <c r="ET25" i="2"/>
  <c r="ET39" i="2" s="1"/>
  <c r="EV26" i="2"/>
  <c r="EV27" i="2" s="1"/>
  <c r="EV17" i="2"/>
  <c r="EV39" i="2" s="1"/>
  <c r="EU17" i="2"/>
  <c r="EU39" i="2" s="1"/>
  <c r="ET17" i="2"/>
  <c r="EU24" i="2"/>
  <c r="EU38" i="2" s="1"/>
  <c r="ET24" i="2"/>
  <c r="EV24" i="2"/>
  <c r="EV16" i="2"/>
  <c r="EV38" i="2" s="1"/>
  <c r="EU16" i="2"/>
  <c r="ET16" i="2"/>
  <c r="ET38" i="2" s="1"/>
  <c r="ET12" i="2"/>
  <c r="ES6" i="8" s="1"/>
  <c r="EV12" i="2"/>
  <c r="EU6" i="8" s="1"/>
  <c r="ET11" i="2"/>
  <c r="EU11" i="2"/>
  <c r="EV11" i="2"/>
  <c r="ET10" i="2"/>
  <c r="EU10" i="2"/>
  <c r="EU12" i="2" s="1"/>
  <c r="ET6" i="8" s="1"/>
  <c r="EV10" i="2"/>
  <c r="EV86" i="1"/>
  <c r="ET80" i="1"/>
  <c r="ET82" i="1" s="1"/>
  <c r="EU80" i="1"/>
  <c r="EU81" i="1" s="1"/>
  <c r="EV80" i="1"/>
  <c r="EV82" i="1" s="1"/>
  <c r="EV72" i="1"/>
  <c r="EV73" i="1" s="1"/>
  <c r="EV74" i="1" s="1"/>
  <c r="EU72" i="1"/>
  <c r="ET72" i="1"/>
  <c r="EU62" i="1"/>
  <c r="ET62" i="1"/>
  <c r="ET86" i="1" s="1"/>
  <c r="ET54" i="1"/>
  <c r="ET53" i="1"/>
  <c r="ET57" i="1" s="1"/>
  <c r="EU53" i="1"/>
  <c r="EU55" i="1" s="1"/>
  <c r="ET5" i="15" s="1"/>
  <c r="EV53" i="1"/>
  <c r="EV57" i="1" s="1"/>
  <c r="EV71" i="1"/>
  <c r="EU71" i="1"/>
  <c r="EU73" i="1" s="1"/>
  <c r="EU75" i="1" s="1"/>
  <c r="ET71" i="1"/>
  <c r="EV61" i="1"/>
  <c r="EV63" i="1" s="1"/>
  <c r="EU61" i="1"/>
  <c r="EU63" i="1" s="1"/>
  <c r="EU67" i="1" s="1"/>
  <c r="ET61" i="1"/>
  <c r="EU39" i="1"/>
  <c r="ET33" i="1"/>
  <c r="ET35" i="1" s="1"/>
  <c r="EU33" i="1"/>
  <c r="EU35" i="1" s="1"/>
  <c r="EV33" i="1"/>
  <c r="EV35" i="1" s="1"/>
  <c r="EV25" i="1"/>
  <c r="EU25" i="1"/>
  <c r="ET25" i="1"/>
  <c r="EU18" i="1"/>
  <c r="EU19" i="1" s="1"/>
  <c r="EV17" i="1"/>
  <c r="EU17" i="1"/>
  <c r="ET17" i="1"/>
  <c r="ET11" i="1"/>
  <c r="EV11" i="1"/>
  <c r="ET10" i="1"/>
  <c r="ET12" i="1" s="1"/>
  <c r="ES5" i="8" s="1"/>
  <c r="EU10" i="1"/>
  <c r="EU11" i="1" s="1"/>
  <c r="EV10" i="1"/>
  <c r="EV12" i="1" s="1"/>
  <c r="EU5" i="8" s="1"/>
  <c r="EV24" i="1"/>
  <c r="EU24" i="1"/>
  <c r="EU24" i="7" s="1"/>
  <c r="ET24" i="1"/>
  <c r="EV16" i="1"/>
  <c r="EU16" i="1"/>
  <c r="ET16" i="1"/>
  <c r="ET18" i="1" s="1"/>
  <c r="ET19" i="1" s="1"/>
  <c r="EY88" i="1" l="1"/>
  <c r="EX67" i="7"/>
  <c r="EV12" i="13"/>
  <c r="EX89" i="7"/>
  <c r="EX41" i="1"/>
  <c r="EW75" i="7"/>
  <c r="EV6" i="24" s="1"/>
  <c r="EX28" i="7"/>
  <c r="EW7" i="26" s="1"/>
  <c r="EW65" i="7"/>
  <c r="EV12" i="14" s="1"/>
  <c r="EW64" i="7"/>
  <c r="EW28" i="7"/>
  <c r="EV5" i="24" s="1"/>
  <c r="EY89" i="2"/>
  <c r="EY75" i="7"/>
  <c r="EX6" i="24" s="1"/>
  <c r="EX89" i="1"/>
  <c r="EW89" i="1"/>
  <c r="EX40" i="7"/>
  <c r="EX41" i="7" s="1"/>
  <c r="EW41" i="7"/>
  <c r="EW42" i="1"/>
  <c r="EW41" i="1"/>
  <c r="EU65" i="1"/>
  <c r="ET5" i="14" s="1"/>
  <c r="EU20" i="2"/>
  <c r="ET6" i="13" s="1"/>
  <c r="EV57" i="2"/>
  <c r="EX6" i="26"/>
  <c r="EU20" i="1"/>
  <c r="ET5" i="13" s="1"/>
  <c r="ET63" i="1"/>
  <c r="EV18" i="2"/>
  <c r="EU57" i="2"/>
  <c r="EU18" i="2"/>
  <c r="EU19" i="2" s="1"/>
  <c r="EV54" i="2"/>
  <c r="ET26" i="1"/>
  <c r="ET28" i="1" s="1"/>
  <c r="ET18" i="2"/>
  <c r="EU54" i="2"/>
  <c r="ET63" i="2"/>
  <c r="ET24" i="7"/>
  <c r="EV54" i="1"/>
  <c r="EV55" i="1"/>
  <c r="EU5" i="15" s="1"/>
  <c r="EU53" i="7"/>
  <c r="EU12" i="1"/>
  <c r="ET5" i="8" s="1"/>
  <c r="ET55" i="1"/>
  <c r="ES5" i="15" s="1"/>
  <c r="EU10" i="7"/>
  <c r="EU11" i="7" s="1"/>
  <c r="ET53" i="7"/>
  <c r="ET54" i="7" s="1"/>
  <c r="EY41" i="1"/>
  <c r="EV18" i="1"/>
  <c r="EV19" i="1" s="1"/>
  <c r="EV26" i="1"/>
  <c r="EV27" i="1" s="1"/>
  <c r="ET73" i="1"/>
  <c r="ET74" i="1" s="1"/>
  <c r="EV67" i="2"/>
  <c r="ET10" i="7"/>
  <c r="ET11" i="7" s="1"/>
  <c r="EW89" i="7"/>
  <c r="EU74" i="2"/>
  <c r="EX7" i="26"/>
  <c r="EV40" i="2"/>
  <c r="EV41" i="2" s="1"/>
  <c r="EU40" i="2"/>
  <c r="EU41" i="2" s="1"/>
  <c r="EY40" i="7"/>
  <c r="EY41" i="7" s="1"/>
  <c r="ET40" i="2"/>
  <c r="ET41" i="2" s="1"/>
  <c r="EV65" i="1"/>
  <c r="EU5" i="14" s="1"/>
  <c r="EV64" i="1"/>
  <c r="ET64" i="1"/>
  <c r="ET65" i="1"/>
  <c r="ES5" i="14" s="1"/>
  <c r="ET67" i="1"/>
  <c r="ET38" i="1"/>
  <c r="EV85" i="1"/>
  <c r="EV87" i="1" s="1"/>
  <c r="EV38" i="1"/>
  <c r="EU26" i="1"/>
  <c r="EU28" i="1" s="1"/>
  <c r="ET85" i="1"/>
  <c r="ET87" i="1" s="1"/>
  <c r="ET88" i="1" s="1"/>
  <c r="EV24" i="7"/>
  <c r="EW6" i="26"/>
  <c r="EW12" i="13"/>
  <c r="EU38" i="1"/>
  <c r="EU40" i="1" s="1"/>
  <c r="EV20" i="1"/>
  <c r="EU5" i="13" s="1"/>
  <c r="EV39" i="1"/>
  <c r="EU54" i="1"/>
  <c r="EU64" i="1"/>
  <c r="EU86" i="1"/>
  <c r="EV53" i="7"/>
  <c r="EV54" i="7" s="1"/>
  <c r="ET20" i="1"/>
  <c r="ES5" i="13" s="1"/>
  <c r="ET39" i="1"/>
  <c r="EU85" i="1"/>
  <c r="EV10" i="7"/>
  <c r="EV11" i="7" s="1"/>
  <c r="EU54" i="7"/>
  <c r="EU55" i="7"/>
  <c r="ET12" i="15" s="1"/>
  <c r="EU74" i="1"/>
  <c r="EY89" i="7"/>
  <c r="EV87" i="2"/>
  <c r="EV88" i="2" s="1"/>
  <c r="EU80" i="7"/>
  <c r="EU81" i="7" s="1"/>
  <c r="EU87" i="2"/>
  <c r="EU88" i="2" s="1"/>
  <c r="ET34" i="2"/>
  <c r="EV28" i="2"/>
  <c r="EV34" i="2"/>
  <c r="EU34" i="2"/>
  <c r="EV81" i="1"/>
  <c r="EV34" i="1"/>
  <c r="EV75" i="1"/>
  <c r="ET34" i="1"/>
  <c r="EU33" i="7"/>
  <c r="EU35" i="7" s="1"/>
  <c r="ET8" i="26" s="1"/>
  <c r="ET87" i="2"/>
  <c r="ET88" i="2" s="1"/>
  <c r="ET75" i="2"/>
  <c r="EU81" i="2"/>
  <c r="EV74" i="2"/>
  <c r="ET42" i="2"/>
  <c r="ET80" i="7"/>
  <c r="ET81" i="7" s="1"/>
  <c r="ET33" i="7"/>
  <c r="ET34" i="7" s="1"/>
  <c r="EV80" i="7"/>
  <c r="EV81" i="7" s="1"/>
  <c r="EV33" i="7"/>
  <c r="EV34" i="7" s="1"/>
  <c r="ET81" i="1"/>
  <c r="EU82" i="1"/>
  <c r="ET27" i="1"/>
  <c r="EU34" i="1"/>
  <c r="EV67" i="1"/>
  <c r="EV81" i="2"/>
  <c r="ET82" i="2"/>
  <c r="EV65" i="2"/>
  <c r="EU6" i="14" s="1"/>
  <c r="EU65" i="2"/>
  <c r="ET6" i="14" s="1"/>
  <c r="EU63" i="2"/>
  <c r="ET64" i="2"/>
  <c r="ET65" i="2"/>
  <c r="ES6" i="14" s="1"/>
  <c r="EU26" i="2"/>
  <c r="EU27" i="2" s="1"/>
  <c r="ET26" i="2"/>
  <c r="ET27" i="2" s="1"/>
  <c r="EU57" i="1"/>
  <c r="ET85" i="6"/>
  <c r="EU85" i="6"/>
  <c r="EV85" i="6"/>
  <c r="ET80" i="6"/>
  <c r="ET81" i="6" s="1"/>
  <c r="EU80" i="6"/>
  <c r="EU81" i="6" s="1"/>
  <c r="EV80" i="6"/>
  <c r="EV82" i="6" s="1"/>
  <c r="EV72" i="6"/>
  <c r="EU72" i="6"/>
  <c r="ET72" i="6"/>
  <c r="EV73" i="6"/>
  <c r="EV74" i="6" s="1"/>
  <c r="EU62" i="6"/>
  <c r="EU86" i="6" s="1"/>
  <c r="EV62" i="6"/>
  <c r="EV63" i="6" s="1"/>
  <c r="ET62" i="6"/>
  <c r="ET86" i="6" s="1"/>
  <c r="EV61" i="6"/>
  <c r="EU61" i="6"/>
  <c r="ET61" i="6"/>
  <c r="EV55" i="6"/>
  <c r="EU8" i="15" s="1"/>
  <c r="ET53" i="6"/>
  <c r="ET55" i="6" s="1"/>
  <c r="ES8" i="15" s="1"/>
  <c r="EU53" i="6"/>
  <c r="EV53" i="6"/>
  <c r="EU38" i="6"/>
  <c r="EV38" i="6"/>
  <c r="ET33" i="6"/>
  <c r="ET35" i="6" s="1"/>
  <c r="EU33" i="6"/>
  <c r="EU35" i="6" s="1"/>
  <c r="EV33" i="6"/>
  <c r="EV35" i="6" s="1"/>
  <c r="EV25" i="6"/>
  <c r="EV26" i="6" s="1"/>
  <c r="EV27" i="6" s="1"/>
  <c r="EU25" i="6"/>
  <c r="ET25" i="6"/>
  <c r="ET26" i="6" s="1"/>
  <c r="EV17" i="6"/>
  <c r="EV18" i="6" s="1"/>
  <c r="EV20" i="6" s="1"/>
  <c r="EU8" i="13" s="1"/>
  <c r="EU17" i="6"/>
  <c r="EU39" i="6" s="1"/>
  <c r="ET17" i="6"/>
  <c r="ET39" i="6" s="1"/>
  <c r="EU16" i="6"/>
  <c r="ET16" i="6"/>
  <c r="ET38" i="6" s="1"/>
  <c r="ET12" i="6"/>
  <c r="ES8" i="8" s="1"/>
  <c r="ET10" i="6"/>
  <c r="ET11" i="6" s="1"/>
  <c r="EU10" i="6"/>
  <c r="EU11" i="6" s="1"/>
  <c r="EV10" i="6"/>
  <c r="EV12" i="6" s="1"/>
  <c r="EU8" i="8" s="1"/>
  <c r="EU86" i="4"/>
  <c r="ET80" i="4"/>
  <c r="ET82" i="4" s="1"/>
  <c r="EU80" i="4"/>
  <c r="EU82" i="4" s="1"/>
  <c r="EV80" i="4"/>
  <c r="EV82" i="4" s="1"/>
  <c r="EV72" i="4"/>
  <c r="EU72" i="4"/>
  <c r="ET72" i="4"/>
  <c r="EU73" i="4"/>
  <c r="EU74" i="4" s="1"/>
  <c r="EV73" i="4"/>
  <c r="EV74" i="4" s="1"/>
  <c r="EV62" i="4"/>
  <c r="EV62" i="7" s="1"/>
  <c r="EU62" i="4"/>
  <c r="EU62" i="7" s="1"/>
  <c r="ET62" i="4"/>
  <c r="ET62" i="7" s="1"/>
  <c r="EV61" i="4"/>
  <c r="EU61" i="4"/>
  <c r="ET61" i="4"/>
  <c r="ET85" i="4" s="1"/>
  <c r="EU25" i="4"/>
  <c r="EU25" i="7" s="1"/>
  <c r="EU26" i="7" s="1"/>
  <c r="EU27" i="7" s="1"/>
  <c r="EV10" i="4"/>
  <c r="EV11" i="4" s="1"/>
  <c r="EV16" i="4"/>
  <c r="EV17" i="4"/>
  <c r="EV17" i="7" s="1"/>
  <c r="EU39" i="4"/>
  <c r="EV39" i="4"/>
  <c r="ET38" i="4"/>
  <c r="EV38" i="4"/>
  <c r="ET33" i="4"/>
  <c r="ET35" i="4" s="1"/>
  <c r="EU33" i="4"/>
  <c r="EU34" i="4" s="1"/>
  <c r="EV33" i="4"/>
  <c r="EV35" i="4" s="1"/>
  <c r="EV25" i="4"/>
  <c r="EV26" i="4" s="1"/>
  <c r="EV27" i="4" s="1"/>
  <c r="ET25" i="4"/>
  <c r="ET25" i="7" s="1"/>
  <c r="EU17" i="4"/>
  <c r="EU17" i="7" s="1"/>
  <c r="ET17" i="4"/>
  <c r="ET17" i="7" s="1"/>
  <c r="EU16" i="4"/>
  <c r="ET16" i="4"/>
  <c r="ET10" i="4"/>
  <c r="ET12" i="4" s="1"/>
  <c r="ES7" i="8" s="1"/>
  <c r="EU10" i="4"/>
  <c r="ET53" i="4"/>
  <c r="ET54" i="4" s="1"/>
  <c r="EU53" i="4"/>
  <c r="EU55" i="4" s="1"/>
  <c r="ET7" i="15" s="1"/>
  <c r="EV53" i="4"/>
  <c r="EV55" i="4" s="1"/>
  <c r="EU7" i="15" s="1"/>
  <c r="ET26" i="7" l="1"/>
  <c r="ET27" i="7" s="1"/>
  <c r="EU81" i="4"/>
  <c r="EX42" i="7"/>
  <c r="EV7" i="26"/>
  <c r="ET75" i="1"/>
  <c r="EV28" i="1"/>
  <c r="ET40" i="1"/>
  <c r="ET42" i="1" s="1"/>
  <c r="EV40" i="1"/>
  <c r="EV41" i="1" s="1"/>
  <c r="EW5" i="24"/>
  <c r="ET57" i="7"/>
  <c r="EU57" i="7"/>
  <c r="EU12" i="7"/>
  <c r="ET12" i="8" s="1"/>
  <c r="ET12" i="7"/>
  <c r="ES9" i="26" s="1"/>
  <c r="EU27" i="1"/>
  <c r="EU38" i="4"/>
  <c r="EU40" i="4" s="1"/>
  <c r="EU41" i="4" s="1"/>
  <c r="EV57" i="6"/>
  <c r="ET67" i="2"/>
  <c r="EU63" i="4"/>
  <c r="ET86" i="4"/>
  <c r="ET87" i="4" s="1"/>
  <c r="ET88" i="4" s="1"/>
  <c r="EU57" i="6"/>
  <c r="EV57" i="7"/>
  <c r="ET19" i="2"/>
  <c r="ET20" i="2"/>
  <c r="ES6" i="13" s="1"/>
  <c r="ET11" i="4"/>
  <c r="ET39" i="4"/>
  <c r="ET40" i="4" s="1"/>
  <c r="ET41" i="4" s="1"/>
  <c r="EV85" i="4"/>
  <c r="EV86" i="6"/>
  <c r="EV87" i="6" s="1"/>
  <c r="EU64" i="2"/>
  <c r="EU67" i="2"/>
  <c r="ET5" i="26"/>
  <c r="ET55" i="7"/>
  <c r="ES12" i="15" s="1"/>
  <c r="EV19" i="2"/>
  <c r="EV20" i="2"/>
  <c r="EU6" i="13" s="1"/>
  <c r="EU18" i="4"/>
  <c r="EU19" i="4" s="1"/>
  <c r="EU85" i="4"/>
  <c r="EU87" i="4" s="1"/>
  <c r="EU88" i="4" s="1"/>
  <c r="EV11" i="6"/>
  <c r="EV39" i="6"/>
  <c r="EV40" i="6" s="1"/>
  <c r="EV12" i="7"/>
  <c r="EU5" i="26" s="1"/>
  <c r="EV25" i="7"/>
  <c r="EV26" i="7" s="1"/>
  <c r="EV28" i="7" s="1"/>
  <c r="EV18" i="4"/>
  <c r="EV86" i="4"/>
  <c r="EV89" i="2"/>
  <c r="ET28" i="2"/>
  <c r="EY42" i="7"/>
  <c r="EU42" i="2"/>
  <c r="EV42" i="2"/>
  <c r="ET87" i="6"/>
  <c r="ET88" i="6" s="1"/>
  <c r="EV81" i="4"/>
  <c r="EV88" i="1"/>
  <c r="EV89" i="1"/>
  <c r="EU87" i="1"/>
  <c r="EU89" i="1" s="1"/>
  <c r="EV55" i="7"/>
  <c r="EU12" i="15" s="1"/>
  <c r="ET89" i="1"/>
  <c r="ET82" i="7"/>
  <c r="EV34" i="6"/>
  <c r="EU82" i="7"/>
  <c r="EU89" i="2"/>
  <c r="EU87" i="6"/>
  <c r="EU88" i="6" s="1"/>
  <c r="ET40" i="6"/>
  <c r="ET41" i="6" s="1"/>
  <c r="EU40" i="6"/>
  <c r="EU42" i="6" s="1"/>
  <c r="ET34" i="6"/>
  <c r="ET81" i="4"/>
  <c r="EU34" i="7"/>
  <c r="EV34" i="4"/>
  <c r="ET89" i="2"/>
  <c r="ET82" i="6"/>
  <c r="EV75" i="6"/>
  <c r="EV82" i="7"/>
  <c r="EU75" i="4"/>
  <c r="ET35" i="7"/>
  <c r="ES8" i="26" s="1"/>
  <c r="EU28" i="7"/>
  <c r="ET5" i="24" s="1"/>
  <c r="EV35" i="7"/>
  <c r="EU8" i="26" s="1"/>
  <c r="EU41" i="1"/>
  <c r="EU42" i="1"/>
  <c r="EU28" i="2"/>
  <c r="EV81" i="6"/>
  <c r="EU82" i="6"/>
  <c r="EU73" i="6"/>
  <c r="EU74" i="6" s="1"/>
  <c r="ET73" i="6"/>
  <c r="ET74" i="6" s="1"/>
  <c r="EU63" i="6"/>
  <c r="EV67" i="6"/>
  <c r="EV64" i="6"/>
  <c r="EV65" i="6"/>
  <c r="EU8" i="14" s="1"/>
  <c r="EU64" i="6"/>
  <c r="ET63" i="6"/>
  <c r="ET67" i="6" s="1"/>
  <c r="EU55" i="6"/>
  <c r="ET8" i="15" s="1"/>
  <c r="EU54" i="6"/>
  <c r="ET54" i="6"/>
  <c r="EV54" i="6"/>
  <c r="ET57" i="6"/>
  <c r="EU34" i="6"/>
  <c r="EV28" i="6"/>
  <c r="EU26" i="6"/>
  <c r="EU27" i="6" s="1"/>
  <c r="ET27" i="6"/>
  <c r="ET28" i="6"/>
  <c r="EU18" i="6"/>
  <c r="EU19" i="6" s="1"/>
  <c r="ET18" i="6"/>
  <c r="ET19" i="6" s="1"/>
  <c r="EV19" i="6"/>
  <c r="EU12" i="6"/>
  <c r="ET8" i="8" s="1"/>
  <c r="EV75" i="4"/>
  <c r="ET73" i="4"/>
  <c r="ET74" i="4" s="1"/>
  <c r="EV63" i="4"/>
  <c r="EV67" i="4" s="1"/>
  <c r="ET63" i="4"/>
  <c r="EU65" i="4"/>
  <c r="ET7" i="14" s="1"/>
  <c r="ET65" i="4"/>
  <c r="ES7" i="14" s="1"/>
  <c r="EV57" i="4"/>
  <c r="EV54" i="4"/>
  <c r="EU57" i="4"/>
  <c r="EU54" i="4"/>
  <c r="ET55" i="4"/>
  <c r="ES7" i="15" s="1"/>
  <c r="ET57" i="4"/>
  <c r="EV19" i="4"/>
  <c r="EV12" i="4"/>
  <c r="EU7" i="8" s="1"/>
  <c r="EV40" i="4"/>
  <c r="ET34" i="4"/>
  <c r="EU35" i="4"/>
  <c r="EV28" i="4"/>
  <c r="EU26" i="4"/>
  <c r="EU27" i="4" s="1"/>
  <c r="ET26" i="4"/>
  <c r="ET27" i="4" s="1"/>
  <c r="EV20" i="4"/>
  <c r="EU7" i="13" s="1"/>
  <c r="ET18" i="4"/>
  <c r="ET19" i="4" s="1"/>
  <c r="ET20" i="4"/>
  <c r="ES7" i="13" s="1"/>
  <c r="EU11" i="4"/>
  <c r="EU12" i="4"/>
  <c r="ET7" i="8" s="1"/>
  <c r="EV86" i="5"/>
  <c r="EV86" i="7" s="1"/>
  <c r="EV85" i="5"/>
  <c r="ET80" i="5"/>
  <c r="ET82" i="5" s="1"/>
  <c r="EU80" i="5"/>
  <c r="EU81" i="5" s="1"/>
  <c r="EV80" i="5"/>
  <c r="EV81" i="5" s="1"/>
  <c r="EV72" i="5"/>
  <c r="EV73" i="5" s="1"/>
  <c r="EV74" i="5" s="1"/>
  <c r="EU72" i="5"/>
  <c r="EU86" i="5" s="1"/>
  <c r="ET72" i="5"/>
  <c r="ET72" i="7" s="1"/>
  <c r="ET71" i="5"/>
  <c r="ET71" i="7" s="1"/>
  <c r="EU71" i="5"/>
  <c r="EU71" i="7" s="1"/>
  <c r="EV71" i="5"/>
  <c r="EV71" i="7" s="1"/>
  <c r="EU63" i="5"/>
  <c r="EU65" i="5" s="1"/>
  <c r="ET9" i="14" s="1"/>
  <c r="EV63" i="5"/>
  <c r="EV65" i="5" s="1"/>
  <c r="EU9" i="14" s="1"/>
  <c r="EV61" i="5"/>
  <c r="EV61" i="7" s="1"/>
  <c r="EV63" i="7" s="1"/>
  <c r="EU61" i="5"/>
  <c r="EU61" i="7" s="1"/>
  <c r="EU63" i="7" s="1"/>
  <c r="ET61" i="5"/>
  <c r="ET61" i="7" s="1"/>
  <c r="ET63" i="7" s="1"/>
  <c r="ES61" i="5"/>
  <c r="EU57" i="5"/>
  <c r="EV55" i="5"/>
  <c r="EU9" i="15" s="1"/>
  <c r="EV54" i="5"/>
  <c r="EV53" i="5"/>
  <c r="EV57" i="5" s="1"/>
  <c r="ET55" i="5"/>
  <c r="ES9" i="15" s="1"/>
  <c r="EU55" i="5"/>
  <c r="ET9" i="15" s="1"/>
  <c r="EU54" i="5"/>
  <c r="EU53" i="5"/>
  <c r="ET57" i="5"/>
  <c r="ET54" i="5"/>
  <c r="ET53" i="5"/>
  <c r="ET39" i="5"/>
  <c r="EU39" i="5"/>
  <c r="EU39" i="7" s="1"/>
  <c r="EV39" i="5"/>
  <c r="EV38" i="5"/>
  <c r="EV38" i="7" s="1"/>
  <c r="ET33" i="5"/>
  <c r="ET35" i="5" s="1"/>
  <c r="EU33" i="5"/>
  <c r="EU34" i="5" s="1"/>
  <c r="EV33" i="5"/>
  <c r="EV35" i="5" s="1"/>
  <c r="ET26" i="5"/>
  <c r="ET28" i="5" s="1"/>
  <c r="EU26" i="5"/>
  <c r="EU27" i="5" s="1"/>
  <c r="EV26" i="5"/>
  <c r="EV28" i="5" s="1"/>
  <c r="EU20" i="5"/>
  <c r="ET9" i="13" s="1"/>
  <c r="EU19" i="5"/>
  <c r="EU18" i="5"/>
  <c r="ET18" i="5"/>
  <c r="ET19" i="5" s="1"/>
  <c r="EV16" i="5"/>
  <c r="EV16" i="7" s="1"/>
  <c r="EV18" i="7" s="1"/>
  <c r="EU16" i="5"/>
  <c r="EU16" i="7" s="1"/>
  <c r="EU18" i="7" s="1"/>
  <c r="ET16" i="5"/>
  <c r="ET16" i="7" s="1"/>
  <c r="ET18" i="7" s="1"/>
  <c r="ET12" i="5"/>
  <c r="ES9" i="8" s="1"/>
  <c r="EU12" i="5"/>
  <c r="ET9" i="8" s="1"/>
  <c r="EV12" i="5"/>
  <c r="EU9" i="8" s="1"/>
  <c r="ET11" i="5"/>
  <c r="EU11" i="5"/>
  <c r="EV11" i="5"/>
  <c r="ET41" i="1" l="1"/>
  <c r="EV42" i="1"/>
  <c r="ET9" i="26"/>
  <c r="ET28" i="7"/>
  <c r="ES5" i="24" s="1"/>
  <c r="EV39" i="7"/>
  <c r="EV85" i="7"/>
  <c r="EV87" i="7" s="1"/>
  <c r="EV88" i="7" s="1"/>
  <c r="ET39" i="7"/>
  <c r="EV89" i="6"/>
  <c r="EV88" i="6"/>
  <c r="ET89" i="6"/>
  <c r="EU89" i="4"/>
  <c r="EV87" i="4"/>
  <c r="EV88" i="4" s="1"/>
  <c r="ES5" i="26"/>
  <c r="ES12" i="8"/>
  <c r="EU12" i="8"/>
  <c r="EU7" i="26"/>
  <c r="EU5" i="24"/>
  <c r="EV19" i="7"/>
  <c r="EV20" i="7"/>
  <c r="EU12" i="13" s="1"/>
  <c r="EV41" i="6"/>
  <c r="EV42" i="6"/>
  <c r="EU19" i="7"/>
  <c r="EU20" i="7"/>
  <c r="EU65" i="7"/>
  <c r="ET12" i="14" s="1"/>
  <c r="EU64" i="7"/>
  <c r="EU67" i="7"/>
  <c r="EV65" i="7"/>
  <c r="EU12" i="14" s="1"/>
  <c r="EV64" i="7"/>
  <c r="EV67" i="7"/>
  <c r="ET67" i="7"/>
  <c r="ET64" i="7"/>
  <c r="ET65" i="7"/>
  <c r="ES12" i="14" s="1"/>
  <c r="ET19" i="7"/>
  <c r="ET20" i="7"/>
  <c r="ES12" i="13" s="1"/>
  <c r="ET63" i="5"/>
  <c r="EU67" i="6"/>
  <c r="ET73" i="7"/>
  <c r="ET74" i="7" s="1"/>
  <c r="EV18" i="5"/>
  <c r="EU38" i="5"/>
  <c r="EU40" i="5" s="1"/>
  <c r="EV64" i="5"/>
  <c r="EU73" i="5"/>
  <c r="EU74" i="5" s="1"/>
  <c r="EU85" i="5"/>
  <c r="EU85" i="7" s="1"/>
  <c r="EU20" i="4"/>
  <c r="ET7" i="13" s="1"/>
  <c r="EU64" i="4"/>
  <c r="EU67" i="4"/>
  <c r="ET38" i="5"/>
  <c r="ET38" i="7" s="1"/>
  <c r="ET85" i="5"/>
  <c r="ET85" i="7" s="1"/>
  <c r="EV72" i="7"/>
  <c r="EV73" i="7" s="1"/>
  <c r="EV74" i="7" s="1"/>
  <c r="EU72" i="7"/>
  <c r="EU73" i="7" s="1"/>
  <c r="EU74" i="7" s="1"/>
  <c r="ET20" i="6"/>
  <c r="ES8" i="13" s="1"/>
  <c r="ET20" i="5"/>
  <c r="ES9" i="13" s="1"/>
  <c r="ET86" i="5"/>
  <c r="ET86" i="7" s="1"/>
  <c r="EV64" i="4"/>
  <c r="EU20" i="6"/>
  <c r="ET8" i="13" s="1"/>
  <c r="EU9" i="26"/>
  <c r="EV65" i="4"/>
  <c r="EU7" i="14" s="1"/>
  <c r="EV27" i="7"/>
  <c r="ET64" i="4"/>
  <c r="ET67" i="4"/>
  <c r="ET89" i="4"/>
  <c r="ET81" i="5"/>
  <c r="EU88" i="1"/>
  <c r="EU6" i="26"/>
  <c r="EV87" i="5"/>
  <c r="EV88" i="5" s="1"/>
  <c r="EU89" i="6"/>
  <c r="ET42" i="6"/>
  <c r="EU41" i="6"/>
  <c r="EU86" i="7"/>
  <c r="ET27" i="5"/>
  <c r="EV34" i="5"/>
  <c r="ET75" i="6"/>
  <c r="ET28" i="4"/>
  <c r="ET42" i="4"/>
  <c r="ET34" i="5"/>
  <c r="EV40" i="5"/>
  <c r="EV40" i="7" s="1"/>
  <c r="EU28" i="6"/>
  <c r="ET7" i="26"/>
  <c r="EV41" i="4"/>
  <c r="EU75" i="6"/>
  <c r="EU65" i="6"/>
  <c r="ET8" i="14" s="1"/>
  <c r="ET64" i="6"/>
  <c r="ET65" i="6"/>
  <c r="ES8" i="14" s="1"/>
  <c r="ET75" i="4"/>
  <c r="EU28" i="4"/>
  <c r="EU42" i="4"/>
  <c r="EV42" i="4"/>
  <c r="EV82" i="5"/>
  <c r="EU82" i="5"/>
  <c r="EV75" i="5"/>
  <c r="ET73" i="5"/>
  <c r="ET74" i="5" s="1"/>
  <c r="EU64" i="5"/>
  <c r="EU67" i="5"/>
  <c r="EU35" i="5"/>
  <c r="EV27" i="5"/>
  <c r="EU28" i="5"/>
  <c r="EV20" i="5"/>
  <c r="EU9" i="13" s="1"/>
  <c r="EP7" i="15"/>
  <c r="EQ79" i="7"/>
  <c r="ER79" i="7"/>
  <c r="ES79" i="7"/>
  <c r="EQ78" i="7"/>
  <c r="ER78" i="7"/>
  <c r="ES78" i="7"/>
  <c r="EQ52" i="7"/>
  <c r="ER52" i="7"/>
  <c r="ES52" i="7"/>
  <c r="EQ51" i="7"/>
  <c r="ER51" i="7"/>
  <c r="ER53" i="7" s="1"/>
  <c r="ES51" i="7"/>
  <c r="EQ32" i="7"/>
  <c r="ER32" i="7"/>
  <c r="ES32" i="7"/>
  <c r="EQ31" i="7"/>
  <c r="ER31" i="7"/>
  <c r="ES31" i="7"/>
  <c r="EQ9" i="7"/>
  <c r="ER9" i="7"/>
  <c r="ES9" i="7"/>
  <c r="EQ8" i="7"/>
  <c r="ER8" i="7"/>
  <c r="ES8" i="7"/>
  <c r="ES86" i="4"/>
  <c r="EQ80" i="4"/>
  <c r="EQ82" i="4" s="1"/>
  <c r="ER80" i="4"/>
  <c r="ER82" i="4" s="1"/>
  <c r="ES80" i="4"/>
  <c r="ES81" i="4" s="1"/>
  <c r="ES72" i="4"/>
  <c r="ER72" i="4"/>
  <c r="ER86" i="4" s="1"/>
  <c r="EQ72" i="4"/>
  <c r="EQ73" i="4"/>
  <c r="EQ74" i="4" s="1"/>
  <c r="ES73" i="4"/>
  <c r="ES75" i="4" s="1"/>
  <c r="ES62" i="4"/>
  <c r="ER62" i="4"/>
  <c r="ER63" i="4" s="1"/>
  <c r="ER65" i="4" s="1"/>
  <c r="EQ7" i="14" s="1"/>
  <c r="EQ62" i="4"/>
  <c r="EQ86" i="4" s="1"/>
  <c r="ES61" i="4"/>
  <c r="ES85" i="4" s="1"/>
  <c r="ER61" i="4"/>
  <c r="ER85" i="4" s="1"/>
  <c r="EQ61" i="4"/>
  <c r="EQ85" i="4" s="1"/>
  <c r="EQ55" i="4"/>
  <c r="EQ54" i="4"/>
  <c r="ER54" i="4"/>
  <c r="EQ53" i="4"/>
  <c r="ER53" i="4"/>
  <c r="ER55" i="4" s="1"/>
  <c r="EQ7" i="15" s="1"/>
  <c r="ES53" i="4"/>
  <c r="ES54" i="4" s="1"/>
  <c r="ES25" i="4"/>
  <c r="ER25" i="4"/>
  <c r="EQ25" i="4"/>
  <c r="ER24" i="4"/>
  <c r="EQ24" i="4"/>
  <c r="ES17" i="4"/>
  <c r="ER17" i="4"/>
  <c r="EQ17" i="4"/>
  <c r="ES16" i="4"/>
  <c r="ER16" i="4"/>
  <c r="EQ16" i="4"/>
  <c r="EV89" i="4" l="1"/>
  <c r="ES6" i="26"/>
  <c r="EV89" i="5"/>
  <c r="EU87" i="5"/>
  <c r="EU88" i="5" s="1"/>
  <c r="ES7" i="26"/>
  <c r="EU87" i="7"/>
  <c r="EU88" i="7" s="1"/>
  <c r="ET87" i="5"/>
  <c r="ET89" i="5" s="1"/>
  <c r="ET87" i="7"/>
  <c r="ET88" i="7" s="1"/>
  <c r="ER10" i="7"/>
  <c r="ER11" i="7" s="1"/>
  <c r="EU41" i="5"/>
  <c r="EU42" i="5"/>
  <c r="EU40" i="7"/>
  <c r="EU42" i="7" s="1"/>
  <c r="EU38" i="7"/>
  <c r="ET40" i="5"/>
  <c r="EV75" i="7"/>
  <c r="EU6" i="24" s="1"/>
  <c r="ER73" i="4"/>
  <c r="ER74" i="4" s="1"/>
  <c r="EV19" i="5"/>
  <c r="EV67" i="5"/>
  <c r="ET6" i="26"/>
  <c r="ET12" i="13"/>
  <c r="EU75" i="5"/>
  <c r="ET67" i="5"/>
  <c r="ET65" i="5"/>
  <c r="ES9" i="14" s="1"/>
  <c r="ET64" i="5"/>
  <c r="ET75" i="7"/>
  <c r="ES6" i="24" s="1"/>
  <c r="EU75" i="7"/>
  <c r="ET6" i="24" s="1"/>
  <c r="ES10" i="7"/>
  <c r="ES11" i="7" s="1"/>
  <c r="EQ53" i="7"/>
  <c r="EQ55" i="7" s="1"/>
  <c r="EP12" i="15" s="1"/>
  <c r="EQ10" i="7"/>
  <c r="EQ11" i="7" s="1"/>
  <c r="ES53" i="7"/>
  <c r="ES54" i="7" s="1"/>
  <c r="ER54" i="7"/>
  <c r="ER57" i="7"/>
  <c r="ER55" i="7"/>
  <c r="EQ12" i="15" s="1"/>
  <c r="EQ87" i="4"/>
  <c r="EQ88" i="4" s="1"/>
  <c r="EV89" i="7"/>
  <c r="ET75" i="5"/>
  <c r="EV41" i="5"/>
  <c r="EV42" i="5"/>
  <c r="ES87" i="4"/>
  <c r="ES89" i="4" s="1"/>
  <c r="EV41" i="7"/>
  <c r="EV42" i="7"/>
  <c r="ER87" i="4"/>
  <c r="ER88" i="4" s="1"/>
  <c r="EQ81" i="4"/>
  <c r="ES82" i="4"/>
  <c r="ES80" i="7"/>
  <c r="ES81" i="7" s="1"/>
  <c r="ES33" i="7"/>
  <c r="ES35" i="7" s="1"/>
  <c r="ER8" i="26" s="1"/>
  <c r="EQ75" i="4"/>
  <c r="ER81" i="4"/>
  <c r="EQ33" i="7"/>
  <c r="EQ35" i="7" s="1"/>
  <c r="EP8" i="26" s="1"/>
  <c r="EQ80" i="7"/>
  <c r="EQ82" i="7" s="1"/>
  <c r="ER80" i="7"/>
  <c r="ER82" i="7" s="1"/>
  <c r="ER33" i="7"/>
  <c r="ER34" i="7" s="1"/>
  <c r="ES74" i="4"/>
  <c r="EQ63" i="4"/>
  <c r="ES63" i="4"/>
  <c r="ER64" i="4"/>
  <c r="EQ65" i="4"/>
  <c r="EP7" i="14" s="1"/>
  <c r="EQ64" i="4"/>
  <c r="ES55" i="4"/>
  <c r="ER7" i="15" s="1"/>
  <c r="EP16" i="4"/>
  <c r="EU89" i="5" l="1"/>
  <c r="ET88" i="5"/>
  <c r="ER12" i="7"/>
  <c r="EQ9" i="26" s="1"/>
  <c r="EU89" i="7"/>
  <c r="EU41" i="7"/>
  <c r="ET89" i="7"/>
  <c r="EQ54" i="7"/>
  <c r="EQ12" i="8"/>
  <c r="ES55" i="7"/>
  <c r="ER12" i="15" s="1"/>
  <c r="ET41" i="5"/>
  <c r="ET42" i="5"/>
  <c r="ET40" i="7"/>
  <c r="ET42" i="7" s="1"/>
  <c r="EQ89" i="4"/>
  <c r="ES12" i="7"/>
  <c r="ER5" i="26" s="1"/>
  <c r="ER75" i="4"/>
  <c r="ES88" i="4"/>
  <c r="EQ5" i="26"/>
  <c r="EQ57" i="7"/>
  <c r="EQ12" i="7"/>
  <c r="ES57" i="7"/>
  <c r="ES82" i="7"/>
  <c r="ER89" i="4"/>
  <c r="ES34" i="7"/>
  <c r="ER35" i="7"/>
  <c r="EQ8" i="26" s="1"/>
  <c r="EQ34" i="7"/>
  <c r="EQ81" i="7"/>
  <c r="ER81" i="7"/>
  <c r="ES67" i="4"/>
  <c r="ES65" i="4"/>
  <c r="ER7" i="14" s="1"/>
  <c r="ES64" i="4"/>
  <c r="EQ39" i="4"/>
  <c r="ER39" i="4"/>
  <c r="ES38" i="4"/>
  <c r="EQ38" i="4"/>
  <c r="ER38" i="4"/>
  <c r="EQ33" i="4"/>
  <c r="EQ35" i="4" s="1"/>
  <c r="ER33" i="4"/>
  <c r="ER34" i="4" s="1"/>
  <c r="ES33" i="4"/>
  <c r="ES34" i="4" s="1"/>
  <c r="ER26" i="4"/>
  <c r="ER27" i="4" s="1"/>
  <c r="EQ26" i="4"/>
  <c r="EQ28" i="4" s="1"/>
  <c r="ES26" i="4"/>
  <c r="ES27" i="4" s="1"/>
  <c r="ES18" i="4"/>
  <c r="ER18" i="4"/>
  <c r="ER67" i="4" s="1"/>
  <c r="EP17" i="4"/>
  <c r="ER12" i="8" l="1"/>
  <c r="ET41" i="7"/>
  <c r="ER9" i="26"/>
  <c r="EP12" i="8"/>
  <c r="EP5" i="26"/>
  <c r="EP9" i="26"/>
  <c r="ES35" i="4"/>
  <c r="EQ34" i="4"/>
  <c r="ES28" i="4"/>
  <c r="ER35" i="4"/>
  <c r="ES39" i="4"/>
  <c r="ES40" i="4" s="1"/>
  <c r="ES41" i="4" s="1"/>
  <c r="ER40" i="4"/>
  <c r="ER41" i="4" s="1"/>
  <c r="EQ27" i="4"/>
  <c r="EQ40" i="4"/>
  <c r="EQ41" i="4" s="1"/>
  <c r="ER28" i="4"/>
  <c r="ES20" i="4"/>
  <c r="ER7" i="13" s="1"/>
  <c r="ES19" i="4"/>
  <c r="EQ18" i="4"/>
  <c r="ER20" i="4"/>
  <c r="EQ7" i="13" s="1"/>
  <c r="ER19" i="4"/>
  <c r="EQ85" i="6"/>
  <c r="EQ80" i="6"/>
  <c r="EQ81" i="6" s="1"/>
  <c r="ER80" i="6"/>
  <c r="ER81" i="6" s="1"/>
  <c r="ES80" i="6"/>
  <c r="ES82" i="6" s="1"/>
  <c r="ES72" i="6"/>
  <c r="ER72" i="6"/>
  <c r="EQ72" i="6"/>
  <c r="ES71" i="6"/>
  <c r="ER71" i="6"/>
  <c r="EQ71" i="6"/>
  <c r="ER73" i="6"/>
  <c r="ER75" i="6" s="1"/>
  <c r="ES62" i="6"/>
  <c r="ES86" i="6" s="1"/>
  <c r="ER62" i="6"/>
  <c r="ER86" i="6" s="1"/>
  <c r="EQ62" i="6"/>
  <c r="EQ86" i="6" s="1"/>
  <c r="ES61" i="6"/>
  <c r="ER61" i="6"/>
  <c r="ER63" i="6" s="1"/>
  <c r="EQ61" i="6"/>
  <c r="EQ57" i="6"/>
  <c r="EQ55" i="6"/>
  <c r="EP8" i="15" s="1"/>
  <c r="ER55" i="6"/>
  <c r="EQ8" i="15" s="1"/>
  <c r="ES54" i="6"/>
  <c r="EQ53" i="6"/>
  <c r="EQ54" i="6" s="1"/>
  <c r="ER53" i="6"/>
  <c r="ER54" i="6" s="1"/>
  <c r="ES53" i="6"/>
  <c r="ES55" i="6" s="1"/>
  <c r="ER8" i="15" s="1"/>
  <c r="ES39" i="6"/>
  <c r="ER38" i="6"/>
  <c r="EQ33" i="6"/>
  <c r="EQ35" i="6" s="1"/>
  <c r="ER33" i="6"/>
  <c r="ER35" i="6" s="1"/>
  <c r="ES33" i="6"/>
  <c r="ES34" i="6" s="1"/>
  <c r="ES25" i="6"/>
  <c r="ER25" i="6"/>
  <c r="EQ25" i="6"/>
  <c r="ES24" i="6"/>
  <c r="ES26" i="6" s="1"/>
  <c r="ES28" i="6" s="1"/>
  <c r="ER24" i="6"/>
  <c r="EQ24" i="6"/>
  <c r="ES17" i="6"/>
  <c r="ES18" i="6" s="1"/>
  <c r="ES19" i="6" s="1"/>
  <c r="ER17" i="6"/>
  <c r="ER39" i="6" s="1"/>
  <c r="EQ17" i="6"/>
  <c r="EQ39" i="6" s="1"/>
  <c r="ES16" i="6"/>
  <c r="ES38" i="6" s="1"/>
  <c r="ER16" i="6"/>
  <c r="EQ16" i="6"/>
  <c r="EQ38" i="6" s="1"/>
  <c r="EQ12" i="6"/>
  <c r="EP8" i="8" s="1"/>
  <c r="ER12" i="6"/>
  <c r="EQ8" i="8" s="1"/>
  <c r="EQ10" i="6"/>
  <c r="EQ11" i="6" s="1"/>
  <c r="ER10" i="6"/>
  <c r="ER11" i="6" s="1"/>
  <c r="ES10" i="6"/>
  <c r="ES11" i="6" s="1"/>
  <c r="EQ10" i="4"/>
  <c r="ER10" i="4"/>
  <c r="ES10" i="4"/>
  <c r="ER65" i="6" l="1"/>
  <c r="EQ8" i="14" s="1"/>
  <c r="ES63" i="6"/>
  <c r="ER11" i="4"/>
  <c r="ER57" i="4"/>
  <c r="EQ12" i="4"/>
  <c r="EP7" i="8" s="1"/>
  <c r="EQ57" i="4"/>
  <c r="ES57" i="6"/>
  <c r="ES85" i="6"/>
  <c r="ES87" i="6" s="1"/>
  <c r="ES88" i="6" s="1"/>
  <c r="EQ19" i="4"/>
  <c r="EQ67" i="4"/>
  <c r="ER57" i="6"/>
  <c r="ER85" i="6"/>
  <c r="ER87" i="6" s="1"/>
  <c r="ER88" i="6" s="1"/>
  <c r="ES12" i="4"/>
  <c r="ER7" i="8" s="1"/>
  <c r="ES57" i="4"/>
  <c r="EQ18" i="6"/>
  <c r="EQ19" i="6" s="1"/>
  <c r="ER26" i="6"/>
  <c r="ER27" i="6" s="1"/>
  <c r="EQ63" i="6"/>
  <c r="ER18" i="6"/>
  <c r="ER67" i="6" s="1"/>
  <c r="EQ87" i="6"/>
  <c r="EQ88" i="6" s="1"/>
  <c r="ES81" i="6"/>
  <c r="ES35" i="6"/>
  <c r="ES40" i="6"/>
  <c r="ES41" i="6" s="1"/>
  <c r="ER82" i="6"/>
  <c r="ER40" i="6"/>
  <c r="ER41" i="6" s="1"/>
  <c r="EQ34" i="6"/>
  <c r="EQ40" i="6"/>
  <c r="EQ41" i="6" s="1"/>
  <c r="EQ82" i="6"/>
  <c r="ER34" i="6"/>
  <c r="ES42" i="4"/>
  <c r="ER42" i="4"/>
  <c r="EQ42" i="4"/>
  <c r="EQ20" i="4"/>
  <c r="EP7" i="13" s="1"/>
  <c r="EQ11" i="4"/>
  <c r="ES73" i="6"/>
  <c r="ES74" i="6" s="1"/>
  <c r="EQ73" i="6"/>
  <c r="EQ75" i="6" s="1"/>
  <c r="ER74" i="6"/>
  <c r="ER64" i="6"/>
  <c r="EQ64" i="6"/>
  <c r="ES64" i="6"/>
  <c r="EQ26" i="6"/>
  <c r="EQ27" i="6" s="1"/>
  <c r="ES27" i="6"/>
  <c r="ES20" i="6"/>
  <c r="ER8" i="13" s="1"/>
  <c r="ER19" i="6"/>
  <c r="ER20" i="6"/>
  <c r="EQ8" i="13" s="1"/>
  <c r="EQ20" i="6"/>
  <c r="EP8" i="13" s="1"/>
  <c r="ES12" i="6"/>
  <c r="ER8" i="8" s="1"/>
  <c r="ES11" i="4"/>
  <c r="ER12" i="4"/>
  <c r="EQ7" i="8" s="1"/>
  <c r="EQ86" i="5"/>
  <c r="ER85" i="5"/>
  <c r="EQ80" i="5"/>
  <c r="EQ82" i="5" s="1"/>
  <c r="ER80" i="5"/>
  <c r="ER82" i="5" s="1"/>
  <c r="ES80" i="5"/>
  <c r="ES81" i="5" s="1"/>
  <c r="ES72" i="5"/>
  <c r="ES86" i="5" s="1"/>
  <c r="ER72" i="5"/>
  <c r="ER86" i="5" s="1"/>
  <c r="EQ72" i="5"/>
  <c r="ES73" i="5"/>
  <c r="ES74" i="5" s="1"/>
  <c r="EQ71" i="5"/>
  <c r="ER71" i="5"/>
  <c r="ES71" i="5"/>
  <c r="ES85" i="5" s="1"/>
  <c r="ES63" i="5"/>
  <c r="ER61" i="5"/>
  <c r="EQ61" i="5"/>
  <c r="EQ63" i="5" s="1"/>
  <c r="ER63" i="5"/>
  <c r="ER65" i="5" s="1"/>
  <c r="EQ9" i="14" s="1"/>
  <c r="EQ57" i="5"/>
  <c r="EQ55" i="5"/>
  <c r="EP9" i="15" s="1"/>
  <c r="ER55" i="5"/>
  <c r="EQ9" i="15" s="1"/>
  <c r="ES55" i="5"/>
  <c r="ER9" i="15" s="1"/>
  <c r="EQ54" i="5"/>
  <c r="ER54" i="5"/>
  <c r="ES54" i="5"/>
  <c r="EQ53" i="5"/>
  <c r="ER53" i="5"/>
  <c r="ER57" i="5" s="1"/>
  <c r="ES53" i="5"/>
  <c r="ES57" i="5" s="1"/>
  <c r="EQ39" i="5"/>
  <c r="ER39" i="5"/>
  <c r="ES39" i="5"/>
  <c r="EQ38" i="5"/>
  <c r="ER38" i="5"/>
  <c r="EQ33" i="5"/>
  <c r="EQ34" i="5" s="1"/>
  <c r="ER33" i="5"/>
  <c r="ER35" i="5" s="1"/>
  <c r="ES33" i="5"/>
  <c r="ES35" i="5" s="1"/>
  <c r="EQ26" i="5"/>
  <c r="EQ27" i="5" s="1"/>
  <c r="ER26" i="5"/>
  <c r="ER27" i="5" s="1"/>
  <c r="ES26" i="5"/>
  <c r="ES27" i="5" s="1"/>
  <c r="ES16" i="5"/>
  <c r="ES18" i="5" s="1"/>
  <c r="ER16" i="5"/>
  <c r="EQ16" i="5"/>
  <c r="EQ18" i="5"/>
  <c r="EQ19" i="5" s="1"/>
  <c r="ER18" i="5"/>
  <c r="ER19" i="5" s="1"/>
  <c r="EQ12" i="5"/>
  <c r="EP9" i="8" s="1"/>
  <c r="ER12" i="5"/>
  <c r="EQ9" i="8" s="1"/>
  <c r="EQ11" i="5"/>
  <c r="ER11" i="5"/>
  <c r="EQ10" i="5"/>
  <c r="ER10" i="5"/>
  <c r="ES10" i="5"/>
  <c r="ES11" i="5" s="1"/>
  <c r="ER28" i="6" l="1"/>
  <c r="EQ85" i="5"/>
  <c r="EQ87" i="5" s="1"/>
  <c r="EQ88" i="5" s="1"/>
  <c r="ER64" i="5"/>
  <c r="ES65" i="6"/>
  <c r="ER8" i="14" s="1"/>
  <c r="ES67" i="6"/>
  <c r="ES38" i="5"/>
  <c r="ES40" i="5" s="1"/>
  <c r="ES41" i="5" s="1"/>
  <c r="EQ65" i="6"/>
  <c r="EP8" i="14" s="1"/>
  <c r="EQ67" i="6"/>
  <c r="EQ89" i="6"/>
  <c r="ES89" i="6"/>
  <c r="ES42" i="6"/>
  <c r="EQ81" i="5"/>
  <c r="ER40" i="5"/>
  <c r="ER42" i="5" s="1"/>
  <c r="ER89" i="6"/>
  <c r="EQ42" i="6"/>
  <c r="ER42" i="6"/>
  <c r="ES75" i="5"/>
  <c r="ER81" i="5"/>
  <c r="ES87" i="5"/>
  <c r="ES89" i="5" s="1"/>
  <c r="ER28" i="5"/>
  <c r="EQ40" i="5"/>
  <c r="EQ41" i="5" s="1"/>
  <c r="EQ28" i="5"/>
  <c r="ES34" i="5"/>
  <c r="ES82" i="5"/>
  <c r="ER34" i="5"/>
  <c r="EQ74" i="6"/>
  <c r="ES75" i="6"/>
  <c r="EQ28" i="6"/>
  <c r="ER87" i="5"/>
  <c r="ER88" i="5" s="1"/>
  <c r="ER73" i="5"/>
  <c r="ER74" i="5" s="1"/>
  <c r="EQ73" i="5"/>
  <c r="EQ74" i="5" s="1"/>
  <c r="ES67" i="5"/>
  <c r="ES65" i="5"/>
  <c r="ER9" i="14" s="1"/>
  <c r="ES64" i="5"/>
  <c r="ER67" i="5"/>
  <c r="EQ65" i="5"/>
  <c r="EP9" i="14" s="1"/>
  <c r="EQ67" i="5"/>
  <c r="EQ64" i="5"/>
  <c r="EQ35" i="5"/>
  <c r="ES28" i="5"/>
  <c r="ES20" i="5"/>
  <c r="ER9" i="13" s="1"/>
  <c r="ES19" i="5"/>
  <c r="ER20" i="5"/>
  <c r="EQ9" i="13" s="1"/>
  <c r="EQ20" i="5"/>
  <c r="EP9" i="13" s="1"/>
  <c r="ES12" i="5"/>
  <c r="ER9" i="8" s="1"/>
  <c r="ER86" i="2"/>
  <c r="EQ80" i="2"/>
  <c r="EQ81" i="2" s="1"/>
  <c r="ER80" i="2"/>
  <c r="ER81" i="2" s="1"/>
  <c r="ES80" i="2"/>
  <c r="ES82" i="2" s="1"/>
  <c r="ES72" i="2"/>
  <c r="ER72" i="2"/>
  <c r="EQ72" i="2"/>
  <c r="ES71" i="2"/>
  <c r="ES73" i="2" s="1"/>
  <c r="ES75" i="2" s="1"/>
  <c r="ER71" i="2"/>
  <c r="ER73" i="2" s="1"/>
  <c r="ER75" i="2" s="1"/>
  <c r="EQ71" i="2"/>
  <c r="EQ73" i="2" s="1"/>
  <c r="EQ75" i="2" s="1"/>
  <c r="ES62" i="2"/>
  <c r="ES86" i="2" s="1"/>
  <c r="ER62" i="2"/>
  <c r="ER63" i="2" s="1"/>
  <c r="EQ62" i="2"/>
  <c r="EQ86" i="2" s="1"/>
  <c r="ES61" i="2"/>
  <c r="ES63" i="2" s="1"/>
  <c r="ER61" i="2"/>
  <c r="EQ61" i="2"/>
  <c r="EQ85" i="2" s="1"/>
  <c r="ER57" i="2"/>
  <c r="ES55" i="2"/>
  <c r="ER6" i="15" s="1"/>
  <c r="EQ53" i="2"/>
  <c r="EQ54" i="2" s="1"/>
  <c r="ER53" i="2"/>
  <c r="ER54" i="2" s="1"/>
  <c r="ES53" i="2"/>
  <c r="ES54" i="2" s="1"/>
  <c r="EQ39" i="2"/>
  <c r="ER39" i="2"/>
  <c r="ES38" i="2"/>
  <c r="EQ33" i="2"/>
  <c r="EQ34" i="2" s="1"/>
  <c r="ER33" i="2"/>
  <c r="ER34" i="2" s="1"/>
  <c r="ES33" i="2"/>
  <c r="ES35" i="2" s="1"/>
  <c r="ES25" i="2"/>
  <c r="ER25" i="2"/>
  <c r="EQ25" i="2"/>
  <c r="ES24" i="2"/>
  <c r="ER24" i="2"/>
  <c r="EQ24" i="2"/>
  <c r="ES20" i="2"/>
  <c r="ER6" i="13" s="1"/>
  <c r="ES18" i="2"/>
  <c r="ES19" i="2" s="1"/>
  <c r="ES17" i="2"/>
  <c r="ES39" i="2" s="1"/>
  <c r="ER17" i="2"/>
  <c r="ER18" i="2" s="1"/>
  <c r="ER19" i="2" s="1"/>
  <c r="EQ17" i="2"/>
  <c r="ES16" i="2"/>
  <c r="ER16" i="2"/>
  <c r="ER38" i="2" s="1"/>
  <c r="EQ16" i="2"/>
  <c r="EQ38" i="2" s="1"/>
  <c r="EQ12" i="2"/>
  <c r="EP6" i="8" s="1"/>
  <c r="ES12" i="2"/>
  <c r="ER6" i="8" s="1"/>
  <c r="EQ11" i="2"/>
  <c r="ES11" i="2"/>
  <c r="EQ10" i="2"/>
  <c r="ER10" i="2"/>
  <c r="ER11" i="2" s="1"/>
  <c r="ES10" i="2"/>
  <c r="ES88" i="5" l="1"/>
  <c r="ER67" i="2"/>
  <c r="ER64" i="2"/>
  <c r="ES64" i="2"/>
  <c r="ES67" i="2"/>
  <c r="ER20" i="2"/>
  <c r="EQ6" i="13" s="1"/>
  <c r="ER55" i="2"/>
  <c r="EQ6" i="15" s="1"/>
  <c r="EQ55" i="2"/>
  <c r="EP6" i="15" s="1"/>
  <c r="ES65" i="2"/>
  <c r="ER6" i="14" s="1"/>
  <c r="ES57" i="2"/>
  <c r="ER65" i="2"/>
  <c r="EQ6" i="14" s="1"/>
  <c r="ES85" i="2"/>
  <c r="ES87" i="2" s="1"/>
  <c r="ES88" i="2" s="1"/>
  <c r="EQ57" i="2"/>
  <c r="ER85" i="2"/>
  <c r="ER87" i="2" s="1"/>
  <c r="ER88" i="2" s="1"/>
  <c r="EQ18" i="2"/>
  <c r="EQ63" i="2"/>
  <c r="ER26" i="2"/>
  <c r="ER27" i="2" s="1"/>
  <c r="ER41" i="5"/>
  <c r="ES42" i="5"/>
  <c r="ER74" i="2"/>
  <c r="ES40" i="2"/>
  <c r="ES41" i="2" s="1"/>
  <c r="EQ89" i="5"/>
  <c r="EQ74" i="2"/>
  <c r="EQ87" i="2"/>
  <c r="EQ89" i="2" s="1"/>
  <c r="ES81" i="2"/>
  <c r="EQ40" i="2"/>
  <c r="EQ41" i="2" s="1"/>
  <c r="EQ82" i="2"/>
  <c r="ER82" i="2"/>
  <c r="ES34" i="2"/>
  <c r="ER40" i="2"/>
  <c r="ER41" i="2" s="1"/>
  <c r="ER35" i="2"/>
  <c r="EQ42" i="5"/>
  <c r="ER75" i="5"/>
  <c r="ES74" i="2"/>
  <c r="EQ35" i="2"/>
  <c r="ER89" i="5"/>
  <c r="EQ75" i="5"/>
  <c r="ER12" i="2"/>
  <c r="EQ6" i="8" s="1"/>
  <c r="EQ26" i="2"/>
  <c r="EQ28" i="2" s="1"/>
  <c r="ES26" i="2"/>
  <c r="ES28" i="2" s="1"/>
  <c r="ES72" i="1"/>
  <c r="ER72" i="1"/>
  <c r="ER72" i="7" s="1"/>
  <c r="EQ72" i="1"/>
  <c r="EQ72" i="7" s="1"/>
  <c r="ES71" i="1"/>
  <c r="EQ80" i="1"/>
  <c r="EQ82" i="1" s="1"/>
  <c r="ER80" i="1"/>
  <c r="ER82" i="1" s="1"/>
  <c r="ES80" i="1"/>
  <c r="ES81" i="1" s="1"/>
  <c r="ER71" i="1"/>
  <c r="EQ71" i="1"/>
  <c r="EQ71" i="7" s="1"/>
  <c r="ES73" i="1"/>
  <c r="ES75" i="1" s="1"/>
  <c r="ES62" i="1"/>
  <c r="ES62" i="7" s="1"/>
  <c r="ER62" i="1"/>
  <c r="ER62" i="7" s="1"/>
  <c r="EQ62" i="1"/>
  <c r="EQ62" i="7" s="1"/>
  <c r="ES61" i="1"/>
  <c r="ES61" i="7" s="1"/>
  <c r="ER61" i="1"/>
  <c r="ER61" i="7" s="1"/>
  <c r="EQ61" i="1"/>
  <c r="EQ61" i="7" s="1"/>
  <c r="EQ63" i="1"/>
  <c r="ER55" i="1"/>
  <c r="EQ5" i="15" s="1"/>
  <c r="ER54" i="1"/>
  <c r="ES54" i="1"/>
  <c r="EQ53" i="1"/>
  <c r="ER53" i="1"/>
  <c r="ES53" i="1"/>
  <c r="ES55" i="1" s="1"/>
  <c r="ER5" i="15" s="1"/>
  <c r="ER17" i="1"/>
  <c r="EQ33" i="1"/>
  <c r="EQ35" i="1" s="1"/>
  <c r="ER33" i="1"/>
  <c r="ER35" i="1" s="1"/>
  <c r="ES33" i="1"/>
  <c r="ES35" i="1" s="1"/>
  <c r="ER25" i="1"/>
  <c r="ER25" i="7" s="1"/>
  <c r="EQ25" i="1"/>
  <c r="EQ39" i="1" s="1"/>
  <c r="EQ39" i="7" s="1"/>
  <c r="ES25" i="1"/>
  <c r="ES25" i="7" s="1"/>
  <c r="ES24" i="1"/>
  <c r="ES24" i="7" s="1"/>
  <c r="ER24" i="1"/>
  <c r="ER24" i="7" s="1"/>
  <c r="EQ24" i="1"/>
  <c r="EQ24" i="7" s="1"/>
  <c r="ES17" i="1"/>
  <c r="ES17" i="7" s="1"/>
  <c r="EQ17" i="1"/>
  <c r="EQ17" i="7" s="1"/>
  <c r="ES16" i="1"/>
  <c r="ES16" i="7" s="1"/>
  <c r="ER16" i="1"/>
  <c r="ER16" i="7" s="1"/>
  <c r="EQ16" i="1"/>
  <c r="EQ16" i="7" s="1"/>
  <c r="EQ18" i="7" s="1"/>
  <c r="EQ19" i="7" s="1"/>
  <c r="ES12" i="1"/>
  <c r="ER5" i="8" s="1"/>
  <c r="ES11" i="1"/>
  <c r="EQ10" i="1"/>
  <c r="EQ12" i="1" s="1"/>
  <c r="EP5" i="8" s="1"/>
  <c r="ER10" i="1"/>
  <c r="ER11" i="1" s="1"/>
  <c r="ES10" i="1"/>
  <c r="ER28" i="2" l="1"/>
  <c r="EQ86" i="1"/>
  <c r="EQ86" i="7" s="1"/>
  <c r="EQ11" i="1"/>
  <c r="ES38" i="1"/>
  <c r="ES38" i="7" s="1"/>
  <c r="EQ67" i="2"/>
  <c r="EQ65" i="2"/>
  <c r="EP6" i="14" s="1"/>
  <c r="EQ64" i="2"/>
  <c r="EQ19" i="2"/>
  <c r="EQ20" i="2"/>
  <c r="EP6" i="13" s="1"/>
  <c r="ES57" i="1"/>
  <c r="EQ57" i="1"/>
  <c r="ES63" i="7"/>
  <c r="ES64" i="7" s="1"/>
  <c r="ES89" i="2"/>
  <c r="EQ42" i="2"/>
  <c r="ES26" i="7"/>
  <c r="ES27" i="7" s="1"/>
  <c r="ER26" i="7"/>
  <c r="ER28" i="7" s="1"/>
  <c r="ER57" i="1"/>
  <c r="ES18" i="1"/>
  <c r="ES19" i="1" s="1"/>
  <c r="ES20" i="1"/>
  <c r="ER5" i="13" s="1"/>
  <c r="ER38" i="1"/>
  <c r="ER38" i="7" s="1"/>
  <c r="ER18" i="1"/>
  <c r="ER17" i="7"/>
  <c r="EQ73" i="7"/>
  <c r="EQ75" i="7" s="1"/>
  <c r="EP6" i="24" s="1"/>
  <c r="ES85" i="1"/>
  <c r="ES85" i="7" s="1"/>
  <c r="ES71" i="7"/>
  <c r="ES86" i="1"/>
  <c r="ES86" i="7" s="1"/>
  <c r="ES72" i="7"/>
  <c r="ER12" i="1"/>
  <c r="EQ5" i="8" s="1"/>
  <c r="ES18" i="7"/>
  <c r="ES67" i="7" s="1"/>
  <c r="EQ18" i="1"/>
  <c r="EQ38" i="1"/>
  <c r="EQ38" i="7" s="1"/>
  <c r="EQ55" i="1"/>
  <c r="EP5" i="15" s="1"/>
  <c r="EQ63" i="7"/>
  <c r="ER73" i="1"/>
  <c r="ER74" i="1" s="1"/>
  <c r="ER71" i="7"/>
  <c r="ER85" i="1"/>
  <c r="ER85" i="7" s="1"/>
  <c r="EQ20" i="7"/>
  <c r="EQ26" i="1"/>
  <c r="EQ27" i="1" s="1"/>
  <c r="EQ25" i="7"/>
  <c r="EQ26" i="7" s="1"/>
  <c r="EQ27" i="7" s="1"/>
  <c r="ES39" i="1"/>
  <c r="ES39" i="7" s="1"/>
  <c r="EQ54" i="1"/>
  <c r="ER63" i="7"/>
  <c r="EQ85" i="1"/>
  <c r="EQ85" i="7" s="1"/>
  <c r="ER86" i="1"/>
  <c r="ER86" i="7" s="1"/>
  <c r="EQ88" i="2"/>
  <c r="ER34" i="1"/>
  <c r="ER89" i="2"/>
  <c r="ES42" i="2"/>
  <c r="EQ27" i="2"/>
  <c r="ER42" i="2"/>
  <c r="ER81" i="1"/>
  <c r="ES82" i="1"/>
  <c r="EQ34" i="1"/>
  <c r="ES34" i="1"/>
  <c r="EQ81" i="1"/>
  <c r="ES27" i="2"/>
  <c r="EQ73" i="1"/>
  <c r="EQ75" i="1" s="1"/>
  <c r="ES74" i="1"/>
  <c r="ER63" i="1"/>
  <c r="ER65" i="1" s="1"/>
  <c r="EQ5" i="14" s="1"/>
  <c r="ES63" i="1"/>
  <c r="EQ65" i="1"/>
  <c r="EP5" i="14" s="1"/>
  <c r="EQ64" i="1"/>
  <c r="ER20" i="1"/>
  <c r="EQ5" i="13" s="1"/>
  <c r="ER19" i="1"/>
  <c r="ER39" i="1"/>
  <c r="ER39" i="7" s="1"/>
  <c r="ER26" i="1"/>
  <c r="ER28" i="1" s="1"/>
  <c r="ES26" i="1"/>
  <c r="ES28" i="1" s="1"/>
  <c r="EP39" i="5"/>
  <c r="EP10" i="5"/>
  <c r="EP72" i="6"/>
  <c r="EO72" i="6"/>
  <c r="EN72" i="6"/>
  <c r="EO62" i="6"/>
  <c r="EP25" i="6"/>
  <c r="ES65" i="7" l="1"/>
  <c r="ER12" i="14" s="1"/>
  <c r="EQ28" i="1"/>
  <c r="ER75" i="1"/>
  <c r="ES19" i="7"/>
  <c r="ES28" i="7"/>
  <c r="ER7" i="26" s="1"/>
  <c r="ES20" i="7"/>
  <c r="ER6" i="26" s="1"/>
  <c r="EQ40" i="1"/>
  <c r="EQ41" i="1" s="1"/>
  <c r="EQ74" i="7"/>
  <c r="ES87" i="7"/>
  <c r="ES88" i="7" s="1"/>
  <c r="ER87" i="7"/>
  <c r="ER88" i="7" s="1"/>
  <c r="ER73" i="7"/>
  <c r="ER75" i="7" s="1"/>
  <c r="EQ6" i="24" s="1"/>
  <c r="EQ65" i="7"/>
  <c r="EP12" i="14" s="1"/>
  <c r="EQ67" i="7"/>
  <c r="EQ20" i="1"/>
  <c r="EP5" i="13" s="1"/>
  <c r="EQ19" i="1"/>
  <c r="EQ7" i="26"/>
  <c r="EQ5" i="24"/>
  <c r="EQ67" i="1"/>
  <c r="ER87" i="1"/>
  <c r="ER88" i="1" s="1"/>
  <c r="ER12" i="13"/>
  <c r="EQ87" i="1"/>
  <c r="EQ88" i="1" s="1"/>
  <c r="EP6" i="26"/>
  <c r="EP12" i="13"/>
  <c r="ER65" i="7"/>
  <c r="EQ12" i="14" s="1"/>
  <c r="ES73" i="7"/>
  <c r="ES75" i="7" s="1"/>
  <c r="ER6" i="24" s="1"/>
  <c r="ES87" i="1"/>
  <c r="ES89" i="1" s="1"/>
  <c r="ES40" i="1"/>
  <c r="ES42" i="1" s="1"/>
  <c r="ER64" i="7"/>
  <c r="EQ28" i="7"/>
  <c r="EQ64" i="7"/>
  <c r="ER18" i="7"/>
  <c r="ER19" i="7" s="1"/>
  <c r="ER27" i="7"/>
  <c r="EQ87" i="7"/>
  <c r="EQ88" i="7" s="1"/>
  <c r="EQ74" i="1"/>
  <c r="ER64" i="1"/>
  <c r="ER67" i="1"/>
  <c r="ES67" i="1"/>
  <c r="ES65" i="1"/>
  <c r="ER5" i="14" s="1"/>
  <c r="ES64" i="1"/>
  <c r="ER40" i="1"/>
  <c r="ER27" i="1"/>
  <c r="ES27" i="1"/>
  <c r="EN79" i="7"/>
  <c r="EO79" i="7"/>
  <c r="EP79" i="7"/>
  <c r="EN78" i="7"/>
  <c r="EO78" i="7"/>
  <c r="EP78" i="7"/>
  <c r="EN52" i="7"/>
  <c r="EO52" i="7"/>
  <c r="EP52" i="7"/>
  <c r="EN51" i="7"/>
  <c r="EO51" i="7"/>
  <c r="EP51" i="7"/>
  <c r="EN32" i="7"/>
  <c r="EO32" i="7"/>
  <c r="EP32" i="7"/>
  <c r="EN31" i="7"/>
  <c r="EO31" i="7"/>
  <c r="EP31" i="7"/>
  <c r="EP9" i="7"/>
  <c r="EN9" i="7"/>
  <c r="EO9" i="7"/>
  <c r="EN8" i="7"/>
  <c r="EO8" i="7"/>
  <c r="EP8" i="7"/>
  <c r="EO86" i="5"/>
  <c r="EN80" i="5"/>
  <c r="EN82" i="5" s="1"/>
  <c r="EO80" i="5"/>
  <c r="EO81" i="5" s="1"/>
  <c r="EP80" i="5"/>
  <c r="EP82" i="5" s="1"/>
  <c r="EN73" i="5"/>
  <c r="EN74" i="5" s="1"/>
  <c r="EP72" i="5"/>
  <c r="EP86" i="5" s="1"/>
  <c r="EO72" i="5"/>
  <c r="EN72" i="5"/>
  <c r="EN86" i="5" s="1"/>
  <c r="EN71" i="5"/>
  <c r="EO71" i="5"/>
  <c r="EO73" i="5" s="1"/>
  <c r="EO74" i="5" s="1"/>
  <c r="EP71" i="5"/>
  <c r="EP73" i="5" s="1"/>
  <c r="EP75" i="5" s="1"/>
  <c r="EO63" i="5"/>
  <c r="EO64" i="5" s="1"/>
  <c r="EP61" i="5"/>
  <c r="EP63" i="5" s="1"/>
  <c r="EP65" i="5" s="1"/>
  <c r="EO9" i="14" s="1"/>
  <c r="EO61" i="5"/>
  <c r="EO85" i="5" s="1"/>
  <c r="EN61" i="5"/>
  <c r="EN85" i="5" s="1"/>
  <c r="EM61" i="5"/>
  <c r="EQ40" i="7" l="1"/>
  <c r="EQ42" i="7" s="1"/>
  <c r="ER89" i="1"/>
  <c r="EQ42" i="1"/>
  <c r="EQ89" i="1"/>
  <c r="ER5" i="24"/>
  <c r="ER67" i="7"/>
  <c r="EP85" i="5"/>
  <c r="EP87" i="5" s="1"/>
  <c r="EP88" i="5" s="1"/>
  <c r="ES41" i="1"/>
  <c r="EN63" i="5"/>
  <c r="ER89" i="7"/>
  <c r="ES89" i="7"/>
  <c r="ES40" i="7"/>
  <c r="ES41" i="7" s="1"/>
  <c r="ES88" i="1"/>
  <c r="EP7" i="26"/>
  <c r="EP5" i="24"/>
  <c r="ER20" i="7"/>
  <c r="EP10" i="7"/>
  <c r="EP11" i="7" s="1"/>
  <c r="ES74" i="7"/>
  <c r="ER74" i="7"/>
  <c r="EO87" i="5"/>
  <c r="EO88" i="5" s="1"/>
  <c r="EQ89" i="7"/>
  <c r="ER41" i="1"/>
  <c r="ER40" i="7"/>
  <c r="ER42" i="1"/>
  <c r="EP53" i="7"/>
  <c r="EP55" i="7" s="1"/>
  <c r="EO12" i="15" s="1"/>
  <c r="EO80" i="7"/>
  <c r="EO81" i="7" s="1"/>
  <c r="EO53" i="7"/>
  <c r="EO55" i="7" s="1"/>
  <c r="EN12" i="15" s="1"/>
  <c r="EN10" i="7"/>
  <c r="EN11" i="7" s="1"/>
  <c r="EN53" i="7"/>
  <c r="EN54" i="7" s="1"/>
  <c r="EO10" i="7"/>
  <c r="EO11" i="7" s="1"/>
  <c r="EP74" i="5"/>
  <c r="EN87" i="5"/>
  <c r="EN88" i="5" s="1"/>
  <c r="EO75" i="5"/>
  <c r="EN75" i="5"/>
  <c r="EN81" i="5"/>
  <c r="EO33" i="7"/>
  <c r="EO34" i="7" s="1"/>
  <c r="EN33" i="7"/>
  <c r="EN34" i="7" s="1"/>
  <c r="EP80" i="7"/>
  <c r="EP82" i="7" s="1"/>
  <c r="EN80" i="7"/>
  <c r="EN81" i="7" s="1"/>
  <c r="EP33" i="7"/>
  <c r="EP35" i="7" s="1"/>
  <c r="EO8" i="26" s="1"/>
  <c r="EO82" i="5"/>
  <c r="EP81" i="5"/>
  <c r="EP64" i="5"/>
  <c r="EN64" i="5"/>
  <c r="EO65" i="5"/>
  <c r="EN9" i="14" s="1"/>
  <c r="EQ41" i="7" l="1"/>
  <c r="EP89" i="5"/>
  <c r="EO89" i="5"/>
  <c r="EN57" i="7"/>
  <c r="EN65" i="5"/>
  <c r="EM9" i="14" s="1"/>
  <c r="ES42" i="7"/>
  <c r="EP12" i="7"/>
  <c r="EO9" i="26" s="1"/>
  <c r="EQ6" i="26"/>
  <c r="EQ12" i="13"/>
  <c r="EP54" i="7"/>
  <c r="EN55" i="7"/>
  <c r="EM12" i="15" s="1"/>
  <c r="EO12" i="7"/>
  <c r="EN5" i="26" s="1"/>
  <c r="EP57" i="7"/>
  <c r="EN12" i="7"/>
  <c r="EM9" i="26" s="1"/>
  <c r="EO82" i="7"/>
  <c r="ER41" i="7"/>
  <c r="ER42" i="7"/>
  <c r="EO35" i="7"/>
  <c r="EN8" i="26" s="1"/>
  <c r="EO54" i="7"/>
  <c r="EO57" i="7"/>
  <c r="EN89" i="5"/>
  <c r="EN35" i="7"/>
  <c r="EM8" i="26" s="1"/>
  <c r="EP81" i="7"/>
  <c r="EP34" i="7"/>
  <c r="EN82" i="7"/>
  <c r="EP54" i="5"/>
  <c r="EN53" i="5"/>
  <c r="EN54" i="5" s="1"/>
  <c r="EO53" i="5"/>
  <c r="EO55" i="5" s="1"/>
  <c r="EN9" i="15" s="1"/>
  <c r="EP53" i="5"/>
  <c r="EP55" i="5" s="1"/>
  <c r="EO9" i="15" s="1"/>
  <c r="EN39" i="5"/>
  <c r="EO39" i="5"/>
  <c r="EN26" i="5"/>
  <c r="EO26" i="5"/>
  <c r="EP26" i="5"/>
  <c r="EO5" i="26" l="1"/>
  <c r="EN9" i="26"/>
  <c r="EO12" i="8"/>
  <c r="EN12" i="8"/>
  <c r="EM12" i="8"/>
  <c r="EM5" i="26"/>
  <c r="EP57" i="5"/>
  <c r="EO54" i="5"/>
  <c r="EN55" i="5"/>
  <c r="EM9" i="15" s="1"/>
  <c r="EP33" i="5"/>
  <c r="EP34" i="5" s="1"/>
  <c r="EO33" i="5"/>
  <c r="EO35" i="5" s="1"/>
  <c r="EN33" i="5"/>
  <c r="EN34" i="5" s="1"/>
  <c r="EN28" i="5"/>
  <c r="EO28" i="5"/>
  <c r="EP28" i="5"/>
  <c r="EN27" i="5"/>
  <c r="EO27" i="5"/>
  <c r="EP27" i="5"/>
  <c r="EP16" i="5"/>
  <c r="EO16" i="5"/>
  <c r="EN16" i="5"/>
  <c r="EO12" i="5"/>
  <c r="EN9" i="8" s="1"/>
  <c r="EP12" i="5"/>
  <c r="EO9" i="8" s="1"/>
  <c r="EP11" i="5"/>
  <c r="EN10" i="5"/>
  <c r="EN11" i="5" s="1"/>
  <c r="EO10" i="5"/>
  <c r="EO57" i="5" s="1"/>
  <c r="EN12" i="5" l="1"/>
  <c r="EM9" i="8" s="1"/>
  <c r="EO18" i="5"/>
  <c r="EO38" i="5"/>
  <c r="EO40" i="5" s="1"/>
  <c r="EO41" i="5" s="1"/>
  <c r="EN18" i="5"/>
  <c r="EN38" i="5"/>
  <c r="EN40" i="5" s="1"/>
  <c r="EN41" i="5" s="1"/>
  <c r="EO11" i="5"/>
  <c r="EN57" i="5"/>
  <c r="EP38" i="5"/>
  <c r="EP40" i="5" s="1"/>
  <c r="EP42" i="5" s="1"/>
  <c r="EP18" i="5"/>
  <c r="EO34" i="5"/>
  <c r="EP35" i="5"/>
  <c r="EN35" i="5"/>
  <c r="EO86" i="6"/>
  <c r="EO85" i="6"/>
  <c r="EP85" i="6"/>
  <c r="EN80" i="6"/>
  <c r="EN82" i="6" s="1"/>
  <c r="EO80" i="6"/>
  <c r="EO81" i="6" s="1"/>
  <c r="EP80" i="6"/>
  <c r="EP81" i="6" s="1"/>
  <c r="EP71" i="6"/>
  <c r="EP73" i="6" s="1"/>
  <c r="EP74" i="6" s="1"/>
  <c r="EO71" i="6"/>
  <c r="EO73" i="6" s="1"/>
  <c r="EN71" i="6"/>
  <c r="EN73" i="6"/>
  <c r="EN74" i="6" s="1"/>
  <c r="EP62" i="6"/>
  <c r="EP86" i="6" s="1"/>
  <c r="EO63" i="6"/>
  <c r="EN62" i="6"/>
  <c r="EN63" i="6" s="1"/>
  <c r="EN65" i="6" s="1"/>
  <c r="EM8" i="14" s="1"/>
  <c r="EP61" i="6"/>
  <c r="EO61" i="6"/>
  <c r="EN61" i="6"/>
  <c r="EN85" i="6" s="1"/>
  <c r="EP63" i="6"/>
  <c r="EN53" i="6"/>
  <c r="EN55" i="6" s="1"/>
  <c r="EM8" i="15" s="1"/>
  <c r="EO53" i="6"/>
  <c r="EO55" i="6" s="1"/>
  <c r="EN8" i="15" s="1"/>
  <c r="EP53" i="6"/>
  <c r="EP55" i="6" s="1"/>
  <c r="EO8" i="15" s="1"/>
  <c r="EP39" i="6"/>
  <c r="EN33" i="6"/>
  <c r="EN35" i="6" s="1"/>
  <c r="EO33" i="6"/>
  <c r="EO35" i="6" s="1"/>
  <c r="EP33" i="6"/>
  <c r="EP35" i="6" s="1"/>
  <c r="EO25" i="6"/>
  <c r="EN25" i="6"/>
  <c r="EP24" i="6"/>
  <c r="EP26" i="6" s="1"/>
  <c r="EO24" i="6"/>
  <c r="EO38" i="6" s="1"/>
  <c r="EN24" i="6"/>
  <c r="EN26" i="6"/>
  <c r="EN27" i="6" s="1"/>
  <c r="EP17" i="6"/>
  <c r="EO17" i="6"/>
  <c r="EN17" i="6"/>
  <c r="EN39" i="6" s="1"/>
  <c r="EP16" i="6"/>
  <c r="EP38" i="6" s="1"/>
  <c r="EO16" i="6"/>
  <c r="EN16" i="6"/>
  <c r="EN38" i="6" s="1"/>
  <c r="EN18" i="6"/>
  <c r="EN19" i="6" s="1"/>
  <c r="EO18" i="6"/>
  <c r="EO19" i="6" s="1"/>
  <c r="EN10" i="6"/>
  <c r="EN12" i="6" s="1"/>
  <c r="EM8" i="8" s="1"/>
  <c r="EO10" i="6"/>
  <c r="EO12" i="6" s="1"/>
  <c r="EN8" i="8" s="1"/>
  <c r="EP10" i="6"/>
  <c r="EP11" i="6" s="1"/>
  <c r="EP85" i="4"/>
  <c r="EN80" i="4"/>
  <c r="EN82" i="4" s="1"/>
  <c r="EO80" i="4"/>
  <c r="EO81" i="4" s="1"/>
  <c r="EP80" i="4"/>
  <c r="EP81" i="4" s="1"/>
  <c r="EP72" i="4"/>
  <c r="EO72" i="4"/>
  <c r="EN72" i="4"/>
  <c r="EN73" i="4" s="1"/>
  <c r="EN74" i="4" s="1"/>
  <c r="EP62" i="4"/>
  <c r="EO62" i="4"/>
  <c r="EN62" i="4"/>
  <c r="EN86" i="4" s="1"/>
  <c r="EP61" i="4"/>
  <c r="EO61" i="4"/>
  <c r="EN61" i="4"/>
  <c r="EN85" i="4" s="1"/>
  <c r="EN54" i="4"/>
  <c r="EO54" i="4"/>
  <c r="EN53" i="4"/>
  <c r="EN55" i="4" s="1"/>
  <c r="EM7" i="15" s="1"/>
  <c r="EO53" i="4"/>
  <c r="EO55" i="4" s="1"/>
  <c r="EN7" i="15" s="1"/>
  <c r="EP53" i="4"/>
  <c r="EP55" i="4" s="1"/>
  <c r="EO7" i="15" s="1"/>
  <c r="EP38" i="4"/>
  <c r="EN33" i="4"/>
  <c r="EN34" i="4" s="1"/>
  <c r="EO33" i="4"/>
  <c r="EO35" i="4" s="1"/>
  <c r="EP33" i="4"/>
  <c r="EP34" i="4" s="1"/>
  <c r="EO26" i="4"/>
  <c r="EO27" i="4" s="1"/>
  <c r="EP25" i="4"/>
  <c r="EO25" i="4"/>
  <c r="EN25" i="4"/>
  <c r="EP18" i="4"/>
  <c r="EO17" i="4"/>
  <c r="EN17" i="4"/>
  <c r="EN39" i="4" s="1"/>
  <c r="EO16" i="4"/>
  <c r="EN16" i="4"/>
  <c r="EN38" i="4" s="1"/>
  <c r="EO12" i="4"/>
  <c r="EN7" i="8" s="1"/>
  <c r="EN10" i="4"/>
  <c r="EN11" i="4" s="1"/>
  <c r="EO10" i="4"/>
  <c r="EO11" i="4" s="1"/>
  <c r="EP10" i="4"/>
  <c r="EP11" i="4" s="1"/>
  <c r="EN80" i="2"/>
  <c r="EN81" i="2" s="1"/>
  <c r="EO80" i="2"/>
  <c r="EO82" i="2" s="1"/>
  <c r="EP80" i="2"/>
  <c r="EP81" i="2" s="1"/>
  <c r="EO73" i="2"/>
  <c r="EO74" i="2" s="1"/>
  <c r="EP72" i="2"/>
  <c r="EO72" i="2"/>
  <c r="EN72" i="2"/>
  <c r="EP71" i="2"/>
  <c r="EP73" i="2" s="1"/>
  <c r="EP75" i="2" s="1"/>
  <c r="EO71" i="2"/>
  <c r="EN71" i="2"/>
  <c r="EN73" i="2" s="1"/>
  <c r="EN75" i="2" s="1"/>
  <c r="EP62" i="2"/>
  <c r="EP86" i="2" s="1"/>
  <c r="EO62" i="2"/>
  <c r="EO86" i="2" s="1"/>
  <c r="EN62" i="2"/>
  <c r="EN86" i="2" s="1"/>
  <c r="EP61" i="2"/>
  <c r="EP85" i="2" s="1"/>
  <c r="EO61" i="2"/>
  <c r="EO85" i="2" s="1"/>
  <c r="EN61" i="2"/>
  <c r="EN85" i="2" s="1"/>
  <c r="EN54" i="2"/>
  <c r="EN53" i="2"/>
  <c r="EN55" i="2" s="1"/>
  <c r="EM6" i="15" s="1"/>
  <c r="EO53" i="2"/>
  <c r="EO55" i="2" s="1"/>
  <c r="EN6" i="15" s="1"/>
  <c r="EP53" i="2"/>
  <c r="EP54" i="2" s="1"/>
  <c r="EN39" i="2"/>
  <c r="EN38" i="2"/>
  <c r="EN33" i="2"/>
  <c r="EN35" i="2" s="1"/>
  <c r="EO33" i="2"/>
  <c r="EO35" i="2" s="1"/>
  <c r="EP33" i="2"/>
  <c r="EP35" i="2" s="1"/>
  <c r="EP25" i="2"/>
  <c r="EO25" i="2"/>
  <c r="EN25" i="2"/>
  <c r="EP24" i="2"/>
  <c r="EP26" i="2" s="1"/>
  <c r="EP28" i="2" s="1"/>
  <c r="EO24" i="2"/>
  <c r="EN24" i="2"/>
  <c r="EP17" i="2"/>
  <c r="EP39" i="2" s="1"/>
  <c r="EO17" i="2"/>
  <c r="EO39" i="2" s="1"/>
  <c r="EN17" i="2"/>
  <c r="EP16" i="2"/>
  <c r="EP38" i="2" s="1"/>
  <c r="EO16" i="2"/>
  <c r="EO38" i="2" s="1"/>
  <c r="EN16" i="2"/>
  <c r="EO12" i="2"/>
  <c r="EN6" i="8" s="1"/>
  <c r="EP12" i="2"/>
  <c r="EO6" i="8" s="1"/>
  <c r="EP11" i="2"/>
  <c r="EN10" i="2"/>
  <c r="EN12" i="2" s="1"/>
  <c r="EM6" i="8" s="1"/>
  <c r="EO10" i="2"/>
  <c r="EO11" i="2" s="1"/>
  <c r="EP10" i="2"/>
  <c r="EO42" i="5" l="1"/>
  <c r="EP57" i="2"/>
  <c r="EN86" i="6"/>
  <c r="EN87" i="6" s="1"/>
  <c r="EP19" i="5"/>
  <c r="EP20" i="5"/>
  <c r="EO9" i="13" s="1"/>
  <c r="EP67" i="5"/>
  <c r="EO57" i="2"/>
  <c r="EP63" i="2"/>
  <c r="EP57" i="6"/>
  <c r="EN42" i="5"/>
  <c r="EN11" i="2"/>
  <c r="EN57" i="2"/>
  <c r="EO63" i="2"/>
  <c r="EO57" i="6"/>
  <c r="EN63" i="4"/>
  <c r="EN64" i="4" s="1"/>
  <c r="EO57" i="4"/>
  <c r="EO26" i="6"/>
  <c r="EO27" i="6" s="1"/>
  <c r="EO39" i="6"/>
  <c r="EO40" i="6" s="1"/>
  <c r="EO41" i="6" s="1"/>
  <c r="EN19" i="5"/>
  <c r="EN67" i="5"/>
  <c r="EN20" i="5"/>
  <c r="EM9" i="13" s="1"/>
  <c r="EN63" i="2"/>
  <c r="EP41" i="5"/>
  <c r="EP54" i="4"/>
  <c r="EO20" i="5"/>
  <c r="EN9" i="13" s="1"/>
  <c r="EO67" i="5"/>
  <c r="EO19" i="5"/>
  <c r="EO40" i="2"/>
  <c r="EO42" i="2" s="1"/>
  <c r="EO87" i="6"/>
  <c r="EO89" i="6" s="1"/>
  <c r="EN81" i="6"/>
  <c r="EO87" i="2"/>
  <c r="EO88" i="2" s="1"/>
  <c r="EO18" i="4"/>
  <c r="EO38" i="4"/>
  <c r="EN57" i="4"/>
  <c r="EO63" i="4"/>
  <c r="EO86" i="4"/>
  <c r="EN18" i="4"/>
  <c r="EN19" i="4" s="1"/>
  <c r="EP26" i="4"/>
  <c r="EP27" i="4" s="1"/>
  <c r="EP63" i="4"/>
  <c r="EP65" i="4" s="1"/>
  <c r="EO7" i="14" s="1"/>
  <c r="EO85" i="4"/>
  <c r="EP39" i="4"/>
  <c r="EP40" i="4" s="1"/>
  <c r="EP41" i="4" s="1"/>
  <c r="EP57" i="4"/>
  <c r="EP73" i="4"/>
  <c r="EP74" i="4" s="1"/>
  <c r="EN87" i="4"/>
  <c r="EN88" i="4" s="1"/>
  <c r="EP67" i="4"/>
  <c r="EN26" i="4"/>
  <c r="EN28" i="4" s="1"/>
  <c r="EO39" i="4"/>
  <c r="EO73" i="4"/>
  <c r="EO74" i="4" s="1"/>
  <c r="EP86" i="4"/>
  <c r="EP87" i="4" s="1"/>
  <c r="EP20" i="4"/>
  <c r="EO7" i="13" s="1"/>
  <c r="EP19" i="4"/>
  <c r="EP75" i="6"/>
  <c r="EN40" i="6"/>
  <c r="EN41" i="6" s="1"/>
  <c r="EN81" i="4"/>
  <c r="EO34" i="4"/>
  <c r="EN40" i="4"/>
  <c r="EN41" i="4" s="1"/>
  <c r="EN35" i="4"/>
  <c r="EP82" i="2"/>
  <c r="EP74" i="2"/>
  <c r="EP87" i="2"/>
  <c r="EP88" i="2" s="1"/>
  <c r="EN74" i="2"/>
  <c r="EO75" i="2"/>
  <c r="EO81" i="2"/>
  <c r="EN87" i="2"/>
  <c r="EN88" i="2" s="1"/>
  <c r="EO34" i="2"/>
  <c r="EP40" i="2"/>
  <c r="EP41" i="2" s="1"/>
  <c r="EN40" i="2"/>
  <c r="EN41" i="2" s="1"/>
  <c r="EP82" i="6"/>
  <c r="EO82" i="6"/>
  <c r="EO34" i="6"/>
  <c r="EP82" i="4"/>
  <c r="EN75" i="4"/>
  <c r="EO82" i="4"/>
  <c r="EO28" i="4"/>
  <c r="EP35" i="4"/>
  <c r="EN82" i="2"/>
  <c r="EP34" i="2"/>
  <c r="EP87" i="6"/>
  <c r="EP88" i="6" s="1"/>
  <c r="EO88" i="6"/>
  <c r="EN57" i="6"/>
  <c r="EP40" i="6"/>
  <c r="EP42" i="6" s="1"/>
  <c r="EO74" i="6"/>
  <c r="EO75" i="6"/>
  <c r="EN75" i="6"/>
  <c r="EP64" i="6"/>
  <c r="EO65" i="6"/>
  <c r="EN8" i="14" s="1"/>
  <c r="EO64" i="6"/>
  <c r="EN64" i="6"/>
  <c r="EP65" i="6"/>
  <c r="EO8" i="14" s="1"/>
  <c r="EO67" i="6"/>
  <c r="EN67" i="6"/>
  <c r="EP54" i="6"/>
  <c r="EO54" i="6"/>
  <c r="EN54" i="6"/>
  <c r="EP34" i="6"/>
  <c r="EN34" i="6"/>
  <c r="EP28" i="6"/>
  <c r="EP27" i="6"/>
  <c r="EN28" i="6"/>
  <c r="EP18" i="6"/>
  <c r="EP67" i="6" s="1"/>
  <c r="EP20" i="6"/>
  <c r="EO8" i="13" s="1"/>
  <c r="EP19" i="6"/>
  <c r="EO20" i="6"/>
  <c r="EN8" i="13" s="1"/>
  <c r="EN20" i="6"/>
  <c r="EM8" i="13" s="1"/>
  <c r="EO11" i="6"/>
  <c r="EN11" i="6"/>
  <c r="EP12" i="6"/>
  <c r="EO8" i="8" s="1"/>
  <c r="EO64" i="4"/>
  <c r="EN65" i="4"/>
  <c r="EM7" i="14" s="1"/>
  <c r="EP12" i="4"/>
  <c r="EO7" i="8" s="1"/>
  <c r="EN12" i="4"/>
  <c r="EM7" i="8" s="1"/>
  <c r="EP55" i="2"/>
  <c r="EO6" i="15" s="1"/>
  <c r="EO54" i="2"/>
  <c r="EN34" i="2"/>
  <c r="EP27" i="2"/>
  <c r="EO26" i="2"/>
  <c r="EO27" i="2" s="1"/>
  <c r="EN26" i="2"/>
  <c r="EN27" i="2" s="1"/>
  <c r="EP18" i="2"/>
  <c r="EP19" i="2" s="1"/>
  <c r="EO18" i="2"/>
  <c r="EO20" i="2" s="1"/>
  <c r="EN6" i="13" s="1"/>
  <c r="EN18" i="2"/>
  <c r="EN19" i="2" s="1"/>
  <c r="EN86" i="1"/>
  <c r="EN80" i="1"/>
  <c r="EN81" i="1" s="1"/>
  <c r="EO80" i="1"/>
  <c r="EO81" i="1" s="1"/>
  <c r="EP80" i="1"/>
  <c r="EP81" i="1" s="1"/>
  <c r="EP72" i="1"/>
  <c r="EP72" i="7" s="1"/>
  <c r="EO72" i="1"/>
  <c r="EO72" i="7" s="1"/>
  <c r="EN72" i="1"/>
  <c r="EN72" i="7" s="1"/>
  <c r="EP71" i="1"/>
  <c r="EP71" i="7" s="1"/>
  <c r="EO71" i="1"/>
  <c r="EO71" i="7" s="1"/>
  <c r="EN71" i="1"/>
  <c r="EN71" i="7" s="1"/>
  <c r="EP62" i="1"/>
  <c r="EP63" i="1" s="1"/>
  <c r="EO62" i="1"/>
  <c r="EO62" i="7" s="1"/>
  <c r="EN62" i="1"/>
  <c r="EN62" i="7" s="1"/>
  <c r="EP61" i="1"/>
  <c r="EP85" i="1" s="1"/>
  <c r="EP85" i="7" s="1"/>
  <c r="EO61" i="1"/>
  <c r="EO85" i="1" s="1"/>
  <c r="EN61" i="1"/>
  <c r="EN85" i="1" s="1"/>
  <c r="EO54" i="1"/>
  <c r="EN53" i="1"/>
  <c r="EO53" i="1"/>
  <c r="EO55" i="1" s="1"/>
  <c r="EN5" i="15" s="1"/>
  <c r="EP53" i="1"/>
  <c r="EP54" i="1" s="1"/>
  <c r="EN38" i="1"/>
  <c r="EN38" i="7" s="1"/>
  <c r="EN33" i="1"/>
  <c r="EN34" i="1" s="1"/>
  <c r="EO33" i="1"/>
  <c r="EO35" i="1" s="1"/>
  <c r="EP33" i="1"/>
  <c r="EP35" i="1" s="1"/>
  <c r="EP25" i="1"/>
  <c r="EP25" i="7" s="1"/>
  <c r="EO25" i="1"/>
  <c r="EO39" i="1" s="1"/>
  <c r="EN25" i="1"/>
  <c r="EN25" i="7" s="1"/>
  <c r="EP24" i="1"/>
  <c r="EP24" i="7" s="1"/>
  <c r="EO24" i="1"/>
  <c r="EO24" i="7" s="1"/>
  <c r="EN24" i="1"/>
  <c r="EN24" i="7" s="1"/>
  <c r="EP17" i="1"/>
  <c r="EP17" i="7" s="1"/>
  <c r="EO17" i="1"/>
  <c r="EO17" i="7" s="1"/>
  <c r="EN17" i="1"/>
  <c r="EN39" i="1" s="1"/>
  <c r="EN39" i="7" s="1"/>
  <c r="EP16" i="1"/>
  <c r="EP16" i="7" s="1"/>
  <c r="EO16" i="1"/>
  <c r="EN16" i="1"/>
  <c r="EN16" i="7" s="1"/>
  <c r="EO10" i="1"/>
  <c r="EO12" i="1" s="1"/>
  <c r="EN5" i="8" s="1"/>
  <c r="EP10" i="1"/>
  <c r="EP12" i="1" s="1"/>
  <c r="EO5" i="8" s="1"/>
  <c r="EP11" i="1"/>
  <c r="EN10" i="1"/>
  <c r="EN12" i="1" s="1"/>
  <c r="EM5" i="8" s="1"/>
  <c r="EP89" i="2" l="1"/>
  <c r="EN86" i="7"/>
  <c r="EP75" i="4"/>
  <c r="EO28" i="6"/>
  <c r="EO41" i="2"/>
  <c r="EO42" i="6"/>
  <c r="EP64" i="2"/>
  <c r="EP67" i="2"/>
  <c r="EP65" i="2"/>
  <c r="EO6" i="14" s="1"/>
  <c r="EO38" i="1"/>
  <c r="EO38" i="7" s="1"/>
  <c r="EN64" i="2"/>
  <c r="EN67" i="2"/>
  <c r="EN65" i="2"/>
  <c r="EM6" i="14" s="1"/>
  <c r="EN57" i="1"/>
  <c r="EN20" i="4"/>
  <c r="EM7" i="13" s="1"/>
  <c r="EP61" i="7"/>
  <c r="EO64" i="2"/>
  <c r="EO67" i="2"/>
  <c r="EO11" i="1"/>
  <c r="EN11" i="1"/>
  <c r="EN54" i="1"/>
  <c r="EN73" i="1"/>
  <c r="EN74" i="1" s="1"/>
  <c r="EN67" i="4"/>
  <c r="EN55" i="1"/>
  <c r="EM5" i="15" s="1"/>
  <c r="EO61" i="7"/>
  <c r="EO63" i="7" s="1"/>
  <c r="EO64" i="7" s="1"/>
  <c r="EO67" i="4"/>
  <c r="EO65" i="2"/>
  <c r="EN6" i="14" s="1"/>
  <c r="EN26" i="7"/>
  <c r="EN27" i="7" s="1"/>
  <c r="EN89" i="4"/>
  <c r="EP26" i="7"/>
  <c r="EP27" i="7" s="1"/>
  <c r="EN73" i="7"/>
  <c r="EN74" i="7" s="1"/>
  <c r="EN89" i="2"/>
  <c r="EO73" i="7"/>
  <c r="EO74" i="7" s="1"/>
  <c r="EP73" i="7"/>
  <c r="EP75" i="7" s="1"/>
  <c r="EO6" i="24" s="1"/>
  <c r="EO86" i="1"/>
  <c r="EO87" i="1" s="1"/>
  <c r="EP18" i="7"/>
  <c r="EP19" i="7" s="1"/>
  <c r="EP39" i="1"/>
  <c r="EP39" i="7" s="1"/>
  <c r="EP57" i="1"/>
  <c r="EN61" i="7"/>
  <c r="EN63" i="7" s="1"/>
  <c r="EN64" i="7" s="1"/>
  <c r="EO25" i="7"/>
  <c r="EO26" i="7" s="1"/>
  <c r="EO27" i="7" s="1"/>
  <c r="EO16" i="7"/>
  <c r="EO18" i="7" s="1"/>
  <c r="EO19" i="7" s="1"/>
  <c r="EP38" i="1"/>
  <c r="EP38" i="7" s="1"/>
  <c r="EP55" i="1"/>
  <c r="EO5" i="15" s="1"/>
  <c r="EO57" i="1"/>
  <c r="EN17" i="7"/>
  <c r="EN18" i="7" s="1"/>
  <c r="EN19" i="7" s="1"/>
  <c r="EN63" i="1"/>
  <c r="EN64" i="1" s="1"/>
  <c r="EP86" i="1"/>
  <c r="EP87" i="1" s="1"/>
  <c r="EP88" i="1" s="1"/>
  <c r="EP62" i="7"/>
  <c r="EN42" i="2"/>
  <c r="EO89" i="2"/>
  <c r="EN87" i="1"/>
  <c r="EN88" i="1" s="1"/>
  <c r="EP42" i="2"/>
  <c r="EO85" i="7"/>
  <c r="EO87" i="4"/>
  <c r="EO88" i="4" s="1"/>
  <c r="EO75" i="4"/>
  <c r="EP88" i="4"/>
  <c r="EP89" i="4"/>
  <c r="EO40" i="4"/>
  <c r="EO41" i="4" s="1"/>
  <c r="EP64" i="4"/>
  <c r="EP28" i="4"/>
  <c r="EN27" i="4"/>
  <c r="EO39" i="7"/>
  <c r="EO65" i="4"/>
  <c r="EN7" i="14" s="1"/>
  <c r="EO19" i="4"/>
  <c r="EO20" i="4"/>
  <c r="EN7" i="13" s="1"/>
  <c r="EP42" i="4"/>
  <c r="EN42" i="4"/>
  <c r="EP89" i="6"/>
  <c r="EN42" i="6"/>
  <c r="EO28" i="2"/>
  <c r="EP82" i="1"/>
  <c r="EO82" i="1"/>
  <c r="EN40" i="1"/>
  <c r="EN40" i="7" s="1"/>
  <c r="EN42" i="7" s="1"/>
  <c r="EP34" i="1"/>
  <c r="EN28" i="2"/>
  <c r="EN82" i="1"/>
  <c r="EN85" i="7"/>
  <c r="EO34" i="1"/>
  <c r="EN88" i="6"/>
  <c r="EN89" i="6"/>
  <c r="EP41" i="6"/>
  <c r="EP20" i="2"/>
  <c r="EO6" i="13" s="1"/>
  <c r="EO19" i="2"/>
  <c r="EN20" i="2"/>
  <c r="EM6" i="13" s="1"/>
  <c r="EP73" i="1"/>
  <c r="EP75" i="1" s="1"/>
  <c r="EO73" i="1"/>
  <c r="EO74" i="1" s="1"/>
  <c r="EP64" i="1"/>
  <c r="EO63" i="1"/>
  <c r="EO65" i="1" s="1"/>
  <c r="EN5" i="14" s="1"/>
  <c r="EN65" i="1"/>
  <c r="EM5" i="14" s="1"/>
  <c r="EP65" i="1"/>
  <c r="EO5" i="14" s="1"/>
  <c r="EO67" i="1"/>
  <c r="EN35" i="1"/>
  <c r="EP26" i="1"/>
  <c r="EP28" i="1" s="1"/>
  <c r="EO26" i="1"/>
  <c r="EO27" i="1" s="1"/>
  <c r="EN26" i="1"/>
  <c r="EN28" i="1" s="1"/>
  <c r="EP18" i="1"/>
  <c r="EP20" i="1" s="1"/>
  <c r="EO5" i="13" s="1"/>
  <c r="EO18" i="1"/>
  <c r="EO19" i="1" s="1"/>
  <c r="EN18" i="1"/>
  <c r="EN19" i="1" s="1"/>
  <c r="EN87" i="7" l="1"/>
  <c r="EN88" i="7" s="1"/>
  <c r="EO40" i="1"/>
  <c r="EO40" i="7" s="1"/>
  <c r="EO20" i="7"/>
  <c r="EN12" i="13" s="1"/>
  <c r="EP63" i="7"/>
  <c r="EP65" i="7" s="1"/>
  <c r="EO12" i="14" s="1"/>
  <c r="EN20" i="7"/>
  <c r="EP20" i="7"/>
  <c r="EO12" i="13" s="1"/>
  <c r="EN28" i="7"/>
  <c r="EM5" i="24" s="1"/>
  <c r="EN75" i="1"/>
  <c r="EP67" i="1"/>
  <c r="EO20" i="1"/>
  <c r="EN5" i="13" s="1"/>
  <c r="EN67" i="1"/>
  <c r="EN75" i="7"/>
  <c r="EM6" i="24" s="1"/>
  <c r="EP28" i="7"/>
  <c r="EO5" i="24" s="1"/>
  <c r="EO86" i="7"/>
  <c r="EO87" i="7" s="1"/>
  <c r="EP86" i="7"/>
  <c r="EP87" i="7" s="1"/>
  <c r="EP88" i="7" s="1"/>
  <c r="EO75" i="7"/>
  <c r="EN6" i="24" s="1"/>
  <c r="EO28" i="7"/>
  <c r="EN7" i="26" s="1"/>
  <c r="EP74" i="7"/>
  <c r="EP40" i="1"/>
  <c r="EP40" i="7" s="1"/>
  <c r="EP41" i="7" s="1"/>
  <c r="EN67" i="7"/>
  <c r="EN65" i="7"/>
  <c r="EM12" i="14" s="1"/>
  <c r="EO89" i="4"/>
  <c r="EN89" i="1"/>
  <c r="EN41" i="1"/>
  <c r="EP27" i="1"/>
  <c r="EN42" i="1"/>
  <c r="EO42" i="4"/>
  <c r="EO67" i="7"/>
  <c r="EO65" i="7"/>
  <c r="EN12" i="14" s="1"/>
  <c r="EN41" i="7"/>
  <c r="EP89" i="1"/>
  <c r="EO75" i="1"/>
  <c r="EO89" i="1"/>
  <c r="EO88" i="1"/>
  <c r="EO28" i="1"/>
  <c r="EO42" i="1"/>
  <c r="EP74" i="1"/>
  <c r="EO64" i="1"/>
  <c r="EN27" i="1"/>
  <c r="EP19" i="1"/>
  <c r="EN20" i="1"/>
  <c r="EM5" i="13" s="1"/>
  <c r="EM8" i="2"/>
  <c r="EN89" i="7" l="1"/>
  <c r="EO41" i="1"/>
  <c r="EP41" i="1"/>
  <c r="EP64" i="7"/>
  <c r="EP67" i="7"/>
  <c r="EN6" i="26"/>
  <c r="EM7" i="26"/>
  <c r="EM12" i="13"/>
  <c r="EM6" i="26"/>
  <c r="EO6" i="26"/>
  <c r="EO7" i="26"/>
  <c r="EP89" i="7"/>
  <c r="EO88" i="7"/>
  <c r="EO89" i="7"/>
  <c r="EP42" i="1"/>
  <c r="EP42" i="7"/>
  <c r="EN5" i="24"/>
  <c r="EO41" i="7"/>
  <c r="EO42" i="7"/>
  <c r="EK79" i="7"/>
  <c r="EL79" i="7"/>
  <c r="EM79" i="7"/>
  <c r="EK78" i="7"/>
  <c r="EL78" i="7"/>
  <c r="EM78" i="7"/>
  <c r="EK52" i="7"/>
  <c r="EL52" i="7"/>
  <c r="EM52" i="7"/>
  <c r="EK51" i="7"/>
  <c r="EL51" i="7"/>
  <c r="EM51" i="7"/>
  <c r="EK32" i="7"/>
  <c r="EL32" i="7"/>
  <c r="EM32" i="7"/>
  <c r="EK9" i="7"/>
  <c r="EL9" i="7"/>
  <c r="EM9" i="7"/>
  <c r="EM8" i="7"/>
  <c r="EK86" i="5"/>
  <c r="EM86" i="5"/>
  <c r="EL85" i="5"/>
  <c r="EM80" i="5"/>
  <c r="EM81" i="5" s="1"/>
  <c r="EL80" i="5"/>
  <c r="EL82" i="5" s="1"/>
  <c r="EK80" i="5"/>
  <c r="EK82" i="5" s="1"/>
  <c r="EM72" i="5"/>
  <c r="EM73" i="5" s="1"/>
  <c r="EM74" i="5" s="1"/>
  <c r="EL72" i="5"/>
  <c r="EL86" i="5" s="1"/>
  <c r="EK72" i="5"/>
  <c r="EK71" i="5"/>
  <c r="EL71" i="5"/>
  <c r="EM71" i="5"/>
  <c r="EM85" i="5" s="1"/>
  <c r="EL61" i="5"/>
  <c r="EK61" i="5"/>
  <c r="EK63" i="5" s="1"/>
  <c r="EL63" i="5"/>
  <c r="EK55" i="5"/>
  <c r="EJ9" i="15" s="1"/>
  <c r="EM54" i="5"/>
  <c r="EK53" i="5"/>
  <c r="EL53" i="5"/>
  <c r="EL54" i="5" s="1"/>
  <c r="EM53" i="5"/>
  <c r="EK39" i="5"/>
  <c r="EL39" i="5"/>
  <c r="EM39" i="5"/>
  <c r="EK38" i="5"/>
  <c r="EL38" i="5"/>
  <c r="EK33" i="5"/>
  <c r="EK34" i="5" s="1"/>
  <c r="EL33" i="5"/>
  <c r="EL35" i="5" s="1"/>
  <c r="EM33" i="5"/>
  <c r="EM35" i="5" s="1"/>
  <c r="EK26" i="5"/>
  <c r="EK27" i="5" s="1"/>
  <c r="EL26" i="5"/>
  <c r="EL28" i="5" s="1"/>
  <c r="EM26" i="5"/>
  <c r="EM28" i="5" s="1"/>
  <c r="EL16" i="5"/>
  <c r="EL18" i="5" s="1"/>
  <c r="EM16" i="5"/>
  <c r="EM18" i="5" s="1"/>
  <c r="EK16" i="5"/>
  <c r="EK18" i="5" s="1"/>
  <c r="EM11" i="5"/>
  <c r="EM10" i="5"/>
  <c r="EM12" i="5" s="1"/>
  <c r="EL9" i="8" s="1"/>
  <c r="EL12" i="5"/>
  <c r="EK9" i="8" s="1"/>
  <c r="EL10" i="5"/>
  <c r="EL11" i="5" s="1"/>
  <c r="EK10" i="5"/>
  <c r="EK12" i="5" s="1"/>
  <c r="EJ9" i="8" s="1"/>
  <c r="EK73" i="5" l="1"/>
  <c r="EK74" i="5" s="1"/>
  <c r="EK85" i="5"/>
  <c r="EK87" i="5" s="1"/>
  <c r="EK88" i="5" s="1"/>
  <c r="EL57" i="5"/>
  <c r="EL67" i="5"/>
  <c r="EM57" i="5"/>
  <c r="EM38" i="5"/>
  <c r="EM40" i="5" s="1"/>
  <c r="EK57" i="5"/>
  <c r="EK40" i="5"/>
  <c r="EK41" i="5" s="1"/>
  <c r="EM53" i="7"/>
  <c r="EM54" i="7" s="1"/>
  <c r="EK53" i="7"/>
  <c r="EK55" i="7" s="1"/>
  <c r="EJ12" i="15" s="1"/>
  <c r="EM87" i="5"/>
  <c r="EM88" i="5" s="1"/>
  <c r="EM10" i="7"/>
  <c r="EM11" i="7" s="1"/>
  <c r="EL53" i="7"/>
  <c r="EL55" i="7" s="1"/>
  <c r="EK12" i="15" s="1"/>
  <c r="EL40" i="5"/>
  <c r="EL41" i="5" s="1"/>
  <c r="EL81" i="5"/>
  <c r="EM27" i="5"/>
  <c r="EL27" i="5"/>
  <c r="EM82" i="5"/>
  <c r="EK28" i="5"/>
  <c r="EM34" i="5"/>
  <c r="EK81" i="5"/>
  <c r="EK35" i="5"/>
  <c r="EL34" i="5"/>
  <c r="EM80" i="7"/>
  <c r="EM81" i="7" s="1"/>
  <c r="EK80" i="7"/>
  <c r="EK82" i="7" s="1"/>
  <c r="EL80" i="7"/>
  <c r="EL81" i="7" s="1"/>
  <c r="EL87" i="5"/>
  <c r="EL88" i="5" s="1"/>
  <c r="EM75" i="5"/>
  <c r="EL73" i="5"/>
  <c r="EL74" i="5" s="1"/>
  <c r="EL64" i="5"/>
  <c r="EM63" i="5"/>
  <c r="EL65" i="5"/>
  <c r="EK9" i="14" s="1"/>
  <c r="EK67" i="5"/>
  <c r="EK65" i="5"/>
  <c r="EJ9" i="14" s="1"/>
  <c r="EK64" i="5"/>
  <c r="EM55" i="5"/>
  <c r="EL9" i="15" s="1"/>
  <c r="EL55" i="5"/>
  <c r="EK9" i="15" s="1"/>
  <c r="EK54" i="5"/>
  <c r="EM19" i="5"/>
  <c r="EM20" i="5"/>
  <c r="EL9" i="13" s="1"/>
  <c r="EL20" i="5"/>
  <c r="EK9" i="13" s="1"/>
  <c r="EL19" i="5"/>
  <c r="EK20" i="5"/>
  <c r="EJ9" i="13" s="1"/>
  <c r="EK19" i="5"/>
  <c r="EK11" i="5"/>
  <c r="EM72" i="6"/>
  <c r="EL72" i="6"/>
  <c r="EK72" i="6"/>
  <c r="EM71" i="6"/>
  <c r="EM73" i="6" s="1"/>
  <c r="EM74" i="6" s="1"/>
  <c r="EL71" i="6"/>
  <c r="EK71" i="6"/>
  <c r="EK73" i="6" s="1"/>
  <c r="EK75" i="6" s="1"/>
  <c r="EM62" i="6"/>
  <c r="EL62" i="6"/>
  <c r="EL86" i="6" s="1"/>
  <c r="EK62" i="6"/>
  <c r="EM61" i="6"/>
  <c r="EL61" i="6"/>
  <c r="EK61" i="6"/>
  <c r="EK63" i="6" s="1"/>
  <c r="EK65" i="6" s="1"/>
  <c r="EJ8" i="14" s="1"/>
  <c r="EK86" i="6"/>
  <c r="EM86" i="6"/>
  <c r="EL85" i="6"/>
  <c r="EK80" i="6"/>
  <c r="EK82" i="6" s="1"/>
  <c r="EL80" i="6"/>
  <c r="EL82" i="6" s="1"/>
  <c r="EM80" i="6"/>
  <c r="EM81" i="6" s="1"/>
  <c r="EL73" i="6"/>
  <c r="EL75" i="6" s="1"/>
  <c r="EM63" i="6"/>
  <c r="EK53" i="6"/>
  <c r="EK55" i="6" s="1"/>
  <c r="EJ8" i="15" s="1"/>
  <c r="EL53" i="6"/>
  <c r="EM53" i="6"/>
  <c r="EM24" i="6"/>
  <c r="EL24" i="6"/>
  <c r="EL38" i="6" s="1"/>
  <c r="EM25" i="6"/>
  <c r="EL25" i="6"/>
  <c r="EL39" i="6" s="1"/>
  <c r="EK25" i="6"/>
  <c r="EM17" i="6"/>
  <c r="EM18" i="6" s="1"/>
  <c r="EM19" i="6" s="1"/>
  <c r="EL17" i="6"/>
  <c r="EK17" i="6"/>
  <c r="EM16" i="6"/>
  <c r="EL16" i="6"/>
  <c r="EK16" i="6"/>
  <c r="EK38" i="6" s="1"/>
  <c r="EK39" i="6"/>
  <c r="EM39" i="6"/>
  <c r="EK33" i="6"/>
  <c r="EK34" i="6" s="1"/>
  <c r="EL33" i="6"/>
  <c r="EL35" i="6" s="1"/>
  <c r="EM33" i="6"/>
  <c r="EM35" i="6" s="1"/>
  <c r="EK24" i="6"/>
  <c r="EK26" i="6" s="1"/>
  <c r="EK27" i="6" s="1"/>
  <c r="EL18" i="6"/>
  <c r="EL19" i="6" s="1"/>
  <c r="EK10" i="6"/>
  <c r="EK11" i="6" s="1"/>
  <c r="EL10" i="6"/>
  <c r="EL11" i="6" s="1"/>
  <c r="EM10" i="6"/>
  <c r="EM12" i="6" s="1"/>
  <c r="EL8" i="8" s="1"/>
  <c r="EK80" i="4"/>
  <c r="EK81" i="4" s="1"/>
  <c r="EL80" i="4"/>
  <c r="EL82" i="4" s="1"/>
  <c r="EM80" i="4"/>
  <c r="EM81" i="4" s="1"/>
  <c r="EM72" i="4"/>
  <c r="EL72" i="4"/>
  <c r="EK72" i="4"/>
  <c r="EM73" i="4"/>
  <c r="EM62" i="4"/>
  <c r="EL62" i="4"/>
  <c r="EK62" i="4"/>
  <c r="EK86" i="4" s="1"/>
  <c r="EM61" i="4"/>
  <c r="EM63" i="4" s="1"/>
  <c r="EM64" i="4" s="1"/>
  <c r="EL61" i="4"/>
  <c r="EK61" i="4"/>
  <c r="EK57" i="4"/>
  <c r="EK53" i="4"/>
  <c r="EK55" i="4" s="1"/>
  <c r="EJ7" i="15" s="1"/>
  <c r="EL53" i="4"/>
  <c r="EL55" i="4" s="1"/>
  <c r="EK7" i="15" s="1"/>
  <c r="EM53" i="4"/>
  <c r="EM55" i="4" s="1"/>
  <c r="EL7" i="15" s="1"/>
  <c r="EK33" i="4"/>
  <c r="EK35" i="4" s="1"/>
  <c r="EL33" i="4"/>
  <c r="EL35" i="4" s="1"/>
  <c r="EM33" i="4"/>
  <c r="EM35" i="4" s="1"/>
  <c r="EM25" i="4"/>
  <c r="EL25" i="4"/>
  <c r="EK25" i="4"/>
  <c r="EM26" i="4"/>
  <c r="EM28" i="4" s="1"/>
  <c r="EK17" i="4"/>
  <c r="EM17" i="4"/>
  <c r="EM39" i="4" s="1"/>
  <c r="EL17" i="4"/>
  <c r="EM16" i="4"/>
  <c r="EL16" i="4"/>
  <c r="EK16" i="4"/>
  <c r="EK10" i="4"/>
  <c r="EK11" i="4" s="1"/>
  <c r="EL10" i="4"/>
  <c r="EL11" i="4" s="1"/>
  <c r="EM10" i="4"/>
  <c r="EM11" i="4" s="1"/>
  <c r="EM86" i="2"/>
  <c r="EK80" i="2"/>
  <c r="EK81" i="2" s="1"/>
  <c r="EL80" i="2"/>
  <c r="EL82" i="2" s="1"/>
  <c r="EM80" i="2"/>
  <c r="EM81" i="2" s="1"/>
  <c r="EM72" i="2"/>
  <c r="EL72" i="2"/>
  <c r="EK72" i="2"/>
  <c r="EM71" i="2"/>
  <c r="EM85" i="2" s="1"/>
  <c r="EL71" i="2"/>
  <c r="EK71" i="2"/>
  <c r="EK73" i="2" s="1"/>
  <c r="EK74" i="2" s="1"/>
  <c r="EM62" i="2"/>
  <c r="EL62" i="2"/>
  <c r="EL86" i="2" s="1"/>
  <c r="EK62" i="2"/>
  <c r="EK63" i="2" s="1"/>
  <c r="EM61" i="2"/>
  <c r="EL61" i="2"/>
  <c r="EL85" i="2" s="1"/>
  <c r="EK61" i="2"/>
  <c r="EK85" i="2" s="1"/>
  <c r="EL63" i="2"/>
  <c r="EL65" i="2" s="1"/>
  <c r="EK6" i="14" s="1"/>
  <c r="EK55" i="2"/>
  <c r="EJ6" i="15" s="1"/>
  <c r="EK54" i="2"/>
  <c r="EM54" i="2"/>
  <c r="EK53" i="2"/>
  <c r="EK57" i="2" s="1"/>
  <c r="EL53" i="2"/>
  <c r="EM53" i="2"/>
  <c r="EM55" i="2" s="1"/>
  <c r="EL6" i="15" s="1"/>
  <c r="EK39" i="2"/>
  <c r="EM39" i="2"/>
  <c r="EM25" i="2"/>
  <c r="EL25" i="2"/>
  <c r="EL26" i="2" s="1"/>
  <c r="EL28" i="2" s="1"/>
  <c r="EK25" i="2"/>
  <c r="EM17" i="2"/>
  <c r="EL17" i="2"/>
  <c r="EL39" i="2" s="1"/>
  <c r="EK17" i="2"/>
  <c r="EM31" i="2"/>
  <c r="EM31" i="7" s="1"/>
  <c r="EM33" i="7" s="1"/>
  <c r="EM34" i="7" s="1"/>
  <c r="EL31" i="2"/>
  <c r="EL31" i="7" s="1"/>
  <c r="EL33" i="7" s="1"/>
  <c r="EL34" i="7" s="1"/>
  <c r="EL33" i="2"/>
  <c r="EK31" i="2"/>
  <c r="EK31" i="7" s="1"/>
  <c r="EK33" i="7" s="1"/>
  <c r="EK34" i="7" s="1"/>
  <c r="EK33" i="2"/>
  <c r="EK35" i="2" s="1"/>
  <c r="EL24" i="2"/>
  <c r="EM24" i="2"/>
  <c r="EK24" i="2"/>
  <c r="EK26" i="2" s="1"/>
  <c r="EK28" i="2" s="1"/>
  <c r="EM16" i="2"/>
  <c r="EM38" i="2" s="1"/>
  <c r="EL16" i="2"/>
  <c r="EK16" i="2"/>
  <c r="EM10" i="2"/>
  <c r="EL8" i="2"/>
  <c r="EL38" i="2" s="1"/>
  <c r="EK8" i="2"/>
  <c r="EK8" i="7" s="1"/>
  <c r="EK10" i="7" s="1"/>
  <c r="EK11" i="7" s="1"/>
  <c r="EK10" i="2"/>
  <c r="EM18" i="2"/>
  <c r="EM20" i="2" s="1"/>
  <c r="EL6" i="13" s="1"/>
  <c r="EK75" i="5" l="1"/>
  <c r="EK89" i="5"/>
  <c r="EM41" i="5"/>
  <c r="EM42" i="5"/>
  <c r="EL54" i="2"/>
  <c r="EL73" i="2"/>
  <c r="EL75" i="2" s="1"/>
  <c r="EK18" i="6"/>
  <c r="EK19" i="6" s="1"/>
  <c r="EM67" i="6"/>
  <c r="EK85" i="6"/>
  <c r="EK87" i="6" s="1"/>
  <c r="EK89" i="6" s="1"/>
  <c r="EM40" i="2"/>
  <c r="EM41" i="2" s="1"/>
  <c r="EK38" i="2"/>
  <c r="EK40" i="2" s="1"/>
  <c r="EK42" i="2" s="1"/>
  <c r="EL55" i="2"/>
  <c r="EK6" i="15" s="1"/>
  <c r="EM63" i="2"/>
  <c r="EK54" i="4"/>
  <c r="EK12" i="7"/>
  <c r="EJ9" i="26" s="1"/>
  <c r="EM57" i="2"/>
  <c r="EK20" i="6"/>
  <c r="EJ8" i="13" s="1"/>
  <c r="EM26" i="6"/>
  <c r="EM28" i="6" s="1"/>
  <c r="EL63" i="6"/>
  <c r="EL10" i="2"/>
  <c r="EL57" i="2" s="1"/>
  <c r="EL8" i="7"/>
  <c r="EL10" i="7" s="1"/>
  <c r="EL11" i="7" s="1"/>
  <c r="EK18" i="2"/>
  <c r="EK86" i="2"/>
  <c r="EK87" i="2" s="1"/>
  <c r="EK88" i="2" s="1"/>
  <c r="EM57" i="6"/>
  <c r="EM85" i="6"/>
  <c r="EM87" i="6" s="1"/>
  <c r="EM89" i="6" s="1"/>
  <c r="EM11" i="6"/>
  <c r="EL57" i="6"/>
  <c r="EK57" i="7"/>
  <c r="EM89" i="5"/>
  <c r="EK42" i="5"/>
  <c r="EK54" i="7"/>
  <c r="EM55" i="7"/>
  <c r="EL12" i="15" s="1"/>
  <c r="EL54" i="7"/>
  <c r="EL87" i="2"/>
  <c r="EL88" i="2" s="1"/>
  <c r="EK82" i="2"/>
  <c r="EL85" i="4"/>
  <c r="EM38" i="4"/>
  <c r="EM40" i="4" s="1"/>
  <c r="EM42" i="4" s="1"/>
  <c r="EL39" i="4"/>
  <c r="EM57" i="4"/>
  <c r="EL63" i="4"/>
  <c r="EK85" i="4"/>
  <c r="EK87" i="4" s="1"/>
  <c r="EL26" i="4"/>
  <c r="EL27" i="4" s="1"/>
  <c r="EL38" i="4"/>
  <c r="EK39" i="4"/>
  <c r="EM54" i="4"/>
  <c r="EL57" i="4"/>
  <c r="EK63" i="4"/>
  <c r="EL73" i="4"/>
  <c r="EL74" i="4" s="1"/>
  <c r="EM86" i="4"/>
  <c r="EM57" i="7"/>
  <c r="EM12" i="4"/>
  <c r="EL7" i="8" s="1"/>
  <c r="EK26" i="4"/>
  <c r="EK28" i="4" s="1"/>
  <c r="EK38" i="4"/>
  <c r="EL54" i="4"/>
  <c r="EM85" i="4"/>
  <c r="EL86" i="4"/>
  <c r="EM12" i="7"/>
  <c r="EL42" i="5"/>
  <c r="EM27" i="4"/>
  <c r="EK81" i="7"/>
  <c r="EK81" i="6"/>
  <c r="EL81" i="4"/>
  <c r="EL75" i="5"/>
  <c r="EM82" i="6"/>
  <c r="EM87" i="2"/>
  <c r="EM88" i="2" s="1"/>
  <c r="EL81" i="2"/>
  <c r="EM34" i="4"/>
  <c r="EL89" i="5"/>
  <c r="EL35" i="7"/>
  <c r="EK8" i="26" s="1"/>
  <c r="EM82" i="7"/>
  <c r="EL74" i="6"/>
  <c r="EL82" i="7"/>
  <c r="EL81" i="6"/>
  <c r="EK28" i="6"/>
  <c r="EL34" i="6"/>
  <c r="EL34" i="4"/>
  <c r="EK34" i="4"/>
  <c r="EK35" i="7"/>
  <c r="EJ8" i="26" s="1"/>
  <c r="EM82" i="2"/>
  <c r="EM35" i="7"/>
  <c r="EL8" i="26" s="1"/>
  <c r="EM67" i="5"/>
  <c r="EM65" i="5"/>
  <c r="EL9" i="14" s="1"/>
  <c r="EM64" i="5"/>
  <c r="EM75" i="6"/>
  <c r="EK74" i="6"/>
  <c r="EK64" i="6"/>
  <c r="EK67" i="6"/>
  <c r="EM65" i="6"/>
  <c r="EL8" i="14" s="1"/>
  <c r="EM64" i="6"/>
  <c r="EL67" i="6"/>
  <c r="EL64" i="6"/>
  <c r="EL65" i="6"/>
  <c r="EK8" i="14" s="1"/>
  <c r="EL54" i="6"/>
  <c r="EL87" i="6"/>
  <c r="EL89" i="6" s="1"/>
  <c r="EK54" i="6"/>
  <c r="EM55" i="6"/>
  <c r="EL8" i="15" s="1"/>
  <c r="EM54" i="6"/>
  <c r="EL55" i="6"/>
  <c r="EK8" i="15" s="1"/>
  <c r="EK57" i="6"/>
  <c r="EM34" i="6"/>
  <c r="EK35" i="6"/>
  <c r="EM38" i="6"/>
  <c r="EM40" i="6" s="1"/>
  <c r="EM42" i="6" s="1"/>
  <c r="EL26" i="6"/>
  <c r="EL27" i="6" s="1"/>
  <c r="EK40" i="6"/>
  <c r="EK42" i="6" s="1"/>
  <c r="EM20" i="6"/>
  <c r="EL8" i="13" s="1"/>
  <c r="EL20" i="6"/>
  <c r="EK8" i="13" s="1"/>
  <c r="EL12" i="6"/>
  <c r="EK8" i="8" s="1"/>
  <c r="EL40" i="6"/>
  <c r="EL41" i="6" s="1"/>
  <c r="EK12" i="6"/>
  <c r="EJ8" i="8" s="1"/>
  <c r="EM82" i="4"/>
  <c r="EK82" i="4"/>
  <c r="EM74" i="4"/>
  <c r="EM75" i="4"/>
  <c r="EK73" i="4"/>
  <c r="EK74" i="4" s="1"/>
  <c r="EM65" i="4"/>
  <c r="EL7" i="14" s="1"/>
  <c r="EL65" i="4"/>
  <c r="EK7" i="14" s="1"/>
  <c r="EK65" i="4"/>
  <c r="EJ7" i="14" s="1"/>
  <c r="EK18" i="4"/>
  <c r="EK20" i="4" s="1"/>
  <c r="EJ7" i="13" s="1"/>
  <c r="EM18" i="4"/>
  <c r="EM20" i="4" s="1"/>
  <c r="EL7" i="13" s="1"/>
  <c r="EL18" i="4"/>
  <c r="EL19" i="4" s="1"/>
  <c r="EL20" i="4"/>
  <c r="EK7" i="13" s="1"/>
  <c r="EL12" i="4"/>
  <c r="EK7" i="8" s="1"/>
  <c r="EK12" i="4"/>
  <c r="EJ7" i="8" s="1"/>
  <c r="EM73" i="2"/>
  <c r="EM74" i="2" s="1"/>
  <c r="EL74" i="2"/>
  <c r="EK75" i="2"/>
  <c r="EL64" i="2"/>
  <c r="EK65" i="2"/>
  <c r="EJ6" i="14" s="1"/>
  <c r="EK64" i="2"/>
  <c r="EM65" i="2"/>
  <c r="EL6" i="14" s="1"/>
  <c r="EM67" i="2"/>
  <c r="EM64" i="2"/>
  <c r="EL67" i="2"/>
  <c r="EK67" i="2"/>
  <c r="EL40" i="2"/>
  <c r="EL41" i="2" s="1"/>
  <c r="EM26" i="2"/>
  <c r="EM28" i="2" s="1"/>
  <c r="EL18" i="2"/>
  <c r="EL20" i="2" s="1"/>
  <c r="EK6" i="13" s="1"/>
  <c r="EM19" i="2"/>
  <c r="EL35" i="2"/>
  <c r="EL34" i="2"/>
  <c r="EM33" i="2"/>
  <c r="EM35" i="2" s="1"/>
  <c r="EK34" i="2"/>
  <c r="EL27" i="2"/>
  <c r="EK27" i="2"/>
  <c r="EK20" i="2"/>
  <c r="EJ6" i="13" s="1"/>
  <c r="EK19" i="2"/>
  <c r="EM12" i="2"/>
  <c r="EL6" i="8" s="1"/>
  <c r="EM11" i="2"/>
  <c r="EL12" i="2"/>
  <c r="EK6" i="8" s="1"/>
  <c r="EL11" i="2"/>
  <c r="EK12" i="2"/>
  <c r="EJ6" i="8" s="1"/>
  <c r="EK11" i="2"/>
  <c r="EK80" i="1"/>
  <c r="EK81" i="1" s="1"/>
  <c r="EL80" i="1"/>
  <c r="EL82" i="1" s="1"/>
  <c r="EM80" i="1"/>
  <c r="EM82" i="1" s="1"/>
  <c r="EM72" i="1"/>
  <c r="EM72" i="7" s="1"/>
  <c r="EL72" i="1"/>
  <c r="EL72" i="7" s="1"/>
  <c r="EK72" i="1"/>
  <c r="EK72" i="7" s="1"/>
  <c r="EM62" i="1"/>
  <c r="EM62" i="7" s="1"/>
  <c r="EL62" i="1"/>
  <c r="EL62" i="7" s="1"/>
  <c r="EK62" i="1"/>
  <c r="EK55" i="1"/>
  <c r="EJ5" i="15" s="1"/>
  <c r="EK53" i="1"/>
  <c r="EL53" i="1"/>
  <c r="EL55" i="1" s="1"/>
  <c r="EK5" i="15" s="1"/>
  <c r="EM53" i="1"/>
  <c r="EM54" i="1" s="1"/>
  <c r="EM71" i="1"/>
  <c r="EM71" i="7" s="1"/>
  <c r="EL71" i="1"/>
  <c r="EL71" i="7" s="1"/>
  <c r="EK71" i="1"/>
  <c r="EK71" i="7" s="1"/>
  <c r="EM61" i="1"/>
  <c r="EM63" i="1" s="1"/>
  <c r="EL61" i="1"/>
  <c r="EL85" i="1" s="1"/>
  <c r="EK61" i="1"/>
  <c r="EK61" i="7" s="1"/>
  <c r="EK39" i="1"/>
  <c r="EK33" i="1"/>
  <c r="EK35" i="1" s="1"/>
  <c r="EL33" i="1"/>
  <c r="EL35" i="1" s="1"/>
  <c r="EM33" i="1"/>
  <c r="EM34" i="1" s="1"/>
  <c r="EM25" i="1"/>
  <c r="EM25" i="7" s="1"/>
  <c r="EL25" i="1"/>
  <c r="EL25" i="7" s="1"/>
  <c r="EK25" i="1"/>
  <c r="EK25" i="7" s="1"/>
  <c r="EM17" i="1"/>
  <c r="EL17" i="1"/>
  <c r="EL17" i="7" s="1"/>
  <c r="EK17" i="1"/>
  <c r="EK17" i="7" s="1"/>
  <c r="EL11" i="1"/>
  <c r="EM11" i="1"/>
  <c r="EK10" i="1"/>
  <c r="EK11" i="1" s="1"/>
  <c r="EL10" i="1"/>
  <c r="EL12" i="1" s="1"/>
  <c r="EK5" i="8" s="1"/>
  <c r="EM10" i="1"/>
  <c r="EM12" i="1" s="1"/>
  <c r="EL5" i="8" s="1"/>
  <c r="EK24" i="1"/>
  <c r="EK24" i="7" s="1"/>
  <c r="EM24" i="1"/>
  <c r="EM24" i="7" s="1"/>
  <c r="EL24" i="1"/>
  <c r="EL24" i="7" s="1"/>
  <c r="EM16" i="1"/>
  <c r="EM16" i="7" s="1"/>
  <c r="EL16" i="1"/>
  <c r="EL16" i="7" s="1"/>
  <c r="EL18" i="7" s="1"/>
  <c r="EL19" i="7" s="1"/>
  <c r="EK16" i="1"/>
  <c r="EK16" i="7" s="1"/>
  <c r="EL28" i="4" l="1"/>
  <c r="EM42" i="2"/>
  <c r="EK41" i="6"/>
  <c r="EM27" i="6"/>
  <c r="EM87" i="4"/>
  <c r="EM88" i="4" s="1"/>
  <c r="EL57" i="7"/>
  <c r="EL12" i="7"/>
  <c r="EK12" i="8" s="1"/>
  <c r="EK57" i="1"/>
  <c r="EL54" i="1"/>
  <c r="EM19" i="4"/>
  <c r="EK38" i="1"/>
  <c r="EK26" i="1"/>
  <c r="EK28" i="1" s="1"/>
  <c r="EK54" i="1"/>
  <c r="EK73" i="1"/>
  <c r="EK75" i="1" s="1"/>
  <c r="EJ12" i="8"/>
  <c r="EJ5" i="26"/>
  <c r="EM67" i="4"/>
  <c r="EK18" i="7"/>
  <c r="EK19" i="7" s="1"/>
  <c r="EM18" i="1"/>
  <c r="EM19" i="1" s="1"/>
  <c r="EK18" i="1"/>
  <c r="EK19" i="1" s="1"/>
  <c r="EM39" i="1"/>
  <c r="EM39" i="7" s="1"/>
  <c r="EM86" i="1"/>
  <c r="EM86" i="7" s="1"/>
  <c r="EM61" i="7"/>
  <c r="EM63" i="7" s="1"/>
  <c r="EL73" i="7"/>
  <c r="EL75" i="7" s="1"/>
  <c r="EK6" i="24" s="1"/>
  <c r="EM73" i="7"/>
  <c r="EM75" i="7" s="1"/>
  <c r="EL6" i="24" s="1"/>
  <c r="EM20" i="1"/>
  <c r="EL5" i="13" s="1"/>
  <c r="EM26" i="7"/>
  <c r="EM27" i="7" s="1"/>
  <c r="EM64" i="1"/>
  <c r="EM65" i="1"/>
  <c r="EL5" i="14" s="1"/>
  <c r="EM67" i="1"/>
  <c r="EK73" i="7"/>
  <c r="EK74" i="7" s="1"/>
  <c r="EL20" i="7"/>
  <c r="EL26" i="7"/>
  <c r="EL27" i="7" s="1"/>
  <c r="EL63" i="1"/>
  <c r="EL61" i="7"/>
  <c r="EK62" i="7"/>
  <c r="EK63" i="7" s="1"/>
  <c r="EL20" i="1"/>
  <c r="EK5" i="13" s="1"/>
  <c r="EL39" i="1"/>
  <c r="EL39" i="7" s="1"/>
  <c r="EM85" i="1"/>
  <c r="EM85" i="7" s="1"/>
  <c r="EM57" i="1"/>
  <c r="EK63" i="1"/>
  <c r="EL86" i="1"/>
  <c r="EL87" i="1" s="1"/>
  <c r="EL88" i="1" s="1"/>
  <c r="EM17" i="7"/>
  <c r="EM18" i="7" s="1"/>
  <c r="EM20" i="7" s="1"/>
  <c r="EL6" i="26" s="1"/>
  <c r="EM38" i="1"/>
  <c r="EK12" i="1"/>
  <c r="EJ5" i="8" s="1"/>
  <c r="EM26" i="1"/>
  <c r="EM27" i="1" s="1"/>
  <c r="EM55" i="1"/>
  <c r="EL5" i="15" s="1"/>
  <c r="EL57" i="1"/>
  <c r="EL65" i="1"/>
  <c r="EK5" i="14" s="1"/>
  <c r="EM73" i="1"/>
  <c r="EM74" i="1" s="1"/>
  <c r="EK86" i="1"/>
  <c r="EK86" i="7" s="1"/>
  <c r="EK26" i="7"/>
  <c r="EK28" i="7" s="1"/>
  <c r="EJ7" i="26" s="1"/>
  <c r="EL38" i="1"/>
  <c r="EL38" i="7" s="1"/>
  <c r="EL18" i="1"/>
  <c r="EL19" i="1" s="1"/>
  <c r="EL26" i="1"/>
  <c r="EL27" i="1" s="1"/>
  <c r="EK85" i="1"/>
  <c r="EK85" i="7" s="1"/>
  <c r="EL73" i="1"/>
  <c r="EL75" i="1" s="1"/>
  <c r="EK5" i="26"/>
  <c r="EL40" i="4"/>
  <c r="EL41" i="4" s="1"/>
  <c r="EL89" i="2"/>
  <c r="EL85" i="7"/>
  <c r="EK39" i="7"/>
  <c r="EL87" i="4"/>
  <c r="EL88" i="4" s="1"/>
  <c r="EK40" i="4"/>
  <c r="EK42" i="4" s="1"/>
  <c r="EK27" i="4"/>
  <c r="EK88" i="4"/>
  <c r="EK89" i="4"/>
  <c r="EL5" i="26"/>
  <c r="EL9" i="26"/>
  <c r="EL12" i="8"/>
  <c r="EK64" i="4"/>
  <c r="EK67" i="4"/>
  <c r="EL64" i="4"/>
  <c r="EL67" i="4"/>
  <c r="EK20" i="7"/>
  <c r="EK38" i="7"/>
  <c r="EK19" i="4"/>
  <c r="EL75" i="4"/>
  <c r="EM41" i="4"/>
  <c r="EK89" i="2"/>
  <c r="EK34" i="1"/>
  <c r="EL28" i="6"/>
  <c r="EM27" i="2"/>
  <c r="EK82" i="1"/>
  <c r="EL34" i="1"/>
  <c r="EM89" i="2"/>
  <c r="EM34" i="2"/>
  <c r="EL42" i="2"/>
  <c r="EL81" i="1"/>
  <c r="EM75" i="2"/>
  <c r="EK41" i="2"/>
  <c r="EM81" i="1"/>
  <c r="EM35" i="1"/>
  <c r="EK40" i="1"/>
  <c r="EK88" i="6"/>
  <c r="EM88" i="6"/>
  <c r="EL88" i="6"/>
  <c r="EM41" i="6"/>
  <c r="EL42" i="6"/>
  <c r="EK75" i="4"/>
  <c r="EL19" i="2"/>
  <c r="EH79" i="7"/>
  <c r="EI79" i="7"/>
  <c r="EJ79" i="7"/>
  <c r="EH78" i="7"/>
  <c r="EI78" i="7"/>
  <c r="EJ78" i="7"/>
  <c r="EH52" i="7"/>
  <c r="EI52" i="7"/>
  <c r="EJ52" i="7"/>
  <c r="EH51" i="7"/>
  <c r="EI51" i="7"/>
  <c r="EJ51" i="7"/>
  <c r="EH32" i="7"/>
  <c r="EI32" i="7"/>
  <c r="EJ32" i="7"/>
  <c r="EH31" i="7"/>
  <c r="EI31" i="7"/>
  <c r="EJ31" i="7"/>
  <c r="EH9" i="7"/>
  <c r="EI9" i="7"/>
  <c r="EJ9" i="7"/>
  <c r="EH8" i="7"/>
  <c r="EI8" i="7"/>
  <c r="EJ8" i="7"/>
  <c r="EI86" i="5"/>
  <c r="EJ72" i="5"/>
  <c r="EJ86" i="5" s="1"/>
  <c r="EI72" i="5"/>
  <c r="EM89" i="4" l="1"/>
  <c r="EK9" i="26"/>
  <c r="EL28" i="1"/>
  <c r="EM40" i="1"/>
  <c r="EM40" i="7" s="1"/>
  <c r="EM42" i="7" s="1"/>
  <c r="EL86" i="7"/>
  <c r="EL87" i="7" s="1"/>
  <c r="EL88" i="7" s="1"/>
  <c r="EK74" i="1"/>
  <c r="EM75" i="1"/>
  <c r="EL74" i="1"/>
  <c r="EL12" i="13"/>
  <c r="EM87" i="1"/>
  <c r="EM88" i="1" s="1"/>
  <c r="EL40" i="1"/>
  <c r="EL41" i="1" s="1"/>
  <c r="EK27" i="1"/>
  <c r="EM65" i="7"/>
  <c r="EL12" i="14" s="1"/>
  <c r="EM67" i="7"/>
  <c r="EM64" i="7"/>
  <c r="EM28" i="7"/>
  <c r="EL7" i="26" s="1"/>
  <c r="EJ10" i="7"/>
  <c r="EJ11" i="7" s="1"/>
  <c r="EM87" i="7"/>
  <c r="EM88" i="7" s="1"/>
  <c r="EK20" i="1"/>
  <c r="EJ5" i="13" s="1"/>
  <c r="EK87" i="1"/>
  <c r="EK88" i="1" s="1"/>
  <c r="EM38" i="7"/>
  <c r="EL42" i="4"/>
  <c r="EL74" i="7"/>
  <c r="EK87" i="7"/>
  <c r="EK88" i="7" s="1"/>
  <c r="EM74" i="7"/>
  <c r="EK65" i="7"/>
  <c r="EJ12" i="14" s="1"/>
  <c r="EK67" i="7"/>
  <c r="EK64" i="7"/>
  <c r="EK67" i="1"/>
  <c r="EK64" i="1"/>
  <c r="EK65" i="1"/>
  <c r="EJ5" i="14" s="1"/>
  <c r="EJ5" i="24"/>
  <c r="EK6" i="26"/>
  <c r="EK12" i="13"/>
  <c r="EL63" i="7"/>
  <c r="EL64" i="7" s="1"/>
  <c r="EM19" i="7"/>
  <c r="EI10" i="7"/>
  <c r="EI11" i="7" s="1"/>
  <c r="EH53" i="7"/>
  <c r="EH55" i="7" s="1"/>
  <c r="EG12" i="15" s="1"/>
  <c r="EM28" i="1"/>
  <c r="EK27" i="7"/>
  <c r="EL64" i="1"/>
  <c r="EL67" i="1"/>
  <c r="EL28" i="7"/>
  <c r="EK75" i="7"/>
  <c r="EJ6" i="24" s="1"/>
  <c r="EL89" i="4"/>
  <c r="EK41" i="4"/>
  <c r="EJ53" i="7"/>
  <c r="EJ54" i="7" s="1"/>
  <c r="EJ6" i="26"/>
  <c r="EJ12" i="13"/>
  <c r="EI53" i="7"/>
  <c r="EI55" i="7" s="1"/>
  <c r="EH12" i="15" s="1"/>
  <c r="EH10" i="7"/>
  <c r="EH11" i="7" s="1"/>
  <c r="EL89" i="1"/>
  <c r="EK89" i="1"/>
  <c r="EK40" i="7"/>
  <c r="EK42" i="1"/>
  <c r="EK41" i="1"/>
  <c r="EI33" i="7"/>
  <c r="EI34" i="7" s="1"/>
  <c r="EJ80" i="7"/>
  <c r="EJ82" i="7" s="1"/>
  <c r="EH80" i="7"/>
  <c r="EH81" i="7" s="1"/>
  <c r="EI80" i="7"/>
  <c r="EI81" i="7" s="1"/>
  <c r="EH33" i="7"/>
  <c r="EH34" i="7" s="1"/>
  <c r="EJ33" i="7"/>
  <c r="EJ34" i="7" s="1"/>
  <c r="EH80" i="5"/>
  <c r="EH81" i="5" s="1"/>
  <c r="EI80" i="5"/>
  <c r="EI81" i="5" s="1"/>
  <c r="EJ80" i="5"/>
  <c r="EJ81" i="5" s="1"/>
  <c r="EH72" i="5"/>
  <c r="EH86" i="5" s="1"/>
  <c r="EM41" i="1" l="1"/>
  <c r="EM42" i="1"/>
  <c r="EL42" i="1"/>
  <c r="EH54" i="7"/>
  <c r="EL5" i="24"/>
  <c r="EJ57" i="7"/>
  <c r="EM89" i="7"/>
  <c r="EM89" i="1"/>
  <c r="EL40" i="7"/>
  <c r="EL41" i="7" s="1"/>
  <c r="EJ55" i="7"/>
  <c r="EI12" i="15" s="1"/>
  <c r="EI57" i="7"/>
  <c r="EJ12" i="7"/>
  <c r="EI9" i="26" s="1"/>
  <c r="EI54" i="7"/>
  <c r="EH12" i="7"/>
  <c r="EG9" i="26" s="1"/>
  <c r="EK89" i="7"/>
  <c r="EM41" i="7"/>
  <c r="EK7" i="26"/>
  <c r="EK5" i="24"/>
  <c r="EL67" i="7"/>
  <c r="EL65" i="7"/>
  <c r="EK12" i="14" s="1"/>
  <c r="EH57" i="7"/>
  <c r="EI12" i="7"/>
  <c r="EH5" i="26" s="1"/>
  <c r="EL89" i="7"/>
  <c r="EG12" i="8"/>
  <c r="EJ81" i="7"/>
  <c r="EK41" i="7"/>
  <c r="EK42" i="7"/>
  <c r="EJ82" i="5"/>
  <c r="EI82" i="5"/>
  <c r="EI35" i="7"/>
  <c r="EH8" i="26" s="1"/>
  <c r="EH82" i="5"/>
  <c r="EJ35" i="7"/>
  <c r="EI8" i="26" s="1"/>
  <c r="EH82" i="7"/>
  <c r="EH35" i="7"/>
  <c r="EG8" i="26" s="1"/>
  <c r="EI82" i="7"/>
  <c r="EH57" i="5"/>
  <c r="EJ57" i="5"/>
  <c r="EI55" i="5"/>
  <c r="EH9" i="15" s="1"/>
  <c r="EJ54" i="5"/>
  <c r="EJ53" i="5"/>
  <c r="EJ55" i="5" s="1"/>
  <c r="EI9" i="15" s="1"/>
  <c r="EI53" i="5"/>
  <c r="EI54" i="5" s="1"/>
  <c r="EH53" i="5"/>
  <c r="EH54" i="5" s="1"/>
  <c r="EH71" i="5"/>
  <c r="EH73" i="5" s="1"/>
  <c r="EH74" i="5" s="1"/>
  <c r="EI71" i="5"/>
  <c r="EI73" i="5" s="1"/>
  <c r="EJ71" i="5"/>
  <c r="EJ73" i="5" s="1"/>
  <c r="EJ61" i="5"/>
  <c r="EJ85" i="5" s="1"/>
  <c r="EJ87" i="5" s="1"/>
  <c r="EJ89" i="5" s="1"/>
  <c r="EI61" i="5"/>
  <c r="EI85" i="5" s="1"/>
  <c r="EI87" i="5" s="1"/>
  <c r="EI88" i="5" s="1"/>
  <c r="EH61" i="5"/>
  <c r="EH39" i="5"/>
  <c r="EI39" i="5"/>
  <c r="EJ39" i="5"/>
  <c r="EH33" i="5"/>
  <c r="EH35" i="5" s="1"/>
  <c r="EI33" i="5"/>
  <c r="EI34" i="5" s="1"/>
  <c r="EJ33" i="5"/>
  <c r="EJ35" i="5" s="1"/>
  <c r="EH26" i="5"/>
  <c r="EH27" i="5" s="1"/>
  <c r="EI26" i="5"/>
  <c r="EI28" i="5" s="1"/>
  <c r="EJ26" i="5"/>
  <c r="EJ27" i="5" s="1"/>
  <c r="EI20" i="5"/>
  <c r="EH9" i="13" s="1"/>
  <c r="EI18" i="5"/>
  <c r="EI19" i="5" s="1"/>
  <c r="EJ16" i="5"/>
  <c r="EJ18" i="5" s="1"/>
  <c r="EJ12" i="5"/>
  <c r="EI9" i="8" s="1"/>
  <c r="EH11" i="5"/>
  <c r="EJ11" i="5"/>
  <c r="EH10" i="5"/>
  <c r="EH12" i="5" s="1"/>
  <c r="EG9" i="8" s="1"/>
  <c r="EI10" i="5"/>
  <c r="EI12" i="5" s="1"/>
  <c r="EH9" i="8" s="1"/>
  <c r="EJ10" i="5"/>
  <c r="EJ38" i="5"/>
  <c r="EI16" i="5"/>
  <c r="EI38" i="5" s="1"/>
  <c r="EH16" i="5"/>
  <c r="EH38" i="5" s="1"/>
  <c r="EG5" i="26" l="1"/>
  <c r="EJ40" i="5"/>
  <c r="EJ41" i="5" s="1"/>
  <c r="EI40" i="5"/>
  <c r="EI41" i="5" s="1"/>
  <c r="EJ88" i="5"/>
  <c r="EI5" i="26"/>
  <c r="EI12" i="8"/>
  <c r="EL42" i="7"/>
  <c r="EJ20" i="5"/>
  <c r="EI9" i="13" s="1"/>
  <c r="EJ19" i="5"/>
  <c r="EH55" i="5"/>
  <c r="EG9" i="15" s="1"/>
  <c r="EI11" i="5"/>
  <c r="EH18" i="5"/>
  <c r="EH85" i="5"/>
  <c r="EH87" i="5" s="1"/>
  <c r="EI57" i="5"/>
  <c r="EJ63" i="5"/>
  <c r="EH12" i="8"/>
  <c r="EH75" i="5"/>
  <c r="EJ74" i="5"/>
  <c r="EJ75" i="5"/>
  <c r="EI63" i="5"/>
  <c r="EI89" i="5"/>
  <c r="EH9" i="26"/>
  <c r="EI74" i="5"/>
  <c r="EI75" i="5"/>
  <c r="EH63" i="5"/>
  <c r="EH34" i="5"/>
  <c r="EH40" i="5"/>
  <c r="EH41" i="5" s="1"/>
  <c r="EI27" i="5"/>
  <c r="EJ28" i="5"/>
  <c r="EJ34" i="5"/>
  <c r="EH28" i="5"/>
  <c r="EI35" i="5"/>
  <c r="EJ86" i="6"/>
  <c r="EJ85" i="6"/>
  <c r="EH80" i="6"/>
  <c r="EH81" i="6" s="1"/>
  <c r="EI80" i="6"/>
  <c r="EI82" i="6" s="1"/>
  <c r="EJ80" i="6"/>
  <c r="EJ81" i="6" s="1"/>
  <c r="EJ73" i="6"/>
  <c r="EJ75" i="6" s="1"/>
  <c r="EJ72" i="6"/>
  <c r="EI72" i="6"/>
  <c r="EI86" i="6" s="1"/>
  <c r="EH72" i="6"/>
  <c r="EJ71" i="6"/>
  <c r="EI71" i="6"/>
  <c r="EH71" i="6"/>
  <c r="EH73" i="6" s="1"/>
  <c r="EH75" i="6" s="1"/>
  <c r="EG71" i="6"/>
  <c r="EI63" i="6"/>
  <c r="EI64" i="6" s="1"/>
  <c r="EJ62" i="6"/>
  <c r="EI62" i="6"/>
  <c r="EI65" i="6" s="1"/>
  <c r="EH8" i="14" s="1"/>
  <c r="EH62" i="6"/>
  <c r="EJ61" i="6"/>
  <c r="EJ63" i="6" s="1"/>
  <c r="EI61" i="6"/>
  <c r="EI85" i="6" s="1"/>
  <c r="EH61" i="6"/>
  <c r="EH85" i="6" s="1"/>
  <c r="EH57" i="6"/>
  <c r="EH55" i="6"/>
  <c r="EG8" i="15" s="1"/>
  <c r="EI55" i="6"/>
  <c r="EH8" i="15" s="1"/>
  <c r="EJ55" i="6"/>
  <c r="EI8" i="15" s="1"/>
  <c r="EH54" i="6"/>
  <c r="EI54" i="6"/>
  <c r="EJ54" i="6"/>
  <c r="EH53" i="6"/>
  <c r="EI53" i="6"/>
  <c r="EI57" i="6" s="1"/>
  <c r="EJ53" i="6"/>
  <c r="EJ57" i="6" s="1"/>
  <c r="EH39" i="6"/>
  <c r="EI38" i="6"/>
  <c r="EH33" i="6"/>
  <c r="EH34" i="6" s="1"/>
  <c r="EI33" i="6"/>
  <c r="EI35" i="6" s="1"/>
  <c r="EJ33" i="6"/>
  <c r="EJ34" i="6" s="1"/>
  <c r="EJ25" i="6"/>
  <c r="EJ39" i="6" s="1"/>
  <c r="EI25" i="6"/>
  <c r="EH25" i="6"/>
  <c r="EJ24" i="6"/>
  <c r="EJ26" i="6" s="1"/>
  <c r="EJ28" i="6" s="1"/>
  <c r="EI24" i="6"/>
  <c r="EI26" i="6" s="1"/>
  <c r="EI27" i="6" s="1"/>
  <c r="EH24" i="6"/>
  <c r="EH26" i="6" s="1"/>
  <c r="EH28" i="6" s="1"/>
  <c r="EJ20" i="6"/>
  <c r="EI8" i="13" s="1"/>
  <c r="EJ18" i="6"/>
  <c r="EJ19" i="6" s="1"/>
  <c r="EJ17" i="6"/>
  <c r="EI17" i="6"/>
  <c r="EI39" i="6" s="1"/>
  <c r="EH17" i="6"/>
  <c r="EJ16" i="6"/>
  <c r="EJ38" i="6" s="1"/>
  <c r="EI16" i="6"/>
  <c r="EH16" i="6"/>
  <c r="EH18" i="6" s="1"/>
  <c r="EH12" i="6"/>
  <c r="EG8" i="8" s="1"/>
  <c r="EH11" i="6"/>
  <c r="EH10" i="6"/>
  <c r="EI10" i="6"/>
  <c r="EI11" i="6" s="1"/>
  <c r="EJ10" i="6"/>
  <c r="EJ11" i="6" s="1"/>
  <c r="EI42" i="5" l="1"/>
  <c r="EJ42" i="5"/>
  <c r="EJ65" i="6"/>
  <c r="EI8" i="14" s="1"/>
  <c r="EJ64" i="6"/>
  <c r="EJ67" i="6"/>
  <c r="EH19" i="6"/>
  <c r="EH20" i="6"/>
  <c r="EG8" i="13" s="1"/>
  <c r="EH65" i="6"/>
  <c r="EG8" i="14" s="1"/>
  <c r="EJ12" i="6"/>
  <c r="EI8" i="8" s="1"/>
  <c r="EH38" i="6"/>
  <c r="EH40" i="6" s="1"/>
  <c r="EH41" i="6" s="1"/>
  <c r="EH63" i="6"/>
  <c r="EJ67" i="5"/>
  <c r="EJ65" i="5"/>
  <c r="EI9" i="14" s="1"/>
  <c r="EJ64" i="5"/>
  <c r="EI12" i="6"/>
  <c r="EH8" i="8" s="1"/>
  <c r="EI18" i="6"/>
  <c r="EI19" i="6" s="1"/>
  <c r="EI73" i="6"/>
  <c r="EI74" i="6" s="1"/>
  <c r="EH88" i="5"/>
  <c r="EH89" i="5"/>
  <c r="EI67" i="5"/>
  <c r="EI65" i="5"/>
  <c r="EH9" i="14" s="1"/>
  <c r="EI64" i="5"/>
  <c r="EH19" i="5"/>
  <c r="EH20" i="5"/>
  <c r="EG9" i="13" s="1"/>
  <c r="EH86" i="6"/>
  <c r="EH87" i="6" s="1"/>
  <c r="EH88" i="6" s="1"/>
  <c r="EH67" i="5"/>
  <c r="EH65" i="5"/>
  <c r="EG9" i="14" s="1"/>
  <c r="EH64" i="5"/>
  <c r="EH42" i="5"/>
  <c r="EI87" i="6"/>
  <c r="EI89" i="6" s="1"/>
  <c r="EJ74" i="6"/>
  <c r="EI40" i="6"/>
  <c r="EI41" i="6" s="1"/>
  <c r="EH74" i="6"/>
  <c r="EI81" i="6"/>
  <c r="EJ87" i="6"/>
  <c r="EJ88" i="6" s="1"/>
  <c r="EH27" i="6"/>
  <c r="EI34" i="6"/>
  <c r="EJ40" i="6"/>
  <c r="EJ41" i="6" s="1"/>
  <c r="EJ27" i="6"/>
  <c r="EH82" i="6"/>
  <c r="EJ82" i="6"/>
  <c r="EI28" i="6"/>
  <c r="EJ35" i="6"/>
  <c r="EH35" i="6"/>
  <c r="EJ85" i="4"/>
  <c r="EH80" i="4"/>
  <c r="EH81" i="4" s="1"/>
  <c r="EI80" i="4"/>
  <c r="EI82" i="4" s="1"/>
  <c r="EJ80" i="4"/>
  <c r="EJ81" i="4" s="1"/>
  <c r="EJ72" i="4"/>
  <c r="EJ73" i="4" s="1"/>
  <c r="EJ75" i="4" s="1"/>
  <c r="EI72" i="4"/>
  <c r="EH72" i="4"/>
  <c r="EH73" i="4" s="1"/>
  <c r="EH75" i="4" s="1"/>
  <c r="EJ62" i="4"/>
  <c r="EI62" i="4"/>
  <c r="EH62" i="4"/>
  <c r="EJ61" i="4"/>
  <c r="EI61" i="4"/>
  <c r="EH61" i="4"/>
  <c r="EH85" i="4" s="1"/>
  <c r="EJ57" i="4"/>
  <c r="EJ55" i="4"/>
  <c r="EI7" i="15" s="1"/>
  <c r="EH53" i="4"/>
  <c r="EH55" i="4" s="1"/>
  <c r="EG7" i="15" s="1"/>
  <c r="EI53" i="4"/>
  <c r="EI57" i="4" s="1"/>
  <c r="EJ53" i="4"/>
  <c r="EJ54" i="4" s="1"/>
  <c r="EH33" i="4"/>
  <c r="EH34" i="4" s="1"/>
  <c r="EI33" i="4"/>
  <c r="EI35" i="4" s="1"/>
  <c r="EJ33" i="4"/>
  <c r="EJ34" i="4" s="1"/>
  <c r="EJ25" i="4"/>
  <c r="EI25" i="4"/>
  <c r="EI26" i="4" s="1"/>
  <c r="EI27" i="4" s="1"/>
  <c r="EH25" i="4"/>
  <c r="EG25" i="4"/>
  <c r="EJ17" i="4"/>
  <c r="EJ39" i="4" s="1"/>
  <c r="EI17" i="4"/>
  <c r="EH17" i="4"/>
  <c r="EJ16" i="4"/>
  <c r="EI16" i="4"/>
  <c r="EH16" i="4"/>
  <c r="EJ12" i="4"/>
  <c r="EI7" i="8" s="1"/>
  <c r="EJ11" i="4"/>
  <c r="EH10" i="4"/>
  <c r="EH12" i="4" s="1"/>
  <c r="EG7" i="8" s="1"/>
  <c r="EI10" i="4"/>
  <c r="EI11" i="4" s="1"/>
  <c r="EJ10" i="4"/>
  <c r="EI20" i="6" l="1"/>
  <c r="EH8" i="13" s="1"/>
  <c r="EH11" i="4"/>
  <c r="EI75" i="6"/>
  <c r="EI67" i="6"/>
  <c r="EH54" i="4"/>
  <c r="EH64" i="6"/>
  <c r="EH67" i="6"/>
  <c r="EI88" i="6"/>
  <c r="EI42" i="6"/>
  <c r="EH18" i="4"/>
  <c r="EI12" i="4"/>
  <c r="EH7" i="8" s="1"/>
  <c r="EJ18" i="4"/>
  <c r="EI38" i="4"/>
  <c r="EH39" i="4"/>
  <c r="EI55" i="4"/>
  <c r="EH7" i="15" s="1"/>
  <c r="EH57" i="4"/>
  <c r="EI63" i="4"/>
  <c r="EI86" i="4"/>
  <c r="EI18" i="4"/>
  <c r="EI19" i="4" s="1"/>
  <c r="EJ26" i="4"/>
  <c r="EJ28" i="4" s="1"/>
  <c r="EH38" i="4"/>
  <c r="EI54" i="4"/>
  <c r="EH63" i="4"/>
  <c r="EI85" i="4"/>
  <c r="EH86" i="4"/>
  <c r="EH87" i="4" s="1"/>
  <c r="EH88" i="4" s="1"/>
  <c r="EI20" i="4"/>
  <c r="EH7" i="13" s="1"/>
  <c r="EH26" i="4"/>
  <c r="EH28" i="4" s="1"/>
  <c r="EJ38" i="4"/>
  <c r="EJ40" i="4" s="1"/>
  <c r="EJ41" i="4" s="1"/>
  <c r="EI39" i="4"/>
  <c r="EJ63" i="4"/>
  <c r="EI73" i="4"/>
  <c r="EI74" i="4" s="1"/>
  <c r="EJ86" i="4"/>
  <c r="EJ87" i="4" s="1"/>
  <c r="EH42" i="6"/>
  <c r="EJ89" i="6"/>
  <c r="EH89" i="6"/>
  <c r="EJ42" i="6"/>
  <c r="EJ74" i="4"/>
  <c r="EI81" i="4"/>
  <c r="EH74" i="4"/>
  <c r="EJ82" i="4"/>
  <c r="EI28" i="4"/>
  <c r="EI34" i="4"/>
  <c r="EJ35" i="4"/>
  <c r="EH82" i="4"/>
  <c r="EH35" i="4"/>
  <c r="EH80" i="2"/>
  <c r="EH81" i="2" s="1"/>
  <c r="EI80" i="2"/>
  <c r="EI82" i="2" s="1"/>
  <c r="EJ80" i="2"/>
  <c r="EJ81" i="2" s="1"/>
  <c r="EJ72" i="2"/>
  <c r="EJ73" i="2" s="1"/>
  <c r="EJ75" i="2" s="1"/>
  <c r="EI72" i="2"/>
  <c r="EH72" i="2"/>
  <c r="EJ71" i="2"/>
  <c r="EI71" i="2"/>
  <c r="EI85" i="2" s="1"/>
  <c r="EH71" i="2"/>
  <c r="EH73" i="2" s="1"/>
  <c r="EH75" i="2" s="1"/>
  <c r="EI63" i="2"/>
  <c r="EJ62" i="2"/>
  <c r="EJ86" i="2" s="1"/>
  <c r="EI62" i="2"/>
  <c r="EI65" i="2" s="1"/>
  <c r="EH6" i="14" s="1"/>
  <c r="EH62" i="2"/>
  <c r="EJ61" i="2"/>
  <c r="EJ85" i="2" s="1"/>
  <c r="EI61" i="2"/>
  <c r="EH61" i="2"/>
  <c r="EH63" i="2" s="1"/>
  <c r="EH55" i="2"/>
  <c r="EG6" i="15" s="1"/>
  <c r="EI55" i="2"/>
  <c r="EH6" i="15" s="1"/>
  <c r="EH54" i="2"/>
  <c r="EI54" i="2"/>
  <c r="EJ54" i="2"/>
  <c r="EH53" i="2"/>
  <c r="EI53" i="2"/>
  <c r="EI57" i="2" s="1"/>
  <c r="EJ53" i="2"/>
  <c r="EJ57" i="2" s="1"/>
  <c r="EH39" i="2"/>
  <c r="EI38" i="2"/>
  <c r="EH33" i="2"/>
  <c r="EH35" i="2" s="1"/>
  <c r="EI33" i="2"/>
  <c r="EI34" i="2" s="1"/>
  <c r="EJ33" i="2"/>
  <c r="EJ35" i="2" s="1"/>
  <c r="EJ25" i="2"/>
  <c r="EI25" i="2"/>
  <c r="EH25" i="2"/>
  <c r="EJ24" i="2"/>
  <c r="EJ26" i="2" s="1"/>
  <c r="EJ27" i="2" s="1"/>
  <c r="EI24" i="2"/>
  <c r="EI26" i="2" s="1"/>
  <c r="EI28" i="2" s="1"/>
  <c r="EH24" i="2"/>
  <c r="EH26" i="2" s="1"/>
  <c r="EH27" i="2" s="1"/>
  <c r="EH18" i="2"/>
  <c r="EH19" i="2" s="1"/>
  <c r="EJ17" i="2"/>
  <c r="EJ39" i="2" s="1"/>
  <c r="EI17" i="2"/>
  <c r="EI39" i="2" s="1"/>
  <c r="EH17" i="2"/>
  <c r="EJ16" i="2"/>
  <c r="EJ38" i="2" s="1"/>
  <c r="EI16" i="2"/>
  <c r="EI18" i="2" s="1"/>
  <c r="EI19" i="2" s="1"/>
  <c r="EH16" i="2"/>
  <c r="EH38" i="2" s="1"/>
  <c r="EJ12" i="2"/>
  <c r="EI6" i="8" s="1"/>
  <c r="EH11" i="2"/>
  <c r="EH10" i="2"/>
  <c r="EH57" i="2" s="1"/>
  <c r="EI10" i="2"/>
  <c r="EI11" i="2" s="1"/>
  <c r="EJ10" i="2"/>
  <c r="EJ11" i="2" s="1"/>
  <c r="EI67" i="2" l="1"/>
  <c r="EH64" i="2"/>
  <c r="EH67" i="2"/>
  <c r="EH65" i="2"/>
  <c r="EG6" i="14" s="1"/>
  <c r="EI20" i="2"/>
  <c r="EH6" i="13" s="1"/>
  <c r="EH85" i="2"/>
  <c r="EI12" i="2"/>
  <c r="EH6" i="8" s="1"/>
  <c r="EJ18" i="2"/>
  <c r="EH20" i="2"/>
  <c r="EG6" i="13" s="1"/>
  <c r="EI73" i="2"/>
  <c r="EI74" i="2" s="1"/>
  <c r="EH12" i="2"/>
  <c r="EG6" i="8" s="1"/>
  <c r="EJ55" i="2"/>
  <c r="EI6" i="15" s="1"/>
  <c r="EI64" i="2"/>
  <c r="EI86" i="2"/>
  <c r="EI87" i="2" s="1"/>
  <c r="EI89" i="2" s="1"/>
  <c r="EH86" i="2"/>
  <c r="EJ63" i="2"/>
  <c r="EH40" i="4"/>
  <c r="EH41" i="4" s="1"/>
  <c r="EI87" i="4"/>
  <c r="EI89" i="4" s="1"/>
  <c r="EI75" i="4"/>
  <c r="EH27" i="4"/>
  <c r="EJ88" i="4"/>
  <c r="EJ89" i="4"/>
  <c r="EJ27" i="4"/>
  <c r="EI40" i="4"/>
  <c r="EI41" i="4" s="1"/>
  <c r="EJ42" i="4"/>
  <c r="EH67" i="4"/>
  <c r="EH64" i="4"/>
  <c r="EJ19" i="4"/>
  <c r="EJ20" i="4"/>
  <c r="EI7" i="13" s="1"/>
  <c r="EH19" i="4"/>
  <c r="EH20" i="4"/>
  <c r="EG7" i="13" s="1"/>
  <c r="EH65" i="4"/>
  <c r="EG7" i="14" s="1"/>
  <c r="EJ67" i="4"/>
  <c r="EJ64" i="4"/>
  <c r="EJ65" i="4"/>
  <c r="EI7" i="14" s="1"/>
  <c r="EI64" i="4"/>
  <c r="EI65" i="4"/>
  <c r="EH7" i="14" s="1"/>
  <c r="EI67" i="4"/>
  <c r="EJ74" i="2"/>
  <c r="EJ40" i="2"/>
  <c r="EJ41" i="2" s="1"/>
  <c r="EH89" i="4"/>
  <c r="EJ87" i="2"/>
  <c r="EJ88" i="2" s="1"/>
  <c r="EH40" i="2"/>
  <c r="EH42" i="2" s="1"/>
  <c r="EH74" i="2"/>
  <c r="EI81" i="2"/>
  <c r="EH34" i="2"/>
  <c r="EI40" i="2"/>
  <c r="EI41" i="2" s="1"/>
  <c r="EI27" i="2"/>
  <c r="EJ34" i="2"/>
  <c r="EH82" i="2"/>
  <c r="EJ82" i="2"/>
  <c r="EJ28" i="2"/>
  <c r="EH28" i="2"/>
  <c r="EI35" i="2"/>
  <c r="EH80" i="1"/>
  <c r="EH81" i="1" s="1"/>
  <c r="EI80" i="1"/>
  <c r="EI82" i="1" s="1"/>
  <c r="EJ80" i="1"/>
  <c r="EJ81" i="1" s="1"/>
  <c r="EJ72" i="1"/>
  <c r="EJ72" i="7" s="1"/>
  <c r="EI72" i="1"/>
  <c r="EI72" i="7" s="1"/>
  <c r="EH72" i="1"/>
  <c r="EH72" i="7" s="1"/>
  <c r="EJ62" i="1"/>
  <c r="EJ62" i="7" s="1"/>
  <c r="EI62" i="1"/>
  <c r="EI62" i="7" s="1"/>
  <c r="EH62" i="1"/>
  <c r="EH62" i="7" s="1"/>
  <c r="EI55" i="1"/>
  <c r="EH5" i="15" s="1"/>
  <c r="EI54" i="1"/>
  <c r="EJ54" i="1"/>
  <c r="EH53" i="1"/>
  <c r="EH57" i="1" s="1"/>
  <c r="EI53" i="1"/>
  <c r="EJ53" i="1"/>
  <c r="EJ55" i="1" s="1"/>
  <c r="EI5" i="15" s="1"/>
  <c r="EJ71" i="1"/>
  <c r="EJ71" i="7" s="1"/>
  <c r="EI71" i="1"/>
  <c r="EI71" i="7" s="1"/>
  <c r="EH71" i="1"/>
  <c r="EH71" i="7" s="1"/>
  <c r="EJ61" i="1"/>
  <c r="EJ61" i="7" s="1"/>
  <c r="EI61" i="1"/>
  <c r="EI61" i="7" s="1"/>
  <c r="EH61" i="1"/>
  <c r="EH61" i="7" s="1"/>
  <c r="EH33" i="1"/>
  <c r="EH35" i="1" s="1"/>
  <c r="EI33" i="1"/>
  <c r="EI35" i="1" s="1"/>
  <c r="EJ33" i="1"/>
  <c r="EJ35" i="1" s="1"/>
  <c r="EJ25" i="1"/>
  <c r="EI25" i="1"/>
  <c r="EI25" i="7" s="1"/>
  <c r="EH25" i="1"/>
  <c r="EH25" i="7" s="1"/>
  <c r="EI18" i="1"/>
  <c r="EI19" i="1" s="1"/>
  <c r="EJ17" i="1"/>
  <c r="EJ17" i="7" s="1"/>
  <c r="EI17" i="1"/>
  <c r="EI17" i="7" s="1"/>
  <c r="EH17" i="1"/>
  <c r="EH17" i="7" s="1"/>
  <c r="EJ12" i="1"/>
  <c r="EI5" i="8" s="1"/>
  <c r="EJ11" i="1"/>
  <c r="EH10" i="1"/>
  <c r="EH12" i="1" s="1"/>
  <c r="EG5" i="8" s="1"/>
  <c r="EI10" i="1"/>
  <c r="EI11" i="1" s="1"/>
  <c r="EJ10" i="1"/>
  <c r="EJ24" i="1"/>
  <c r="EJ24" i="7" s="1"/>
  <c r="EI24" i="1"/>
  <c r="EI24" i="7" s="1"/>
  <c r="EH24" i="1"/>
  <c r="EH24" i="7" s="1"/>
  <c r="EJ16" i="1"/>
  <c r="EJ16" i="7" s="1"/>
  <c r="EI16" i="1"/>
  <c r="EI16" i="7" s="1"/>
  <c r="EH16" i="1"/>
  <c r="EH16" i="7" s="1"/>
  <c r="EI75" i="2" l="1"/>
  <c r="EH87" i="2"/>
  <c r="EH88" i="2" s="1"/>
  <c r="EJ18" i="7"/>
  <c r="EJ19" i="7" s="1"/>
  <c r="EJ67" i="2"/>
  <c r="EJ65" i="2"/>
  <c r="EI6" i="14" s="1"/>
  <c r="EJ64" i="2"/>
  <c r="EJ20" i="2"/>
  <c r="EI6" i="13" s="1"/>
  <c r="EJ19" i="2"/>
  <c r="EH73" i="7"/>
  <c r="EH74" i="7" s="1"/>
  <c r="EH11" i="1"/>
  <c r="EI85" i="1"/>
  <c r="EI85" i="7" s="1"/>
  <c r="EJ86" i="1"/>
  <c r="EJ86" i="7" s="1"/>
  <c r="EI38" i="1"/>
  <c r="EI38" i="7" s="1"/>
  <c r="EI63" i="1"/>
  <c r="EI64" i="1" s="1"/>
  <c r="EH42" i="4"/>
  <c r="EI88" i="4"/>
  <c r="EJ38" i="1"/>
  <c r="EJ38" i="7" s="1"/>
  <c r="EH39" i="1"/>
  <c r="EH39" i="7" s="1"/>
  <c r="EH73" i="1"/>
  <c r="EH75" i="1" s="1"/>
  <c r="EH26" i="7"/>
  <c r="EH27" i="7" s="1"/>
  <c r="EH18" i="1"/>
  <c r="EH19" i="1" s="1"/>
  <c r="EI26" i="7"/>
  <c r="EI28" i="7" s="1"/>
  <c r="EH63" i="7"/>
  <c r="EH64" i="7" s="1"/>
  <c r="EI73" i="7"/>
  <c r="EI74" i="7" s="1"/>
  <c r="EH85" i="1"/>
  <c r="EH85" i="7" s="1"/>
  <c r="EH55" i="1"/>
  <c r="EG5" i="15" s="1"/>
  <c r="EH63" i="1"/>
  <c r="EI67" i="1"/>
  <c r="EI86" i="1"/>
  <c r="EI86" i="7" s="1"/>
  <c r="EH18" i="7"/>
  <c r="EH19" i="7" s="1"/>
  <c r="EH38" i="1"/>
  <c r="EH38" i="7" s="1"/>
  <c r="EI12" i="1"/>
  <c r="EH5" i="8" s="1"/>
  <c r="EJ20" i="7"/>
  <c r="EI20" i="1"/>
  <c r="EH5" i="13" s="1"/>
  <c r="EJ26" i="1"/>
  <c r="EJ27" i="1" s="1"/>
  <c r="EJ25" i="7"/>
  <c r="EJ26" i="7" s="1"/>
  <c r="EJ27" i="7" s="1"/>
  <c r="EJ39" i="1"/>
  <c r="EJ39" i="7" s="1"/>
  <c r="EI63" i="7"/>
  <c r="EI65" i="7" s="1"/>
  <c r="EH12" i="14" s="1"/>
  <c r="EJ73" i="7"/>
  <c r="EJ74" i="7" s="1"/>
  <c r="EI57" i="1"/>
  <c r="EI65" i="1"/>
  <c r="EH5" i="14" s="1"/>
  <c r="EJ73" i="1"/>
  <c r="EJ75" i="1" s="1"/>
  <c r="EH86" i="1"/>
  <c r="EH86" i="7" s="1"/>
  <c r="EI18" i="7"/>
  <c r="EJ18" i="1"/>
  <c r="EI39" i="1"/>
  <c r="EI39" i="7" s="1"/>
  <c r="EJ63" i="7"/>
  <c r="EJ85" i="1"/>
  <c r="EJ85" i="7" s="1"/>
  <c r="EH54" i="1"/>
  <c r="EJ63" i="1"/>
  <c r="EH65" i="1"/>
  <c r="EG5" i="14" s="1"/>
  <c r="EI73" i="1"/>
  <c r="EI74" i="1" s="1"/>
  <c r="EI42" i="4"/>
  <c r="EJ89" i="2"/>
  <c r="EH41" i="2"/>
  <c r="EJ42" i="2"/>
  <c r="EI42" i="2"/>
  <c r="EI88" i="2"/>
  <c r="EI81" i="1"/>
  <c r="EH34" i="1"/>
  <c r="EH82" i="1"/>
  <c r="EJ34" i="1"/>
  <c r="EJ82" i="1"/>
  <c r="EI34" i="1"/>
  <c r="EJ57" i="1"/>
  <c r="EI26" i="1"/>
  <c r="EI27" i="1" s="1"/>
  <c r="EH26" i="1"/>
  <c r="EH27" i="1" s="1"/>
  <c r="EG86" i="5"/>
  <c r="EF86" i="5"/>
  <c r="EG72" i="5"/>
  <c r="EF72" i="5"/>
  <c r="EE72" i="5"/>
  <c r="EE86" i="5" s="1"/>
  <c r="EG61" i="5"/>
  <c r="EF61" i="5"/>
  <c r="EE61" i="5"/>
  <c r="EF39" i="5"/>
  <c r="EE38" i="5"/>
  <c r="EG33" i="5"/>
  <c r="EF33" i="5"/>
  <c r="EE33" i="5"/>
  <c r="EG25" i="5"/>
  <c r="EG39" i="5" s="1"/>
  <c r="EF25" i="5"/>
  <c r="EE25" i="5"/>
  <c r="EE39" i="5" s="1"/>
  <c r="EG16" i="5"/>
  <c r="EG38" i="5" s="1"/>
  <c r="EF16" i="5"/>
  <c r="EF38" i="5" s="1"/>
  <c r="EE16" i="5"/>
  <c r="EE85" i="2"/>
  <c r="EG71" i="2"/>
  <c r="EE71" i="2"/>
  <c r="EE61" i="2"/>
  <c r="EG61" i="1"/>
  <c r="EF61" i="1"/>
  <c r="EH74" i="1" l="1"/>
  <c r="EH75" i="7"/>
  <c r="EG6" i="24" s="1"/>
  <c r="EH89" i="2"/>
  <c r="EJ87" i="7"/>
  <c r="EJ88" i="7" s="1"/>
  <c r="EI87" i="1"/>
  <c r="EI89" i="1" s="1"/>
  <c r="EI87" i="7"/>
  <c r="EI88" i="7" s="1"/>
  <c r="EJ74" i="1"/>
  <c r="EH87" i="7"/>
  <c r="EH88" i="7" s="1"/>
  <c r="EJ87" i="1"/>
  <c r="EJ89" i="1" s="1"/>
  <c r="EI75" i="1"/>
  <c r="EH87" i="1"/>
  <c r="EH88" i="1" s="1"/>
  <c r="EI27" i="7"/>
  <c r="EJ28" i="1"/>
  <c r="EH28" i="7"/>
  <c r="EG5" i="24" s="1"/>
  <c r="EJ67" i="7"/>
  <c r="EJ64" i="7"/>
  <c r="EJ65" i="7"/>
  <c r="EI12" i="14" s="1"/>
  <c r="EI6" i="26"/>
  <c r="EI12" i="13"/>
  <c r="EJ40" i="1"/>
  <c r="EJ40" i="7" s="1"/>
  <c r="EJ64" i="1"/>
  <c r="EJ65" i="1"/>
  <c r="EI5" i="14" s="1"/>
  <c r="EJ67" i="1"/>
  <c r="EI19" i="7"/>
  <c r="EI20" i="7"/>
  <c r="EJ28" i="7"/>
  <c r="EH67" i="7"/>
  <c r="EH20" i="7"/>
  <c r="EI40" i="1"/>
  <c r="EI40" i="7" s="1"/>
  <c r="EI41" i="7" s="1"/>
  <c r="EH20" i="1"/>
  <c r="EG5" i="13" s="1"/>
  <c r="EH7" i="26"/>
  <c r="EH5" i="24"/>
  <c r="EJ75" i="7"/>
  <c r="EI6" i="24" s="1"/>
  <c r="EH40" i="1"/>
  <c r="EH42" i="1" s="1"/>
  <c r="EJ19" i="1"/>
  <c r="EJ20" i="1"/>
  <c r="EI5" i="13" s="1"/>
  <c r="EI64" i="7"/>
  <c r="EI67" i="7"/>
  <c r="EH67" i="1"/>
  <c r="EH64" i="1"/>
  <c r="EH65" i="7"/>
  <c r="EG12" i="14" s="1"/>
  <c r="EI75" i="7"/>
  <c r="EH6" i="24" s="1"/>
  <c r="EI28" i="1"/>
  <c r="EH28" i="1"/>
  <c r="EG7" i="26" l="1"/>
  <c r="EI88" i="1"/>
  <c r="EI89" i="7"/>
  <c r="EJ88" i="1"/>
  <c r="EI41" i="1"/>
  <c r="EH89" i="7"/>
  <c r="EJ89" i="7"/>
  <c r="EH89" i="1"/>
  <c r="EI42" i="7"/>
  <c r="EG12" i="13"/>
  <c r="EG6" i="26"/>
  <c r="EJ42" i="1"/>
  <c r="EH41" i="1"/>
  <c r="EJ41" i="1"/>
  <c r="EI7" i="26"/>
  <c r="EI5" i="24"/>
  <c r="EH40" i="7"/>
  <c r="EH42" i="7" s="1"/>
  <c r="EI42" i="1"/>
  <c r="EH6" i="26"/>
  <c r="EH12" i="13"/>
  <c r="EJ41" i="7"/>
  <c r="EJ42" i="7"/>
  <c r="EH41" i="7" l="1"/>
  <c r="EE79" i="7"/>
  <c r="EF79" i="7"/>
  <c r="EG79" i="7"/>
  <c r="EE78" i="7"/>
  <c r="EF78" i="7"/>
  <c r="EG78" i="7"/>
  <c r="EE52" i="7"/>
  <c r="EF52" i="7"/>
  <c r="EG52" i="7"/>
  <c r="EE51" i="7"/>
  <c r="EF51" i="7"/>
  <c r="EG51" i="7"/>
  <c r="EE32" i="7"/>
  <c r="EF32" i="7"/>
  <c r="EG32" i="7"/>
  <c r="EE31" i="7"/>
  <c r="EF31" i="7"/>
  <c r="EG31" i="7"/>
  <c r="EE9" i="7"/>
  <c r="EF9" i="7"/>
  <c r="EG9" i="7"/>
  <c r="EE8" i="7"/>
  <c r="EF8" i="7"/>
  <c r="EG8" i="7"/>
  <c r="EG72" i="6"/>
  <c r="EF72" i="6"/>
  <c r="EE72" i="6"/>
  <c r="EF86" i="6"/>
  <c r="EF85" i="6"/>
  <c r="EE80" i="6"/>
  <c r="EE82" i="6" s="1"/>
  <c r="EF80" i="6"/>
  <c r="EF81" i="6" s="1"/>
  <c r="EG80" i="6"/>
  <c r="EG81" i="6" s="1"/>
  <c r="EF71" i="6"/>
  <c r="EF73" i="6" s="1"/>
  <c r="EF74" i="6" s="1"/>
  <c r="EE71" i="6"/>
  <c r="EE85" i="6" s="1"/>
  <c r="EG62" i="6"/>
  <c r="EF62" i="6"/>
  <c r="EF63" i="6" s="1"/>
  <c r="EE62" i="6"/>
  <c r="EG61" i="6"/>
  <c r="EG85" i="6" s="1"/>
  <c r="EF61" i="6"/>
  <c r="EE61" i="6"/>
  <c r="EF54" i="6"/>
  <c r="EE53" i="6"/>
  <c r="EE57" i="6" s="1"/>
  <c r="EF53" i="6"/>
  <c r="EF55" i="6" s="1"/>
  <c r="EE8" i="15" s="1"/>
  <c r="EG53" i="6"/>
  <c r="EG57" i="6" s="1"/>
  <c r="EG24" i="6"/>
  <c r="EF24" i="6"/>
  <c r="EF39" i="6"/>
  <c r="EE38" i="6"/>
  <c r="EE33" i="6"/>
  <c r="EE35" i="6" s="1"/>
  <c r="EF33" i="6"/>
  <c r="EF35" i="6" s="1"/>
  <c r="EG33" i="6"/>
  <c r="EG35" i="6" s="1"/>
  <c r="EG25" i="6"/>
  <c r="EF25" i="6"/>
  <c r="EE25" i="6"/>
  <c r="EE24" i="6"/>
  <c r="EG17" i="6"/>
  <c r="EG39" i="6" s="1"/>
  <c r="EF17" i="6"/>
  <c r="EE17" i="6"/>
  <c r="EE39" i="6" s="1"/>
  <c r="EG16" i="6"/>
  <c r="EF16" i="6"/>
  <c r="EE16" i="6"/>
  <c r="EG11" i="6"/>
  <c r="EE10" i="6"/>
  <c r="EE12" i="6" s="1"/>
  <c r="ED8" i="8" s="1"/>
  <c r="EF10" i="6"/>
  <c r="EF11" i="6" s="1"/>
  <c r="EG10" i="6"/>
  <c r="EG12" i="6" s="1"/>
  <c r="EF8" i="8" s="1"/>
  <c r="EG62" i="4"/>
  <c r="EG86" i="4" s="1"/>
  <c r="EF85" i="4"/>
  <c r="EE80" i="4"/>
  <c r="EE82" i="4" s="1"/>
  <c r="EF80" i="4"/>
  <c r="EF81" i="4" s="1"/>
  <c r="EG80" i="4"/>
  <c r="EG82" i="4" s="1"/>
  <c r="EG72" i="4"/>
  <c r="EG73" i="4" s="1"/>
  <c r="EG75" i="4" s="1"/>
  <c r="EF72" i="4"/>
  <c r="EF73" i="4" s="1"/>
  <c r="EF74" i="4" s="1"/>
  <c r="EE72" i="4"/>
  <c r="EF62" i="4"/>
  <c r="EE62" i="4"/>
  <c r="EE86" i="4" s="1"/>
  <c r="EG61" i="4"/>
  <c r="EG85" i="4" s="1"/>
  <c r="EF61" i="4"/>
  <c r="EE61" i="4"/>
  <c r="EE63" i="4" s="1"/>
  <c r="EE55" i="4"/>
  <c r="ED7" i="15" s="1"/>
  <c r="EF54" i="4"/>
  <c r="EE53" i="4"/>
  <c r="EE54" i="4" s="1"/>
  <c r="EF53" i="4"/>
  <c r="EF55" i="4" s="1"/>
  <c r="EE7" i="15" s="1"/>
  <c r="EG53" i="4"/>
  <c r="EG57" i="4" s="1"/>
  <c r="EF39" i="4"/>
  <c r="EE38" i="4"/>
  <c r="EE33" i="4"/>
  <c r="EE34" i="4" s="1"/>
  <c r="EF33" i="4"/>
  <c r="EF35" i="4" s="1"/>
  <c r="EG33" i="4"/>
  <c r="EG35" i="4" s="1"/>
  <c r="EG26" i="4"/>
  <c r="EG27" i="4" s="1"/>
  <c r="EF25" i="4"/>
  <c r="EF26" i="4" s="1"/>
  <c r="EF27" i="4" s="1"/>
  <c r="EE25" i="4"/>
  <c r="EG17" i="4"/>
  <c r="EG39" i="4" s="1"/>
  <c r="EF17" i="4"/>
  <c r="EF18" i="4" s="1"/>
  <c r="EF20" i="4" s="1"/>
  <c r="EE7" i="13" s="1"/>
  <c r="EE17" i="4"/>
  <c r="EE39" i="4" s="1"/>
  <c r="EG16" i="4"/>
  <c r="EG38" i="4" s="1"/>
  <c r="EF16" i="4"/>
  <c r="EF38" i="4" s="1"/>
  <c r="EE16" i="4"/>
  <c r="EG12" i="4"/>
  <c r="EF7" i="8" s="1"/>
  <c r="EG11" i="4"/>
  <c r="EE10" i="4"/>
  <c r="EE12" i="4" s="1"/>
  <c r="ED7" i="8" s="1"/>
  <c r="EF10" i="4"/>
  <c r="EF11" i="4" s="1"/>
  <c r="EG10" i="4"/>
  <c r="EE11" i="4" l="1"/>
  <c r="EG54" i="6"/>
  <c r="EF57" i="6"/>
  <c r="EE86" i="6"/>
  <c r="EE87" i="6" s="1"/>
  <c r="EE88" i="6" s="1"/>
  <c r="EF63" i="4"/>
  <c r="EF38" i="6"/>
  <c r="EF40" i="6" s="1"/>
  <c r="EF42" i="6" s="1"/>
  <c r="EG38" i="6"/>
  <c r="EG40" i="6" s="1"/>
  <c r="EG42" i="6" s="1"/>
  <c r="EG86" i="6"/>
  <c r="EG87" i="6" s="1"/>
  <c r="EG88" i="6" s="1"/>
  <c r="EF53" i="7"/>
  <c r="EF54" i="7" s="1"/>
  <c r="EF12" i="4"/>
  <c r="EE7" i="8" s="1"/>
  <c r="EG55" i="4"/>
  <c r="EF7" i="15" s="1"/>
  <c r="EF57" i="4"/>
  <c r="EG54" i="4"/>
  <c r="EE57" i="4"/>
  <c r="EF86" i="4"/>
  <c r="EF87" i="4" s="1"/>
  <c r="EE85" i="4"/>
  <c r="EE87" i="4" s="1"/>
  <c r="EE88" i="4" s="1"/>
  <c r="EF40" i="4"/>
  <c r="EF41" i="4" s="1"/>
  <c r="EG81" i="4"/>
  <c r="EG87" i="4"/>
  <c r="EG88" i="4" s="1"/>
  <c r="EE40" i="6"/>
  <c r="EE41" i="6" s="1"/>
  <c r="EE34" i="6"/>
  <c r="EE40" i="4"/>
  <c r="EE41" i="4" s="1"/>
  <c r="EG40" i="4"/>
  <c r="EG42" i="4" s="1"/>
  <c r="EF33" i="7"/>
  <c r="EF34" i="7" s="1"/>
  <c r="EF34" i="4"/>
  <c r="EE33" i="7"/>
  <c r="EE34" i="7" s="1"/>
  <c r="EG80" i="7"/>
  <c r="EG81" i="7" s="1"/>
  <c r="EF80" i="7"/>
  <c r="EF81" i="7" s="1"/>
  <c r="EG53" i="7"/>
  <c r="EG55" i="7" s="1"/>
  <c r="EF12" i="15" s="1"/>
  <c r="EE10" i="7"/>
  <c r="EE11" i="7" s="1"/>
  <c r="EG10" i="7"/>
  <c r="EG11" i="7" s="1"/>
  <c r="EG33" i="7"/>
  <c r="EG34" i="7" s="1"/>
  <c r="EE53" i="7"/>
  <c r="EE55" i="7" s="1"/>
  <c r="ED12" i="15" s="1"/>
  <c r="EF10" i="7"/>
  <c r="EF12" i="7" s="1"/>
  <c r="EE80" i="7"/>
  <c r="EE81" i="7" s="1"/>
  <c r="EG73" i="6"/>
  <c r="EG75" i="6" s="1"/>
  <c r="EF87" i="6"/>
  <c r="EF88" i="6" s="1"/>
  <c r="EE73" i="6"/>
  <c r="EE74" i="6" s="1"/>
  <c r="EE81" i="6"/>
  <c r="EG82" i="6"/>
  <c r="EF82" i="6"/>
  <c r="EF75" i="6"/>
  <c r="EF64" i="6"/>
  <c r="EE63" i="6"/>
  <c r="EE67" i="6" s="1"/>
  <c r="EG63" i="6"/>
  <c r="EG64" i="6" s="1"/>
  <c r="EF65" i="6"/>
  <c r="EE8" i="14" s="1"/>
  <c r="EE64" i="6"/>
  <c r="EG55" i="6"/>
  <c r="EF8" i="15" s="1"/>
  <c r="EE55" i="6"/>
  <c r="ED8" i="15" s="1"/>
  <c r="EE54" i="6"/>
  <c r="EG26" i="6"/>
  <c r="EG27" i="6" s="1"/>
  <c r="EF26" i="6"/>
  <c r="EF27" i="6" s="1"/>
  <c r="EG34" i="6"/>
  <c r="EF34" i="6"/>
  <c r="EE26" i="6"/>
  <c r="EE27" i="6" s="1"/>
  <c r="EG18" i="6"/>
  <c r="EG20" i="6" s="1"/>
  <c r="EF8" i="13" s="1"/>
  <c r="EF18" i="6"/>
  <c r="EF19" i="6" s="1"/>
  <c r="EE18" i="6"/>
  <c r="EE20" i="6" s="1"/>
  <c r="ED8" i="13" s="1"/>
  <c r="EF12" i="6"/>
  <c r="EE8" i="8" s="1"/>
  <c r="EE11" i="6"/>
  <c r="EG63" i="4"/>
  <c r="EG64" i="4" s="1"/>
  <c r="EF82" i="4"/>
  <c r="EE81" i="4"/>
  <c r="EE73" i="4"/>
  <c r="EE74" i="4" s="1"/>
  <c r="EG74" i="4"/>
  <c r="EF75" i="4"/>
  <c r="EF65" i="4"/>
  <c r="EE7" i="14" s="1"/>
  <c r="EF67" i="4"/>
  <c r="EF64" i="4"/>
  <c r="EG65" i="4"/>
  <c r="EF7" i="14" s="1"/>
  <c r="EE65" i="4"/>
  <c r="ED7" i="14" s="1"/>
  <c r="EE64" i="4"/>
  <c r="EG34" i="4"/>
  <c r="EE35" i="4"/>
  <c r="EG28" i="4"/>
  <c r="EE26" i="4"/>
  <c r="EE27" i="4" s="1"/>
  <c r="EF28" i="4"/>
  <c r="EF19" i="4"/>
  <c r="EE18" i="4"/>
  <c r="EE20" i="4" s="1"/>
  <c r="ED7" i="13" s="1"/>
  <c r="EG18" i="4"/>
  <c r="EG20" i="4" s="1"/>
  <c r="EF7" i="13" s="1"/>
  <c r="EE80" i="5"/>
  <c r="EE82" i="5" s="1"/>
  <c r="EF80" i="5"/>
  <c r="EF82" i="5" s="1"/>
  <c r="EG80" i="5"/>
  <c r="EG81" i="5" s="1"/>
  <c r="EG73" i="5"/>
  <c r="EG75" i="5" s="1"/>
  <c r="EE63" i="5"/>
  <c r="EE65" i="5" s="1"/>
  <c r="ED9" i="14" s="1"/>
  <c r="EF63" i="5"/>
  <c r="EF64" i="5" s="1"/>
  <c r="EG63" i="5"/>
  <c r="EG65" i="5" s="1"/>
  <c r="EF9" i="14" s="1"/>
  <c r="EE71" i="5"/>
  <c r="EE85" i="5" s="1"/>
  <c r="EE87" i="5" s="1"/>
  <c r="EE89" i="5" s="1"/>
  <c r="EF71" i="5"/>
  <c r="EF85" i="5" s="1"/>
  <c r="EF87" i="5" s="1"/>
  <c r="EF88" i="5" s="1"/>
  <c r="EG71" i="5"/>
  <c r="EG85" i="5" s="1"/>
  <c r="EG87" i="5" s="1"/>
  <c r="EG89" i="5" s="1"/>
  <c r="EG55" i="5"/>
  <c r="EF9" i="15" s="1"/>
  <c r="EE54" i="5"/>
  <c r="EF54" i="5"/>
  <c r="EG54" i="5"/>
  <c r="EE53" i="5"/>
  <c r="EE55" i="5" s="1"/>
  <c r="ED9" i="15" s="1"/>
  <c r="EF53" i="5"/>
  <c r="EF55" i="5" s="1"/>
  <c r="EE9" i="15" s="1"/>
  <c r="EG53" i="5"/>
  <c r="EF40" i="5"/>
  <c r="EF42" i="5" s="1"/>
  <c r="EG40" i="5"/>
  <c r="EG42" i="5" s="1"/>
  <c r="EE40" i="5"/>
  <c r="EE42" i="5" s="1"/>
  <c r="EE35" i="5"/>
  <c r="EF35" i="5"/>
  <c r="EG35" i="5"/>
  <c r="EE34" i="5"/>
  <c r="EF34" i="5"/>
  <c r="EG34" i="5"/>
  <c r="EE26" i="5"/>
  <c r="EE28" i="5" s="1"/>
  <c r="EF26" i="5"/>
  <c r="EF28" i="5" s="1"/>
  <c r="EG26" i="5"/>
  <c r="EG28" i="5" s="1"/>
  <c r="EF18" i="5"/>
  <c r="EF19" i="5" s="1"/>
  <c r="EG18" i="5"/>
  <c r="EG20" i="5" s="1"/>
  <c r="EF9" i="13" s="1"/>
  <c r="EE18" i="5"/>
  <c r="EE20" i="5" s="1"/>
  <c r="ED9" i="13" s="1"/>
  <c r="EE12" i="5"/>
  <c r="ED9" i="8" s="1"/>
  <c r="EE11" i="5"/>
  <c r="EE10" i="5"/>
  <c r="EF10" i="5"/>
  <c r="EF12" i="5" s="1"/>
  <c r="EE9" i="8" s="1"/>
  <c r="EG10" i="5"/>
  <c r="EG11" i="5" s="1"/>
  <c r="EG54" i="7" l="1"/>
  <c r="EF42" i="4"/>
  <c r="EG12" i="7"/>
  <c r="EF9" i="26" s="1"/>
  <c r="EF11" i="5"/>
  <c r="EG57" i="5"/>
  <c r="EE19" i="6"/>
  <c r="EE57" i="5"/>
  <c r="EF73" i="5"/>
  <c r="EF75" i="5" s="1"/>
  <c r="EE65" i="6"/>
  <c r="ED8" i="14" s="1"/>
  <c r="EE73" i="5"/>
  <c r="EE75" i="5" s="1"/>
  <c r="EF20" i="6"/>
  <c r="EE8" i="13" s="1"/>
  <c r="EE54" i="7"/>
  <c r="EG19" i="6"/>
  <c r="EF67" i="6"/>
  <c r="EF55" i="7"/>
  <c r="EE12" i="15" s="1"/>
  <c r="EG67" i="4"/>
  <c r="EE67" i="4"/>
  <c r="EG57" i="7"/>
  <c r="EF28" i="6"/>
  <c r="EG89" i="4"/>
  <c r="EE42" i="4"/>
  <c r="EE42" i="6"/>
  <c r="EF41" i="6"/>
  <c r="EG74" i="6"/>
  <c r="EG41" i="4"/>
  <c r="EG88" i="5"/>
  <c r="EE89" i="4"/>
  <c r="EF35" i="7"/>
  <c r="EE8" i="26" s="1"/>
  <c r="EE75" i="6"/>
  <c r="EE35" i="7"/>
  <c r="ED8" i="26" s="1"/>
  <c r="EF89" i="5"/>
  <c r="EE89" i="6"/>
  <c r="EG82" i="7"/>
  <c r="EF82" i="7"/>
  <c r="EF88" i="4"/>
  <c r="EF89" i="4"/>
  <c r="EE28" i="4"/>
  <c r="EG35" i="7"/>
  <c r="EF8" i="26" s="1"/>
  <c r="EE82" i="7"/>
  <c r="EE88" i="5"/>
  <c r="EE81" i="5"/>
  <c r="EG82" i="5"/>
  <c r="EF81" i="5"/>
  <c r="EG74" i="5"/>
  <c r="EG64" i="5"/>
  <c r="EE64" i="5"/>
  <c r="EE67" i="5"/>
  <c r="EF57" i="5"/>
  <c r="EF41" i="5"/>
  <c r="EG41" i="5"/>
  <c r="EE41" i="5"/>
  <c r="EG27" i="5"/>
  <c r="EF27" i="5"/>
  <c r="EE27" i="5"/>
  <c r="EG67" i="5"/>
  <c r="EF67" i="5"/>
  <c r="EE19" i="5"/>
  <c r="EF11" i="7"/>
  <c r="EE12" i="7"/>
  <c r="EF57" i="7"/>
  <c r="EE57" i="7"/>
  <c r="EE9" i="26"/>
  <c r="EE5" i="26"/>
  <c r="EE12" i="8"/>
  <c r="EG89" i="6"/>
  <c r="EF89" i="6"/>
  <c r="EG65" i="6"/>
  <c r="EF8" i="14" s="1"/>
  <c r="EG67" i="6"/>
  <c r="EG41" i="6"/>
  <c r="EG28" i="6"/>
  <c r="EE28" i="6"/>
  <c r="EE75" i="4"/>
  <c r="EE19" i="4"/>
  <c r="EG19" i="4"/>
  <c r="EF65" i="5"/>
  <c r="EE9" i="14" s="1"/>
  <c r="EG19" i="5"/>
  <c r="EF20" i="5"/>
  <c r="EE9" i="13" s="1"/>
  <c r="EG12" i="5"/>
  <c r="EF9" i="8" s="1"/>
  <c r="EE80" i="2"/>
  <c r="EE81" i="2" s="1"/>
  <c r="EF80" i="2"/>
  <c r="EF82" i="2" s="1"/>
  <c r="EG80" i="2"/>
  <c r="EG82" i="2" s="1"/>
  <c r="EG72" i="2"/>
  <c r="EG73" i="2" s="1"/>
  <c r="EG75" i="2" s="1"/>
  <c r="EF72" i="2"/>
  <c r="EE72" i="2"/>
  <c r="EF71" i="2"/>
  <c r="EF73" i="2" s="1"/>
  <c r="EE73" i="2"/>
  <c r="EG62" i="2"/>
  <c r="EF62" i="2"/>
  <c r="EF86" i="2" s="1"/>
  <c r="EE62" i="2"/>
  <c r="EG61" i="2"/>
  <c r="EG85" i="2" s="1"/>
  <c r="EF61" i="2"/>
  <c r="EE54" i="2"/>
  <c r="EE53" i="2"/>
  <c r="EF53" i="2"/>
  <c r="EF54" i="2" s="1"/>
  <c r="EG53" i="2"/>
  <c r="EG39" i="2"/>
  <c r="EE38" i="2"/>
  <c r="EG38" i="2"/>
  <c r="EE33" i="2"/>
  <c r="EE34" i="2" s="1"/>
  <c r="EF33" i="2"/>
  <c r="EF34" i="2" s="1"/>
  <c r="EG33" i="2"/>
  <c r="EG35" i="2" s="1"/>
  <c r="EG25" i="2"/>
  <c r="EF25" i="2"/>
  <c r="EE25" i="2"/>
  <c r="EE26" i="2" s="1"/>
  <c r="EE27" i="2" s="1"/>
  <c r="EG24" i="2"/>
  <c r="EF24" i="2"/>
  <c r="EE24" i="2"/>
  <c r="EF26" i="2"/>
  <c r="EF28" i="2" s="1"/>
  <c r="EG17" i="2"/>
  <c r="EG16" i="2"/>
  <c r="EF16" i="2"/>
  <c r="EF17" i="2"/>
  <c r="EF39" i="2" s="1"/>
  <c r="EE17" i="2"/>
  <c r="EE16" i="2"/>
  <c r="EE12" i="2"/>
  <c r="ED6" i="8" s="1"/>
  <c r="EE11" i="2"/>
  <c r="EE10" i="2"/>
  <c r="EF10" i="2"/>
  <c r="EF12" i="2" s="1"/>
  <c r="EE6" i="8" s="1"/>
  <c r="EG10" i="2"/>
  <c r="EG11" i="2" s="1"/>
  <c r="EF74" i="5" l="1"/>
  <c r="EE74" i="5"/>
  <c r="EF5" i="26"/>
  <c r="EF12" i="8"/>
  <c r="EF57" i="2"/>
  <c r="EF18" i="2"/>
  <c r="EF20" i="2" s="1"/>
  <c r="EE6" i="13" s="1"/>
  <c r="EF55" i="2"/>
  <c r="EE6" i="15" s="1"/>
  <c r="EF11" i="2"/>
  <c r="EE39" i="2"/>
  <c r="EE40" i="2" s="1"/>
  <c r="EE41" i="2" s="1"/>
  <c r="EF85" i="2"/>
  <c r="EF87" i="2" s="1"/>
  <c r="EF88" i="2" s="1"/>
  <c r="EF61" i="7"/>
  <c r="EE63" i="2"/>
  <c r="EE67" i="2" s="1"/>
  <c r="EE86" i="2"/>
  <c r="EE87" i="2" s="1"/>
  <c r="EE89" i="2" s="1"/>
  <c r="EG57" i="2"/>
  <c r="EE57" i="2"/>
  <c r="EE18" i="2"/>
  <c r="EE20" i="2" s="1"/>
  <c r="ED6" i="13" s="1"/>
  <c r="EF38" i="2"/>
  <c r="EF40" i="2" s="1"/>
  <c r="EG63" i="2"/>
  <c r="EG67" i="2" s="1"/>
  <c r="EG86" i="2"/>
  <c r="EG87" i="2" s="1"/>
  <c r="EG88" i="2" s="1"/>
  <c r="EG40" i="2"/>
  <c r="EG41" i="2" s="1"/>
  <c r="EG81" i="2"/>
  <c r="EE35" i="2"/>
  <c r="ED9" i="26"/>
  <c r="ED12" i="8"/>
  <c r="ED5" i="26"/>
  <c r="EF81" i="2"/>
  <c r="EE82" i="2"/>
  <c r="EG74" i="2"/>
  <c r="EF75" i="2"/>
  <c r="EF74" i="2"/>
  <c r="EE75" i="2"/>
  <c r="EE74" i="2"/>
  <c r="EF63" i="2"/>
  <c r="EF67" i="2" s="1"/>
  <c r="EG65" i="2"/>
  <c r="EF6" i="14" s="1"/>
  <c r="EF65" i="2"/>
  <c r="EE6" i="14" s="1"/>
  <c r="EG55" i="2"/>
  <c r="EF6" i="15" s="1"/>
  <c r="EG54" i="2"/>
  <c r="EE55" i="2"/>
  <c r="ED6" i="15" s="1"/>
  <c r="EG34" i="2"/>
  <c r="EF35" i="2"/>
  <c r="EG26" i="2"/>
  <c r="EG28" i="2" s="1"/>
  <c r="EF27" i="2"/>
  <c r="EE28" i="2"/>
  <c r="EG18" i="2"/>
  <c r="EG20" i="2" s="1"/>
  <c r="EF6" i="13" s="1"/>
  <c r="EF19" i="2"/>
  <c r="EG12" i="2"/>
  <c r="EF6" i="8" s="1"/>
  <c r="EE80" i="1"/>
  <c r="EE81" i="1" s="1"/>
  <c r="EF80" i="1"/>
  <c r="EF81" i="1" s="1"/>
  <c r="EG80" i="1"/>
  <c r="EG81" i="1" s="1"/>
  <c r="EG72" i="1"/>
  <c r="EF72" i="1"/>
  <c r="EF72" i="7" s="1"/>
  <c r="EE72" i="1"/>
  <c r="EE72" i="7" s="1"/>
  <c r="EG71" i="1"/>
  <c r="EF71" i="1"/>
  <c r="EE71" i="1"/>
  <c r="EE71" i="7" s="1"/>
  <c r="EG61" i="7"/>
  <c r="EG62" i="1"/>
  <c r="EF62" i="1"/>
  <c r="EE62" i="1"/>
  <c r="EE61" i="1"/>
  <c r="EE53" i="1"/>
  <c r="EE54" i="1" s="1"/>
  <c r="EF53" i="1"/>
  <c r="EF55" i="1" s="1"/>
  <c r="EE5" i="15" s="1"/>
  <c r="EG53" i="1"/>
  <c r="EG54" i="1" s="1"/>
  <c r="EE33" i="1"/>
  <c r="EE35" i="1" s="1"/>
  <c r="EF33" i="1"/>
  <c r="EF35" i="1" s="1"/>
  <c r="EG33" i="1"/>
  <c r="EG35" i="1" s="1"/>
  <c r="EG25" i="1"/>
  <c r="EG25" i="7" s="1"/>
  <c r="EF25" i="1"/>
  <c r="EF25" i="7" s="1"/>
  <c r="EE25" i="1"/>
  <c r="EE25" i="7" s="1"/>
  <c r="EG24" i="1"/>
  <c r="EG24" i="7" s="1"/>
  <c r="EF24" i="1"/>
  <c r="EF24" i="7" s="1"/>
  <c r="EE24" i="1"/>
  <c r="EG17" i="1"/>
  <c r="EF17" i="1"/>
  <c r="EE17" i="1"/>
  <c r="EG16" i="1"/>
  <c r="EF16" i="1"/>
  <c r="EE16" i="1"/>
  <c r="EF11" i="1"/>
  <c r="EE10" i="1"/>
  <c r="EE12" i="1" s="1"/>
  <c r="ED5" i="8" s="1"/>
  <c r="EF10" i="1"/>
  <c r="EF12" i="1" s="1"/>
  <c r="EE5" i="8" s="1"/>
  <c r="EG10" i="1"/>
  <c r="EE88" i="2" l="1"/>
  <c r="EG89" i="2"/>
  <c r="EF89" i="2"/>
  <c r="EE19" i="2"/>
  <c r="EE64" i="2"/>
  <c r="EE65" i="2"/>
  <c r="ED6" i="14" s="1"/>
  <c r="EG64" i="2"/>
  <c r="EF64" i="2"/>
  <c r="EE16" i="7"/>
  <c r="EE38" i="1"/>
  <c r="EF17" i="7"/>
  <c r="EF39" i="1"/>
  <c r="EF39" i="7" s="1"/>
  <c r="EF62" i="7"/>
  <c r="EF63" i="7" s="1"/>
  <c r="EF65" i="7" s="1"/>
  <c r="EE12" i="14" s="1"/>
  <c r="EF86" i="1"/>
  <c r="EF86" i="7" s="1"/>
  <c r="EF16" i="7"/>
  <c r="EF38" i="1"/>
  <c r="EG17" i="7"/>
  <c r="EG39" i="1"/>
  <c r="EG39" i="7" s="1"/>
  <c r="EG55" i="1"/>
  <c r="EF5" i="15" s="1"/>
  <c r="EG62" i="7"/>
  <c r="EG86" i="1"/>
  <c r="EG86" i="7" s="1"/>
  <c r="EF71" i="7"/>
  <c r="EF73" i="7" s="1"/>
  <c r="EF75" i="7" s="1"/>
  <c r="EE6" i="24" s="1"/>
  <c r="EF85" i="1"/>
  <c r="EG57" i="1"/>
  <c r="EE11" i="1"/>
  <c r="EG16" i="7"/>
  <c r="EG38" i="1"/>
  <c r="EF18" i="1"/>
  <c r="EF19" i="1" s="1"/>
  <c r="EE57" i="1"/>
  <c r="EE61" i="7"/>
  <c r="EE85" i="1"/>
  <c r="EG71" i="7"/>
  <c r="EG85" i="1"/>
  <c r="EE17" i="7"/>
  <c r="EE39" i="1"/>
  <c r="EE39" i="7" s="1"/>
  <c r="EG26" i="1"/>
  <c r="EG28" i="1" s="1"/>
  <c r="EE62" i="7"/>
  <c r="EE86" i="1"/>
  <c r="EE86" i="7" s="1"/>
  <c r="EF63" i="1"/>
  <c r="EG42" i="2"/>
  <c r="EE42" i="2"/>
  <c r="EE82" i="1"/>
  <c r="EF41" i="2"/>
  <c r="EF42" i="2"/>
  <c r="EG34" i="1"/>
  <c r="EE34" i="1"/>
  <c r="EE18" i="1"/>
  <c r="EE19" i="1" s="1"/>
  <c r="EE26" i="1"/>
  <c r="EE28" i="1" s="1"/>
  <c r="EE24" i="7"/>
  <c r="EF57" i="1"/>
  <c r="EG12" i="1"/>
  <c r="EF5" i="8" s="1"/>
  <c r="EF20" i="1"/>
  <c r="EE5" i="13" s="1"/>
  <c r="EF26" i="7"/>
  <c r="EF27" i="7" s="1"/>
  <c r="EG11" i="1"/>
  <c r="EG18" i="1"/>
  <c r="EG26" i="7"/>
  <c r="EG27" i="7" s="1"/>
  <c r="EF34" i="1"/>
  <c r="EF54" i="1"/>
  <c r="EE55" i="1"/>
  <c r="ED5" i="15" s="1"/>
  <c r="EG63" i="7"/>
  <c r="EG64" i="7" s="1"/>
  <c r="EF82" i="1"/>
  <c r="EE73" i="7"/>
  <c r="EE74" i="7" s="1"/>
  <c r="EG73" i="1"/>
  <c r="EG75" i="1" s="1"/>
  <c r="EG72" i="7"/>
  <c r="EG27" i="2"/>
  <c r="EG19" i="2"/>
  <c r="EG82" i="1"/>
  <c r="EF73" i="1"/>
  <c r="EF75" i="1" s="1"/>
  <c r="EE73" i="1"/>
  <c r="EE75" i="1" s="1"/>
  <c r="EG63" i="1"/>
  <c r="EG64" i="1" s="1"/>
  <c r="EF64" i="1"/>
  <c r="EE63" i="1"/>
  <c r="EE65" i="1" s="1"/>
  <c r="ED5" i="14" s="1"/>
  <c r="EF65" i="1"/>
  <c r="EE5" i="14" s="1"/>
  <c r="EF26" i="1"/>
  <c r="EF28" i="1" s="1"/>
  <c r="EC72" i="1"/>
  <c r="EC71" i="1"/>
  <c r="EF18" i="7" l="1"/>
  <c r="EF20" i="7" s="1"/>
  <c r="EE12" i="13" s="1"/>
  <c r="EE63" i="7"/>
  <c r="EE64" i="7" s="1"/>
  <c r="EE18" i="7"/>
  <c r="EE20" i="7" s="1"/>
  <c r="EG18" i="7"/>
  <c r="EG19" i="7" s="1"/>
  <c r="EF67" i="1"/>
  <c r="EG27" i="1"/>
  <c r="EE40" i="1"/>
  <c r="EE41" i="1" s="1"/>
  <c r="EE38" i="7"/>
  <c r="EG85" i="7"/>
  <c r="EG87" i="1"/>
  <c r="EF40" i="1"/>
  <c r="EF38" i="7"/>
  <c r="EE85" i="7"/>
  <c r="EE87" i="1"/>
  <c r="EE88" i="1" s="1"/>
  <c r="EG38" i="7"/>
  <c r="EG40" i="1"/>
  <c r="EF85" i="7"/>
  <c r="EF87" i="7" s="1"/>
  <c r="EF88" i="7" s="1"/>
  <c r="EF87" i="1"/>
  <c r="EF88" i="1" s="1"/>
  <c r="EE74" i="1"/>
  <c r="EE27" i="1"/>
  <c r="EF74" i="1"/>
  <c r="EG28" i="7"/>
  <c r="EF7" i="26" s="1"/>
  <c r="EF19" i="7"/>
  <c r="EE19" i="7"/>
  <c r="ED6" i="26"/>
  <c r="ED12" i="13"/>
  <c r="EG74" i="1"/>
  <c r="EG67" i="7"/>
  <c r="EF74" i="7"/>
  <c r="EF64" i="7"/>
  <c r="EF67" i="7"/>
  <c r="EE20" i="1"/>
  <c r="ED5" i="13" s="1"/>
  <c r="EE26" i="7"/>
  <c r="EE28" i="7" s="1"/>
  <c r="EE75" i="7"/>
  <c r="ED6" i="24" s="1"/>
  <c r="EG65" i="7"/>
  <c r="EF12" i="14" s="1"/>
  <c r="EF28" i="7"/>
  <c r="EG73" i="7"/>
  <c r="EG74" i="7" s="1"/>
  <c r="EE67" i="7"/>
  <c r="EG19" i="1"/>
  <c r="EG20" i="1"/>
  <c r="EF5" i="13" s="1"/>
  <c r="EG20" i="7"/>
  <c r="EG65" i="1"/>
  <c r="EF5" i="14" s="1"/>
  <c r="EG67" i="1"/>
  <c r="EE67" i="1"/>
  <c r="EE64" i="1"/>
  <c r="EF27" i="1"/>
  <c r="ED16" i="1"/>
  <c r="EC16" i="1"/>
  <c r="EB16" i="1"/>
  <c r="DM16" i="1"/>
  <c r="EC71" i="6"/>
  <c r="EE6" i="26" l="1"/>
  <c r="EE65" i="7"/>
  <c r="ED12" i="14" s="1"/>
  <c r="EE89" i="1"/>
  <c r="EF89" i="1"/>
  <c r="EE87" i="7"/>
  <c r="EE89" i="7" s="1"/>
  <c r="EF40" i="7"/>
  <c r="EF42" i="1"/>
  <c r="EG87" i="7"/>
  <c r="EG89" i="7" s="1"/>
  <c r="EF89" i="7"/>
  <c r="EG41" i="1"/>
  <c r="EG40" i="7"/>
  <c r="EG42" i="7" s="1"/>
  <c r="EF41" i="1"/>
  <c r="EG42" i="1"/>
  <c r="EG89" i="1"/>
  <c r="EG88" i="1"/>
  <c r="EE42" i="1"/>
  <c r="EE40" i="7"/>
  <c r="EF5" i="24"/>
  <c r="EE27" i="7"/>
  <c r="EG75" i="7"/>
  <c r="EF6" i="24" s="1"/>
  <c r="EF12" i="13"/>
  <c r="EF6" i="26"/>
  <c r="EE7" i="26"/>
  <c r="EE5" i="24"/>
  <c r="ED7" i="26"/>
  <c r="ED5" i="24"/>
  <c r="ED55" i="5"/>
  <c r="EB54" i="5"/>
  <c r="ED54" i="5"/>
  <c r="EC53" i="5"/>
  <c r="ED53" i="5"/>
  <c r="EB53" i="5"/>
  <c r="EB55" i="5" s="1"/>
  <c r="EA9" i="15" s="1"/>
  <c r="EC9" i="15"/>
  <c r="EB78" i="7"/>
  <c r="EC78" i="7"/>
  <c r="ED78" i="7"/>
  <c r="EB79" i="7"/>
  <c r="EC79" i="7"/>
  <c r="ED79" i="7"/>
  <c r="EB52" i="7"/>
  <c r="EC52" i="7"/>
  <c r="ED52" i="7"/>
  <c r="EB51" i="7"/>
  <c r="EC51" i="7"/>
  <c r="ED51" i="7"/>
  <c r="EB32" i="7"/>
  <c r="EC32" i="7"/>
  <c r="ED32" i="7"/>
  <c r="EB31" i="7"/>
  <c r="EC31" i="7"/>
  <c r="ED31" i="7"/>
  <c r="EB9" i="7"/>
  <c r="EC9" i="7"/>
  <c r="ED9" i="7"/>
  <c r="EB8" i="7"/>
  <c r="EC8" i="7"/>
  <c r="ED8" i="7"/>
  <c r="EB86" i="6"/>
  <c r="ED86" i="6"/>
  <c r="EB85" i="6"/>
  <c r="EC85" i="6"/>
  <c r="EB80" i="6"/>
  <c r="EB81" i="6" s="1"/>
  <c r="EC80" i="6"/>
  <c r="EC82" i="6" s="1"/>
  <c r="ED80" i="6"/>
  <c r="ED82" i="6" s="1"/>
  <c r="ED72" i="6"/>
  <c r="EC72" i="6"/>
  <c r="EB72" i="6"/>
  <c r="EB73" i="6" s="1"/>
  <c r="EB75" i="6" s="1"/>
  <c r="ED71" i="6"/>
  <c r="ED73" i="6" s="1"/>
  <c r="ED75" i="6" s="1"/>
  <c r="EB71" i="6"/>
  <c r="EA71" i="6"/>
  <c r="DZ71" i="6"/>
  <c r="ED62" i="6"/>
  <c r="EC62" i="6"/>
  <c r="EC63" i="6" s="1"/>
  <c r="EB62" i="6"/>
  <c r="ED61" i="6"/>
  <c r="ED85" i="6" s="1"/>
  <c r="EC61" i="6"/>
  <c r="EB61" i="6"/>
  <c r="EB57" i="6"/>
  <c r="EB55" i="6"/>
  <c r="EA8" i="15" s="1"/>
  <c r="EC55" i="6"/>
  <c r="EB8" i="15" s="1"/>
  <c r="ED54" i="6"/>
  <c r="EB53" i="6"/>
  <c r="EB54" i="6" s="1"/>
  <c r="EC53" i="6"/>
  <c r="EC54" i="6" s="1"/>
  <c r="ED53" i="6"/>
  <c r="ED55" i="6" s="1"/>
  <c r="EC8" i="15" s="1"/>
  <c r="EB39" i="6"/>
  <c r="EC38" i="6"/>
  <c r="EB33" i="6"/>
  <c r="EB35" i="6" s="1"/>
  <c r="EC33" i="6"/>
  <c r="EC34" i="6" s="1"/>
  <c r="ED33" i="6"/>
  <c r="ED34" i="6" s="1"/>
  <c r="ED25" i="6"/>
  <c r="EC25" i="6"/>
  <c r="EB25" i="6"/>
  <c r="ED24" i="6"/>
  <c r="ED38" i="6" s="1"/>
  <c r="EC24" i="6"/>
  <c r="EB24" i="6"/>
  <c r="ED17" i="6"/>
  <c r="ED18" i="6" s="1"/>
  <c r="ED19" i="6" s="1"/>
  <c r="EC17" i="6"/>
  <c r="EC39" i="6" s="1"/>
  <c r="EB17" i="6"/>
  <c r="ED16" i="6"/>
  <c r="EC16" i="6"/>
  <c r="EB16" i="6"/>
  <c r="EB38" i="6" s="1"/>
  <c r="EB12" i="6"/>
  <c r="EA8" i="8" s="1"/>
  <c r="EC12" i="6"/>
  <c r="EB8" i="8" s="1"/>
  <c r="EB11" i="6"/>
  <c r="EC11" i="6"/>
  <c r="EB10" i="6"/>
  <c r="EC10" i="6"/>
  <c r="ED10" i="6"/>
  <c r="ED12" i="6" s="1"/>
  <c r="EC8" i="8" s="1"/>
  <c r="EC67" i="6" l="1"/>
  <c r="ED57" i="6"/>
  <c r="EC54" i="5"/>
  <c r="EC57" i="6"/>
  <c r="EC86" i="6"/>
  <c r="EC87" i="6" s="1"/>
  <c r="EC88" i="6" s="1"/>
  <c r="EC55" i="5"/>
  <c r="EB9" i="15" s="1"/>
  <c r="ED39" i="6"/>
  <c r="ED40" i="6" s="1"/>
  <c r="ED41" i="6" s="1"/>
  <c r="ED11" i="6"/>
  <c r="ED26" i="6"/>
  <c r="ED28" i="6" s="1"/>
  <c r="EG41" i="7"/>
  <c r="EC10" i="7"/>
  <c r="EC11" i="7" s="1"/>
  <c r="EE42" i="7"/>
  <c r="EE41" i="7"/>
  <c r="EF41" i="7"/>
  <c r="EF42" i="7"/>
  <c r="EG88" i="7"/>
  <c r="EE88" i="7"/>
  <c r="ED87" i="6"/>
  <c r="ED88" i="6" s="1"/>
  <c r="EB10" i="7"/>
  <c r="EB11" i="7" s="1"/>
  <c r="EB53" i="7"/>
  <c r="EB57" i="7" s="1"/>
  <c r="EB40" i="6"/>
  <c r="EB41" i="6" s="1"/>
  <c r="EC40" i="6"/>
  <c r="EC42" i="6" s="1"/>
  <c r="EC81" i="6"/>
  <c r="ED53" i="7"/>
  <c r="ED54" i="7" s="1"/>
  <c r="EC53" i="7"/>
  <c r="EC57" i="7" s="1"/>
  <c r="EB12" i="7"/>
  <c r="ED10" i="7"/>
  <c r="ED11" i="7" s="1"/>
  <c r="EB87" i="6"/>
  <c r="EB88" i="6" s="1"/>
  <c r="EB82" i="6"/>
  <c r="ED81" i="6"/>
  <c r="ED35" i="6"/>
  <c r="EC35" i="6"/>
  <c r="EB33" i="7"/>
  <c r="EB34" i="7" s="1"/>
  <c r="EB34" i="6"/>
  <c r="ED33" i="7"/>
  <c r="ED35" i="7" s="1"/>
  <c r="EC8" i="26" s="1"/>
  <c r="EC33" i="7"/>
  <c r="EC34" i="7" s="1"/>
  <c r="EB80" i="7"/>
  <c r="EB81" i="7" s="1"/>
  <c r="ED80" i="7"/>
  <c r="ED81" i="7" s="1"/>
  <c r="EC80" i="7"/>
  <c r="EC82" i="7" s="1"/>
  <c r="ED74" i="6"/>
  <c r="EC73" i="6"/>
  <c r="EC75" i="6" s="1"/>
  <c r="EB74" i="6"/>
  <c r="ED63" i="6"/>
  <c r="ED67" i="6" s="1"/>
  <c r="EC64" i="6"/>
  <c r="EB63" i="6"/>
  <c r="EC65" i="6"/>
  <c r="EB8" i="14" s="1"/>
  <c r="EB65" i="6"/>
  <c r="EA8" i="14" s="1"/>
  <c r="EC26" i="6"/>
  <c r="EC28" i="6" s="1"/>
  <c r="EB26" i="6"/>
  <c r="EB28" i="6" s="1"/>
  <c r="EC18" i="6"/>
  <c r="EC20" i="6" s="1"/>
  <c r="EB8" i="13" s="1"/>
  <c r="EB18" i="6"/>
  <c r="ED20" i="6"/>
  <c r="EC8" i="13" s="1"/>
  <c r="EC19" i="6"/>
  <c r="EB19" i="6"/>
  <c r="EB20" i="6"/>
  <c r="EA8" i="13" s="1"/>
  <c r="EB80" i="4"/>
  <c r="EB82" i="4" s="1"/>
  <c r="EC80" i="4"/>
  <c r="EC81" i="4" s="1"/>
  <c r="ED80" i="4"/>
  <c r="ED82" i="4" s="1"/>
  <c r="ED72" i="4"/>
  <c r="EC72" i="4"/>
  <c r="EB72" i="4"/>
  <c r="EB73" i="4" s="1"/>
  <c r="ED62" i="4"/>
  <c r="ED63" i="4" s="1"/>
  <c r="ED65" i="4" s="1"/>
  <c r="EC7" i="14" s="1"/>
  <c r="EC62" i="4"/>
  <c r="EB62" i="4"/>
  <c r="EB86" i="4" s="1"/>
  <c r="EB86" i="7" s="1"/>
  <c r="ED61" i="4"/>
  <c r="ED85" i="4" s="1"/>
  <c r="ED85" i="7" s="1"/>
  <c r="EC61" i="4"/>
  <c r="EC85" i="4" s="1"/>
  <c r="EC85" i="7" s="1"/>
  <c r="EB61" i="4"/>
  <c r="EB85" i="4" s="1"/>
  <c r="EB85" i="7" s="1"/>
  <c r="EC55" i="4"/>
  <c r="EB7" i="15" s="1"/>
  <c r="EB54" i="4"/>
  <c r="ED54" i="4"/>
  <c r="EB53" i="4"/>
  <c r="EB55" i="4" s="1"/>
  <c r="EA7" i="15" s="1"/>
  <c r="EC53" i="4"/>
  <c r="EC54" i="4" s="1"/>
  <c r="ED53" i="4"/>
  <c r="ED55" i="4" s="1"/>
  <c r="EC7" i="15" s="1"/>
  <c r="EB33" i="4"/>
  <c r="EB35" i="4" s="1"/>
  <c r="EC33" i="4"/>
  <c r="EC35" i="4" s="1"/>
  <c r="ED33" i="4"/>
  <c r="ED34" i="4" s="1"/>
  <c r="EC26" i="4"/>
  <c r="EC28" i="4" s="1"/>
  <c r="ED25" i="4"/>
  <c r="ED26" i="4" s="1"/>
  <c r="ED28" i="4" s="1"/>
  <c r="EC25" i="4"/>
  <c r="EB25" i="4"/>
  <c r="EB26" i="4" s="1"/>
  <c r="EB28" i="4" s="1"/>
  <c r="ED17" i="4"/>
  <c r="EC17" i="4"/>
  <c r="EC39" i="4" s="1"/>
  <c r="EB17" i="4"/>
  <c r="ED16" i="4"/>
  <c r="EC16" i="4"/>
  <c r="EB16" i="4"/>
  <c r="EB10" i="4"/>
  <c r="EB12" i="4" s="1"/>
  <c r="EA7" i="8" s="1"/>
  <c r="EC10" i="4"/>
  <c r="EC12" i="4" s="1"/>
  <c r="EB7" i="8" s="1"/>
  <c r="ED10" i="4"/>
  <c r="ED12" i="4" s="1"/>
  <c r="EC7" i="8" s="1"/>
  <c r="ED27" i="6" l="1"/>
  <c r="EB54" i="7"/>
  <c r="EC86" i="4"/>
  <c r="EC86" i="7" s="1"/>
  <c r="EC87" i="7" s="1"/>
  <c r="ED57" i="4"/>
  <c r="EB57" i="4"/>
  <c r="ED64" i="6"/>
  <c r="ED11" i="4"/>
  <c r="EC18" i="4"/>
  <c r="EC19" i="4" s="1"/>
  <c r="ED65" i="6"/>
  <c r="EC8" i="14" s="1"/>
  <c r="EB67" i="6"/>
  <c r="EB11" i="4"/>
  <c r="ED42" i="6"/>
  <c r="ED57" i="7"/>
  <c r="EC12" i="7"/>
  <c r="EB5" i="26" s="1"/>
  <c r="ED55" i="7"/>
  <c r="EC12" i="15" s="1"/>
  <c r="EB55" i="7"/>
  <c r="EA12" i="15" s="1"/>
  <c r="ED12" i="7"/>
  <c r="EC5" i="26" s="1"/>
  <c r="ED89" i="6"/>
  <c r="EB42" i="6"/>
  <c r="EC20" i="4"/>
  <c r="EB7" i="13" s="1"/>
  <c r="EC38" i="4"/>
  <c r="EC40" i="4" s="1"/>
  <c r="EC41" i="4" s="1"/>
  <c r="EB39" i="4"/>
  <c r="EC73" i="4"/>
  <c r="EC74" i="4" s="1"/>
  <c r="EC11" i="4"/>
  <c r="ED18" i="4"/>
  <c r="ED19" i="4" s="1"/>
  <c r="EB38" i="4"/>
  <c r="EC57" i="4"/>
  <c r="ED39" i="4"/>
  <c r="ED86" i="4"/>
  <c r="ED86" i="7" s="1"/>
  <c r="ED87" i="7" s="1"/>
  <c r="EB18" i="4"/>
  <c r="EB19" i="4" s="1"/>
  <c r="ED38" i="4"/>
  <c r="EC55" i="7"/>
  <c r="EB12" i="15" s="1"/>
  <c r="EC89" i="6"/>
  <c r="EC41" i="6"/>
  <c r="EC82" i="4"/>
  <c r="EC27" i="4"/>
  <c r="EC34" i="4"/>
  <c r="ED34" i="7"/>
  <c r="EC54" i="7"/>
  <c r="EA9" i="26"/>
  <c r="EA5" i="26"/>
  <c r="EA12" i="8"/>
  <c r="EB89" i="6"/>
  <c r="EB27" i="6"/>
  <c r="EB81" i="4"/>
  <c r="EC87" i="4"/>
  <c r="EC88" i="4" s="1"/>
  <c r="ED81" i="4"/>
  <c r="EB27" i="4"/>
  <c r="ED35" i="4"/>
  <c r="ED27" i="4"/>
  <c r="ED82" i="7"/>
  <c r="EB35" i="7"/>
  <c r="EA8" i="26" s="1"/>
  <c r="EC81" i="7"/>
  <c r="EB87" i="7"/>
  <c r="EB88" i="7" s="1"/>
  <c r="EC27" i="6"/>
  <c r="EB87" i="4"/>
  <c r="EB34" i="4"/>
  <c r="EB82" i="7"/>
  <c r="EC35" i="7"/>
  <c r="EB8" i="26" s="1"/>
  <c r="EC74" i="6"/>
  <c r="EB64" i="6"/>
  <c r="ED73" i="4"/>
  <c r="ED74" i="4" s="1"/>
  <c r="EB74" i="4"/>
  <c r="EB75" i="4"/>
  <c r="EC63" i="4"/>
  <c r="EB63" i="4"/>
  <c r="ED64" i="4"/>
  <c r="ED89" i="2"/>
  <c r="EB88" i="2"/>
  <c r="ED88" i="2"/>
  <c r="EB87" i="2"/>
  <c r="EB89" i="2" s="1"/>
  <c r="EC87" i="2"/>
  <c r="EC89" i="2" s="1"/>
  <c r="ED87" i="2"/>
  <c r="EB80" i="2"/>
  <c r="EB81" i="2" s="1"/>
  <c r="EC80" i="2"/>
  <c r="EC82" i="2" s="1"/>
  <c r="ED80" i="2"/>
  <c r="ED82" i="2" s="1"/>
  <c r="ED72" i="2"/>
  <c r="EC72" i="2"/>
  <c r="EC72" i="7" s="1"/>
  <c r="EB72" i="2"/>
  <c r="ED71" i="2"/>
  <c r="ED73" i="2" s="1"/>
  <c r="ED75" i="2" s="1"/>
  <c r="EC71" i="2"/>
  <c r="EB71" i="2"/>
  <c r="ED62" i="2"/>
  <c r="EC62" i="2"/>
  <c r="EB62" i="2"/>
  <c r="ED61" i="2"/>
  <c r="ED63" i="2" s="1"/>
  <c r="EC61" i="2"/>
  <c r="EC63" i="2" s="1"/>
  <c r="EB61" i="2"/>
  <c r="ED55" i="2"/>
  <c r="EC6" i="15" s="1"/>
  <c r="EB54" i="2"/>
  <c r="ED54" i="2"/>
  <c r="EB53" i="2"/>
  <c r="EB55" i="2" s="1"/>
  <c r="EA6" i="15" s="1"/>
  <c r="EC53" i="2"/>
  <c r="EC55" i="2" s="1"/>
  <c r="EB6" i="15" s="1"/>
  <c r="ED53" i="2"/>
  <c r="ED17" i="2"/>
  <c r="ED38" i="2"/>
  <c r="EB33" i="2"/>
  <c r="EB35" i="2" s="1"/>
  <c r="EC33" i="2"/>
  <c r="EC34" i="2" s="1"/>
  <c r="ED33" i="2"/>
  <c r="ED35" i="2" s="1"/>
  <c r="ED26" i="2"/>
  <c r="ED27" i="2" s="1"/>
  <c r="EC25" i="2"/>
  <c r="EB25" i="2"/>
  <c r="EB39" i="2" s="1"/>
  <c r="ED25" i="2"/>
  <c r="ED39" i="2" s="1"/>
  <c r="ED24" i="2"/>
  <c r="EC24" i="2"/>
  <c r="EC26" i="2" s="1"/>
  <c r="EC27" i="2" s="1"/>
  <c r="EB24" i="2"/>
  <c r="EB26" i="2" s="1"/>
  <c r="EB27" i="2" s="1"/>
  <c r="EC17" i="2"/>
  <c r="EC39" i="2" s="1"/>
  <c r="EC39" i="7" s="1"/>
  <c r="EB17" i="2"/>
  <c r="ED16" i="2"/>
  <c r="ED16" i="7" s="1"/>
  <c r="EC16" i="2"/>
  <c r="EC18" i="2" s="1"/>
  <c r="EC19" i="2" s="1"/>
  <c r="EB16" i="2"/>
  <c r="EB18" i="2" s="1"/>
  <c r="EB19" i="2" s="1"/>
  <c r="EB11" i="2"/>
  <c r="EC11" i="2"/>
  <c r="EB10" i="2"/>
  <c r="EB12" i="2" s="1"/>
  <c r="EA6" i="8" s="1"/>
  <c r="EC10" i="2"/>
  <c r="EC12" i="2" s="1"/>
  <c r="EB6" i="8" s="1"/>
  <c r="ED10" i="2"/>
  <c r="ED11" i="2" s="1"/>
  <c r="EB9" i="26" l="1"/>
  <c r="EC64" i="2"/>
  <c r="EC67" i="2"/>
  <c r="EB20" i="2"/>
  <c r="EA6" i="13" s="1"/>
  <c r="ED64" i="2"/>
  <c r="EC38" i="2"/>
  <c r="EC38" i="7" s="1"/>
  <c r="EB57" i="2"/>
  <c r="ED65" i="2"/>
  <c r="EC6" i="14" s="1"/>
  <c r="EC57" i="2"/>
  <c r="EC20" i="2"/>
  <c r="EB6" i="13" s="1"/>
  <c r="EB38" i="2"/>
  <c r="EB38" i="7" s="1"/>
  <c r="EC54" i="2"/>
  <c r="EC88" i="2"/>
  <c r="EC16" i="7"/>
  <c r="EB16" i="7"/>
  <c r="ED18" i="2"/>
  <c r="ED19" i="2" s="1"/>
  <c r="EC75" i="4"/>
  <c r="EB40" i="4"/>
  <c r="EB41" i="4" s="1"/>
  <c r="EB63" i="2"/>
  <c r="EB67" i="2" s="1"/>
  <c r="ED87" i="4"/>
  <c r="ED88" i="4" s="1"/>
  <c r="EB12" i="8"/>
  <c r="EC12" i="8"/>
  <c r="EC9" i="26"/>
  <c r="ED40" i="4"/>
  <c r="ED41" i="4" s="1"/>
  <c r="EB39" i="7"/>
  <c r="EB65" i="4"/>
  <c r="EA7" i="14" s="1"/>
  <c r="EB67" i="4"/>
  <c r="EC65" i="4"/>
  <c r="EB7" i="14" s="1"/>
  <c r="EC67" i="4"/>
  <c r="ED67" i="4"/>
  <c r="ED38" i="7"/>
  <c r="EC64" i="4"/>
  <c r="EB20" i="4"/>
  <c r="EA7" i="13" s="1"/>
  <c r="ED20" i="4"/>
  <c r="EC7" i="13" s="1"/>
  <c r="EC42" i="4"/>
  <c r="EC89" i="4"/>
  <c r="ED28" i="2"/>
  <c r="EC28" i="2"/>
  <c r="ED34" i="2"/>
  <c r="ED57" i="2"/>
  <c r="ED12" i="2"/>
  <c r="EC6" i="8" s="1"/>
  <c r="EB89" i="7"/>
  <c r="EC81" i="2"/>
  <c r="EB34" i="2"/>
  <c r="ED89" i="7"/>
  <c r="ED88" i="7"/>
  <c r="ED75" i="4"/>
  <c r="EB89" i="4"/>
  <c r="EB88" i="4"/>
  <c r="EC88" i="7"/>
  <c r="EC89" i="7"/>
  <c r="ED81" i="2"/>
  <c r="EB28" i="2"/>
  <c r="EC35" i="2"/>
  <c r="ED40" i="2"/>
  <c r="ED39" i="7"/>
  <c r="EB64" i="4"/>
  <c r="EB82" i="2"/>
  <c r="EC73" i="2"/>
  <c r="EC75" i="2" s="1"/>
  <c r="EB73" i="2"/>
  <c r="EB74" i="2" s="1"/>
  <c r="ED74" i="2"/>
  <c r="EC65" i="2"/>
  <c r="EB6" i="14" s="1"/>
  <c r="EB64" i="2"/>
  <c r="EB65" i="2"/>
  <c r="EA6" i="14" s="1"/>
  <c r="ED20" i="2"/>
  <c r="EC6" i="13" s="1"/>
  <c r="EB87" i="1"/>
  <c r="EB88" i="1" s="1"/>
  <c r="EC87" i="1"/>
  <c r="EC88" i="1" s="1"/>
  <c r="ED87" i="1"/>
  <c r="ED89" i="1" s="1"/>
  <c r="EB80" i="1"/>
  <c r="EB81" i="1" s="1"/>
  <c r="EC80" i="1"/>
  <c r="EC82" i="1" s="1"/>
  <c r="ED80" i="1"/>
  <c r="ED81" i="1" s="1"/>
  <c r="EC73" i="1"/>
  <c r="EC74" i="1" s="1"/>
  <c r="ED72" i="1"/>
  <c r="ED72" i="7" s="1"/>
  <c r="EB72" i="1"/>
  <c r="EB72" i="7" s="1"/>
  <c r="ED62" i="1"/>
  <c r="EC62" i="1"/>
  <c r="EC62" i="7" s="1"/>
  <c r="EB62" i="1"/>
  <c r="EB62" i="7" s="1"/>
  <c r="EB53" i="1"/>
  <c r="EB54" i="1" s="1"/>
  <c r="EC53" i="1"/>
  <c r="EC55" i="1" s="1"/>
  <c r="EB5" i="15" s="1"/>
  <c r="ED53" i="1"/>
  <c r="ED54" i="1" s="1"/>
  <c r="ED71" i="1"/>
  <c r="EB71" i="1"/>
  <c r="ED61" i="1"/>
  <c r="ED61" i="7" s="1"/>
  <c r="EC61" i="1"/>
  <c r="EC61" i="7" s="1"/>
  <c r="EB61" i="1"/>
  <c r="EB61" i="7" s="1"/>
  <c r="EC41" i="1"/>
  <c r="EB40" i="1"/>
  <c r="EB41" i="1" s="1"/>
  <c r="EC40" i="1"/>
  <c r="EC42" i="1" s="1"/>
  <c r="ED40" i="1"/>
  <c r="ED42" i="1" s="1"/>
  <c r="EB33" i="1"/>
  <c r="EB35" i="1" s="1"/>
  <c r="EC33" i="1"/>
  <c r="EC35" i="1" s="1"/>
  <c r="ED33" i="1"/>
  <c r="ED34" i="1" s="1"/>
  <c r="ED25" i="1"/>
  <c r="ED25" i="7" s="1"/>
  <c r="EC25" i="1"/>
  <c r="EC25" i="7" s="1"/>
  <c r="EB25" i="1"/>
  <c r="EB25" i="7" s="1"/>
  <c r="DP24" i="1"/>
  <c r="EC18" i="1"/>
  <c r="ED17" i="1"/>
  <c r="ED17" i="7" s="1"/>
  <c r="EC17" i="1"/>
  <c r="EC17" i="7" s="1"/>
  <c r="EB17" i="1"/>
  <c r="EB17" i="7" s="1"/>
  <c r="ED10" i="1"/>
  <c r="ED11" i="1" s="1"/>
  <c r="EC11" i="1"/>
  <c r="EC10" i="1"/>
  <c r="EC12" i="1" s="1"/>
  <c r="EB5" i="8" s="1"/>
  <c r="EB10" i="1"/>
  <c r="EB12" i="1" s="1"/>
  <c r="EA5" i="8" s="1"/>
  <c r="ED24" i="1"/>
  <c r="ED24" i="7" s="1"/>
  <c r="EC24" i="1"/>
  <c r="EC24" i="7" s="1"/>
  <c r="EB24" i="1"/>
  <c r="EB24" i="7" s="1"/>
  <c r="EB40" i="2" l="1"/>
  <c r="EB42" i="2" s="1"/>
  <c r="ED89" i="4"/>
  <c r="EB42" i="4"/>
  <c r="EC40" i="2"/>
  <c r="EC42" i="2" s="1"/>
  <c r="EC57" i="1"/>
  <c r="ED41" i="1"/>
  <c r="ED67" i="2"/>
  <c r="ED88" i="1"/>
  <c r="EC54" i="1"/>
  <c r="ED42" i="4"/>
  <c r="ED26" i="1"/>
  <c r="ED27" i="1" s="1"/>
  <c r="EC89" i="1"/>
  <c r="EC26" i="1"/>
  <c r="EC27" i="1" s="1"/>
  <c r="ED57" i="1"/>
  <c r="ED12" i="1"/>
  <c r="EC5" i="8" s="1"/>
  <c r="ED18" i="1"/>
  <c r="ED20" i="1" s="1"/>
  <c r="EC5" i="13" s="1"/>
  <c r="ED55" i="1"/>
  <c r="EC5" i="15" s="1"/>
  <c r="ED26" i="7"/>
  <c r="ED27" i="7" s="1"/>
  <c r="EC26" i="7"/>
  <c r="EC27" i="7" s="1"/>
  <c r="EC63" i="7"/>
  <c r="EC64" i="7" s="1"/>
  <c r="ED63" i="1"/>
  <c r="ED64" i="1" s="1"/>
  <c r="ED62" i="7"/>
  <c r="ED63" i="7" s="1"/>
  <c r="EB26" i="7"/>
  <c r="EB28" i="7" s="1"/>
  <c r="EB11" i="1"/>
  <c r="EB18" i="7"/>
  <c r="EB19" i="7" s="1"/>
  <c r="EB57" i="1"/>
  <c r="EB73" i="1"/>
  <c r="EB75" i="1" s="1"/>
  <c r="EC18" i="7"/>
  <c r="EC19" i="7" s="1"/>
  <c r="EB18" i="1"/>
  <c r="EB20" i="1" s="1"/>
  <c r="EA5" i="13" s="1"/>
  <c r="EB26" i="1"/>
  <c r="EB28" i="1" s="1"/>
  <c r="EB42" i="1"/>
  <c r="EC63" i="1"/>
  <c r="EC64" i="1" s="1"/>
  <c r="EB55" i="1"/>
  <c r="EA5" i="15" s="1"/>
  <c r="EB89" i="1"/>
  <c r="ED18" i="7"/>
  <c r="ED19" i="7" s="1"/>
  <c r="EB63" i="7"/>
  <c r="EB65" i="7" s="1"/>
  <c r="EA12" i="14" s="1"/>
  <c r="EB63" i="1"/>
  <c r="EB65" i="1" s="1"/>
  <c r="EA5" i="14" s="1"/>
  <c r="ED73" i="1"/>
  <c r="EC81" i="1"/>
  <c r="ED82" i="1"/>
  <c r="EC75" i="1"/>
  <c r="ED35" i="1"/>
  <c r="EB34" i="1"/>
  <c r="EC74" i="2"/>
  <c r="ED41" i="2"/>
  <c r="ED40" i="7"/>
  <c r="ED41" i="7" s="1"/>
  <c r="EB40" i="7"/>
  <c r="EB41" i="2"/>
  <c r="ED42" i="2"/>
  <c r="EB82" i="1"/>
  <c r="EC34" i="1"/>
  <c r="EB19" i="1"/>
  <c r="EC20" i="1"/>
  <c r="EB5" i="13" s="1"/>
  <c r="EC19" i="1"/>
  <c r="EB75" i="2"/>
  <c r="EC89" i="5"/>
  <c r="ED89" i="5"/>
  <c r="EC88" i="5"/>
  <c r="ED88" i="5"/>
  <c r="EB87" i="5"/>
  <c r="EB88" i="5" s="1"/>
  <c r="EC87" i="5"/>
  <c r="ED87" i="5"/>
  <c r="EB80" i="5"/>
  <c r="EB82" i="5" s="1"/>
  <c r="EC80" i="5"/>
  <c r="EC82" i="5" s="1"/>
  <c r="ED80" i="5"/>
  <c r="ED82" i="5" s="1"/>
  <c r="EB73" i="5"/>
  <c r="EB75" i="5" s="1"/>
  <c r="ED73" i="5"/>
  <c r="ED75" i="5" s="1"/>
  <c r="EB63" i="5"/>
  <c r="EB67" i="5" s="1"/>
  <c r="EC63" i="5"/>
  <c r="EC65" i="5" s="1"/>
  <c r="EB9" i="14" s="1"/>
  <c r="ED63" i="5"/>
  <c r="ED67" i="5" s="1"/>
  <c r="EB71" i="5"/>
  <c r="EB71" i="7" s="1"/>
  <c r="EB73" i="7" s="1"/>
  <c r="EB75" i="7" s="1"/>
  <c r="EA6" i="24" s="1"/>
  <c r="EC71" i="5"/>
  <c r="EC71" i="7" s="1"/>
  <c r="EC73" i="7" s="1"/>
  <c r="ED71" i="5"/>
  <c r="ED71" i="7" s="1"/>
  <c r="ED73" i="7" s="1"/>
  <c r="ED75" i="7" s="1"/>
  <c r="EC6" i="24" s="1"/>
  <c r="EB42" i="5"/>
  <c r="EC42" i="5"/>
  <c r="ED42" i="5"/>
  <c r="EB41" i="5"/>
  <c r="EC41" i="5"/>
  <c r="ED41" i="5"/>
  <c r="EB35" i="5"/>
  <c r="EC35" i="5"/>
  <c r="ED35" i="5"/>
  <c r="EB34" i="5"/>
  <c r="EC34" i="5"/>
  <c r="ED34" i="5"/>
  <c r="EB26" i="5"/>
  <c r="EB27" i="5" s="1"/>
  <c r="EC26" i="5"/>
  <c r="EC28" i="5" s="1"/>
  <c r="ED26" i="5"/>
  <c r="ED27" i="5" s="1"/>
  <c r="EB20" i="5"/>
  <c r="EA9" i="13" s="1"/>
  <c r="EC20" i="5"/>
  <c r="EB9" i="13" s="1"/>
  <c r="ED20" i="5"/>
  <c r="EC9" i="13" s="1"/>
  <c r="EB19" i="5"/>
  <c r="EC19" i="5"/>
  <c r="ED19" i="5"/>
  <c r="ED11" i="5"/>
  <c r="ED10" i="5"/>
  <c r="ED57" i="5" s="1"/>
  <c r="EC12" i="5"/>
  <c r="EB9" i="8" s="1"/>
  <c r="EC10" i="5"/>
  <c r="EC57" i="5" s="1"/>
  <c r="EB10" i="5"/>
  <c r="EB57" i="5" s="1"/>
  <c r="EC40" i="7" l="1"/>
  <c r="EC42" i="7" s="1"/>
  <c r="EC41" i="2"/>
  <c r="EB20" i="7"/>
  <c r="EA6" i="26" s="1"/>
  <c r="EC65" i="7"/>
  <c r="EB12" i="14" s="1"/>
  <c r="EC73" i="5"/>
  <c r="EC74" i="5" s="1"/>
  <c r="EC75" i="7"/>
  <c r="EB6" i="24" s="1"/>
  <c r="EC74" i="7"/>
  <c r="EB12" i="5"/>
  <c r="EA9" i="8" s="1"/>
  <c r="EC65" i="1"/>
  <c r="EB5" i="14" s="1"/>
  <c r="EB11" i="5"/>
  <c r="ED12" i="5"/>
  <c r="EC9" i="8" s="1"/>
  <c r="EC11" i="5"/>
  <c r="EC67" i="5"/>
  <c r="EC28" i="1"/>
  <c r="ED67" i="1"/>
  <c r="ED65" i="1"/>
  <c r="EC5" i="14" s="1"/>
  <c r="ED28" i="1"/>
  <c r="ED19" i="1"/>
  <c r="EC67" i="1"/>
  <c r="EB27" i="1"/>
  <c r="EB64" i="7"/>
  <c r="EC20" i="7"/>
  <c r="EB6" i="26" s="1"/>
  <c r="EB28" i="5"/>
  <c r="ED28" i="7"/>
  <c r="EC7" i="26" s="1"/>
  <c r="EC28" i="7"/>
  <c r="EB5" i="24" s="1"/>
  <c r="EC27" i="5"/>
  <c r="ED74" i="7"/>
  <c r="EB74" i="1"/>
  <c r="EB74" i="7"/>
  <c r="EB27" i="7"/>
  <c r="ED65" i="7"/>
  <c r="EC12" i="14" s="1"/>
  <c r="ED67" i="7"/>
  <c r="ED64" i="7"/>
  <c r="EB12" i="13"/>
  <c r="EA12" i="13"/>
  <c r="EA7" i="26"/>
  <c r="EA5" i="24"/>
  <c r="EB64" i="1"/>
  <c r="ED75" i="1"/>
  <c r="ED74" i="1"/>
  <c r="EB67" i="7"/>
  <c r="ED20" i="7"/>
  <c r="EB67" i="1"/>
  <c r="EC67" i="7"/>
  <c r="ED74" i="5"/>
  <c r="EB81" i="5"/>
  <c r="EB74" i="5"/>
  <c r="EC81" i="5"/>
  <c r="EC75" i="5"/>
  <c r="ED81" i="5"/>
  <c r="ED28" i="5"/>
  <c r="EB41" i="7"/>
  <c r="EB42" i="7"/>
  <c r="ED42" i="7"/>
  <c r="EB89" i="5"/>
  <c r="ED65" i="5"/>
  <c r="EC9" i="14" s="1"/>
  <c r="ED64" i="5"/>
  <c r="EC64" i="5"/>
  <c r="EB64" i="5"/>
  <c r="EB65" i="5"/>
  <c r="EA9" i="14" s="1"/>
  <c r="EC41" i="7" l="1"/>
  <c r="EB7" i="26"/>
  <c r="EC5" i="24"/>
  <c r="EC6" i="26"/>
  <c r="EC12" i="13"/>
  <c r="DY79" i="7"/>
  <c r="DZ79" i="7"/>
  <c r="EA79" i="7"/>
  <c r="DY78" i="7"/>
  <c r="DZ78" i="7"/>
  <c r="EA78" i="7"/>
  <c r="DY52" i="7"/>
  <c r="DZ52" i="7"/>
  <c r="EA52" i="7"/>
  <c r="DY51" i="7"/>
  <c r="DZ51" i="7"/>
  <c r="EA51" i="7"/>
  <c r="DY32" i="7"/>
  <c r="DZ32" i="7"/>
  <c r="EA32" i="7"/>
  <c r="DY31" i="7"/>
  <c r="DZ31" i="7"/>
  <c r="EA31" i="7"/>
  <c r="DY9" i="7"/>
  <c r="DZ9" i="7"/>
  <c r="EA9" i="7"/>
  <c r="DY8" i="7"/>
  <c r="DZ8" i="7"/>
  <c r="EA8" i="7"/>
  <c r="DZ88" i="2"/>
  <c r="EA88" i="2"/>
  <c r="DY87" i="2"/>
  <c r="DY88" i="2" s="1"/>
  <c r="DZ87" i="2"/>
  <c r="DZ89" i="2" s="1"/>
  <c r="EA87" i="2"/>
  <c r="EA89" i="2" s="1"/>
  <c r="DY80" i="2"/>
  <c r="DY81" i="2" s="1"/>
  <c r="DZ80" i="2"/>
  <c r="DZ81" i="2" s="1"/>
  <c r="EA80" i="2"/>
  <c r="EA82" i="2" s="1"/>
  <c r="EA72" i="2"/>
  <c r="EA73" i="2" s="1"/>
  <c r="EA75" i="2" s="1"/>
  <c r="DZ72" i="2"/>
  <c r="DY72" i="2"/>
  <c r="EA71" i="2"/>
  <c r="DZ71" i="2"/>
  <c r="DY71" i="2"/>
  <c r="EA62" i="2"/>
  <c r="EA63" i="2" s="1"/>
  <c r="EA65" i="2" s="1"/>
  <c r="DZ6" i="14" s="1"/>
  <c r="DZ62" i="2"/>
  <c r="DY62" i="2"/>
  <c r="EA61" i="2"/>
  <c r="DZ61" i="2"/>
  <c r="DY61" i="2"/>
  <c r="DY55" i="2"/>
  <c r="DX6" i="15" s="1"/>
  <c r="DY53" i="2"/>
  <c r="DY57" i="2" s="1"/>
  <c r="DZ53" i="2"/>
  <c r="DZ55" i="2" s="1"/>
  <c r="DY6" i="15" s="1"/>
  <c r="EA53" i="2"/>
  <c r="EA55" i="2" s="1"/>
  <c r="DZ6" i="15" s="1"/>
  <c r="DY33" i="2"/>
  <c r="DY35" i="2" s="1"/>
  <c r="DZ33" i="2"/>
  <c r="DZ34" i="2" s="1"/>
  <c r="EA33" i="2"/>
  <c r="EA34" i="2" s="1"/>
  <c r="EA25" i="2"/>
  <c r="DZ25" i="2"/>
  <c r="DZ26" i="2" s="1"/>
  <c r="DZ27" i="2" s="1"/>
  <c r="DY25" i="2"/>
  <c r="EA24" i="2"/>
  <c r="EA26" i="2" s="1"/>
  <c r="EA27" i="2" s="1"/>
  <c r="DZ24" i="2"/>
  <c r="DY24" i="2"/>
  <c r="DY26" i="2" s="1"/>
  <c r="DY27" i="2" s="1"/>
  <c r="EA17" i="2"/>
  <c r="EA39" i="2" s="1"/>
  <c r="DZ17" i="2"/>
  <c r="DZ39" i="2" s="1"/>
  <c r="DY17" i="2"/>
  <c r="DY39" i="2" s="1"/>
  <c r="EA16" i="2"/>
  <c r="EA18" i="2" s="1"/>
  <c r="DZ16" i="2"/>
  <c r="DZ18" i="2" s="1"/>
  <c r="DZ19" i="2" s="1"/>
  <c r="DY16" i="2"/>
  <c r="DY18" i="2" s="1"/>
  <c r="DY19" i="2" s="1"/>
  <c r="DZ12" i="2"/>
  <c r="DY6" i="8" s="1"/>
  <c r="DZ11" i="2"/>
  <c r="EA11" i="2"/>
  <c r="DY10" i="2"/>
  <c r="DY12" i="2" s="1"/>
  <c r="DX6" i="8" s="1"/>
  <c r="DZ10" i="2"/>
  <c r="EA10" i="2"/>
  <c r="EA12" i="2" s="1"/>
  <c r="DZ6" i="8" s="1"/>
  <c r="EA19" i="2" l="1"/>
  <c r="EA20" i="2"/>
  <c r="DZ6" i="13" s="1"/>
  <c r="EA67" i="2"/>
  <c r="EA57" i="2"/>
  <c r="EA38" i="2"/>
  <c r="EA40" i="2" s="1"/>
  <c r="EA42" i="2" s="1"/>
  <c r="DZ57" i="2"/>
  <c r="DY11" i="2"/>
  <c r="DZ20" i="2"/>
  <c r="DY6" i="13" s="1"/>
  <c r="DY38" i="2"/>
  <c r="DY40" i="2" s="1"/>
  <c r="DY42" i="2" s="1"/>
  <c r="DZ54" i="2"/>
  <c r="EA54" i="2"/>
  <c r="DY20" i="2"/>
  <c r="DX6" i="13" s="1"/>
  <c r="DY54" i="2"/>
  <c r="DZ38" i="2"/>
  <c r="DZ40" i="2" s="1"/>
  <c r="DZ41" i="2" s="1"/>
  <c r="EA28" i="2"/>
  <c r="DZ10" i="7"/>
  <c r="DZ11" i="7" s="1"/>
  <c r="EA53" i="7"/>
  <c r="EA55" i="7" s="1"/>
  <c r="DZ12" i="15" s="1"/>
  <c r="DZ53" i="7"/>
  <c r="DZ55" i="7" s="1"/>
  <c r="DY12" i="15" s="1"/>
  <c r="EA10" i="7"/>
  <c r="EA11" i="7" s="1"/>
  <c r="DY10" i="7"/>
  <c r="DY12" i="7" s="1"/>
  <c r="DY53" i="7"/>
  <c r="DY54" i="7" s="1"/>
  <c r="EA81" i="2"/>
  <c r="DY34" i="2"/>
  <c r="DY33" i="7"/>
  <c r="DY34" i="7" s="1"/>
  <c r="DZ80" i="7"/>
  <c r="DZ82" i="7" s="1"/>
  <c r="DY82" i="2"/>
  <c r="EA80" i="7"/>
  <c r="EA81" i="7" s="1"/>
  <c r="DZ28" i="2"/>
  <c r="EA35" i="2"/>
  <c r="DY28" i="2"/>
  <c r="DZ35" i="2"/>
  <c r="DY80" i="7"/>
  <c r="DY82" i="7" s="1"/>
  <c r="DZ33" i="7"/>
  <c r="DZ35" i="7" s="1"/>
  <c r="DY8" i="26" s="1"/>
  <c r="EA33" i="7"/>
  <c r="EA35" i="7" s="1"/>
  <c r="DZ8" i="26" s="1"/>
  <c r="DY89" i="2"/>
  <c r="DZ82" i="2"/>
  <c r="DZ73" i="2"/>
  <c r="DZ75" i="2" s="1"/>
  <c r="DY73" i="2"/>
  <c r="DY75" i="2" s="1"/>
  <c r="EA74" i="2"/>
  <c r="DZ63" i="2"/>
  <c r="DY63" i="2"/>
  <c r="DY67" i="2" s="1"/>
  <c r="EA64" i="2"/>
  <c r="DZ64" i="2"/>
  <c r="DY65" i="2"/>
  <c r="DX6" i="14" s="1"/>
  <c r="DY64" i="2"/>
  <c r="DZ65" i="2" l="1"/>
  <c r="DY6" i="14" s="1"/>
  <c r="DZ67" i="2"/>
  <c r="DY41" i="2"/>
  <c r="DZ57" i="7"/>
  <c r="EA12" i="7"/>
  <c r="DZ9" i="26" s="1"/>
  <c r="DZ12" i="7"/>
  <c r="DY12" i="8" s="1"/>
  <c r="EA41" i="2"/>
  <c r="EA54" i="7"/>
  <c r="EA57" i="7"/>
  <c r="DZ54" i="7"/>
  <c r="DY11" i="7"/>
  <c r="DY57" i="7"/>
  <c r="DY55" i="7"/>
  <c r="DX12" i="15" s="1"/>
  <c r="DX9" i="26"/>
  <c r="DX5" i="26"/>
  <c r="DX12" i="8"/>
  <c r="DY74" i="2"/>
  <c r="DZ42" i="2"/>
  <c r="DZ81" i="7"/>
  <c r="DY35" i="7"/>
  <c r="DX8" i="26" s="1"/>
  <c r="DZ74" i="2"/>
  <c r="EA82" i="7"/>
  <c r="DZ34" i="7"/>
  <c r="DY81" i="7"/>
  <c r="EA34" i="7"/>
  <c r="DY5" i="26" l="1"/>
  <c r="DZ12" i="8"/>
  <c r="DZ5" i="26"/>
  <c r="DY9" i="26"/>
  <c r="DY89" i="5"/>
  <c r="DZ89" i="5"/>
  <c r="DY88" i="5"/>
  <c r="DZ88" i="5"/>
  <c r="DY87" i="5"/>
  <c r="DZ87" i="5"/>
  <c r="EA87" i="5"/>
  <c r="EA88" i="5" s="1"/>
  <c r="DY80" i="5"/>
  <c r="DY82" i="5" s="1"/>
  <c r="DZ80" i="5"/>
  <c r="DZ82" i="5" s="1"/>
  <c r="EA80" i="5"/>
  <c r="EA82" i="5" s="1"/>
  <c r="EA73" i="5"/>
  <c r="EA74" i="5" s="1"/>
  <c r="DY57" i="5"/>
  <c r="EA55" i="5"/>
  <c r="DZ9" i="15" s="1"/>
  <c r="DY54" i="5"/>
  <c r="EA54" i="5"/>
  <c r="DZ53" i="5"/>
  <c r="DZ57" i="5" s="1"/>
  <c r="EA53" i="5"/>
  <c r="EA57" i="5" s="1"/>
  <c r="DY53" i="5"/>
  <c r="DY55" i="5" s="1"/>
  <c r="DX9" i="15" s="1"/>
  <c r="EA71" i="5"/>
  <c r="DZ71" i="5"/>
  <c r="DZ73" i="5" s="1"/>
  <c r="DZ75" i="5" s="1"/>
  <c r="DY71" i="5"/>
  <c r="DY73" i="5" s="1"/>
  <c r="DY74" i="5" s="1"/>
  <c r="EA61" i="5"/>
  <c r="EA63" i="5" s="1"/>
  <c r="DZ61" i="5"/>
  <c r="DZ63" i="5" s="1"/>
  <c r="DY61" i="5"/>
  <c r="DY63" i="5" s="1"/>
  <c r="DY35" i="5"/>
  <c r="DZ35" i="5"/>
  <c r="EA35" i="5"/>
  <c r="DY34" i="5"/>
  <c r="DZ34" i="5"/>
  <c r="EA34" i="5"/>
  <c r="DZ26" i="5"/>
  <c r="DZ28" i="5" s="1"/>
  <c r="EA26" i="5"/>
  <c r="EA28" i="5" s="1"/>
  <c r="DY26" i="5"/>
  <c r="DY28" i="5" s="1"/>
  <c r="EA16" i="5"/>
  <c r="EA18" i="5" s="1"/>
  <c r="DZ16" i="5"/>
  <c r="DZ18" i="5" s="1"/>
  <c r="DY16" i="5"/>
  <c r="DY18" i="5" s="1"/>
  <c r="DY12" i="5"/>
  <c r="DX9" i="8" s="1"/>
  <c r="DY10" i="5"/>
  <c r="DY11" i="5" s="1"/>
  <c r="DZ10" i="5"/>
  <c r="DZ12" i="5" s="1"/>
  <c r="DY9" i="8" s="1"/>
  <c r="EA10" i="5"/>
  <c r="EA12" i="5" s="1"/>
  <c r="DZ9" i="8" s="1"/>
  <c r="DY65" i="5" l="1"/>
  <c r="DX9" i="14" s="1"/>
  <c r="DY67" i="5"/>
  <c r="DY64" i="5"/>
  <c r="EA64" i="5"/>
  <c r="EA67" i="5"/>
  <c r="EA65" i="5"/>
  <c r="DZ9" i="14" s="1"/>
  <c r="DZ64" i="5"/>
  <c r="DZ67" i="5"/>
  <c r="DZ65" i="5"/>
  <c r="DY9" i="14" s="1"/>
  <c r="DZ20" i="5"/>
  <c r="DY9" i="13" s="1"/>
  <c r="DZ19" i="5"/>
  <c r="DZ54" i="5"/>
  <c r="EA89" i="5"/>
  <c r="DZ11" i="5"/>
  <c r="EA11" i="5"/>
  <c r="EA38" i="5"/>
  <c r="EA40" i="5" s="1"/>
  <c r="EA41" i="5" s="1"/>
  <c r="DZ55" i="5"/>
  <c r="DY9" i="15" s="1"/>
  <c r="EA20" i="5"/>
  <c r="DZ9" i="13" s="1"/>
  <c r="EA19" i="5"/>
  <c r="DZ38" i="5"/>
  <c r="DZ40" i="5" s="1"/>
  <c r="DZ41" i="5" s="1"/>
  <c r="DY19" i="5"/>
  <c r="DY20" i="5"/>
  <c r="DX9" i="13" s="1"/>
  <c r="DY38" i="5"/>
  <c r="DY40" i="5" s="1"/>
  <c r="DY41" i="5" s="1"/>
  <c r="DZ81" i="5"/>
  <c r="DY81" i="5"/>
  <c r="DZ74" i="5"/>
  <c r="EA81" i="5"/>
  <c r="DY75" i="5"/>
  <c r="EA75" i="5"/>
  <c r="DY27" i="5"/>
  <c r="DZ27" i="5"/>
  <c r="EA27" i="5"/>
  <c r="DY89" i="1"/>
  <c r="DY88" i="1"/>
  <c r="DZ88" i="1"/>
  <c r="DY87" i="1"/>
  <c r="DZ87" i="1"/>
  <c r="DZ89" i="1" s="1"/>
  <c r="EA87" i="1"/>
  <c r="EA88" i="1" s="1"/>
  <c r="DY80" i="1"/>
  <c r="DY81" i="1" s="1"/>
  <c r="DZ80" i="1"/>
  <c r="DZ81" i="1" s="1"/>
  <c r="EA80" i="1"/>
  <c r="EA82" i="1" s="1"/>
  <c r="DY73" i="1"/>
  <c r="DY74" i="1" s="1"/>
  <c r="EA72" i="1"/>
  <c r="DZ72" i="1"/>
  <c r="DY72" i="1"/>
  <c r="DX72" i="1"/>
  <c r="EA71" i="1"/>
  <c r="DZ71" i="1"/>
  <c r="DZ73" i="1" s="1"/>
  <c r="DZ75" i="1" s="1"/>
  <c r="DY71" i="1"/>
  <c r="DY65" i="1"/>
  <c r="DX5" i="14" s="1"/>
  <c r="DY64" i="1"/>
  <c r="DY63" i="1"/>
  <c r="DZ63" i="1"/>
  <c r="DZ65" i="1" s="1"/>
  <c r="DY5" i="14" s="1"/>
  <c r="EA63" i="1"/>
  <c r="EA64" i="1" s="1"/>
  <c r="DY54" i="1"/>
  <c r="DY53" i="1"/>
  <c r="DZ53" i="1"/>
  <c r="DZ57" i="1" s="1"/>
  <c r="EA53" i="1"/>
  <c r="EA55" i="1" s="1"/>
  <c r="DZ5" i="15" s="1"/>
  <c r="DY40" i="1"/>
  <c r="DY42" i="1" s="1"/>
  <c r="DZ40" i="1"/>
  <c r="DZ42" i="1" s="1"/>
  <c r="EA40" i="1"/>
  <c r="EA41" i="1" s="1"/>
  <c r="DY33" i="1"/>
  <c r="DY35" i="1" s="1"/>
  <c r="DZ33" i="1"/>
  <c r="DZ34" i="1" s="1"/>
  <c r="EA33" i="1"/>
  <c r="EA34" i="1" s="1"/>
  <c r="DY26" i="1"/>
  <c r="DY27" i="1" s="1"/>
  <c r="DZ26" i="1"/>
  <c r="DZ27" i="1" s="1"/>
  <c r="EA26" i="1"/>
  <c r="EA28" i="1" s="1"/>
  <c r="EA19" i="1"/>
  <c r="DY18" i="1"/>
  <c r="DY20" i="1" s="1"/>
  <c r="DX5" i="13" s="1"/>
  <c r="DZ18" i="1"/>
  <c r="DZ19" i="1" s="1"/>
  <c r="EA18" i="1"/>
  <c r="EA20" i="1" s="1"/>
  <c r="DZ5" i="13" s="1"/>
  <c r="DZ11" i="1"/>
  <c r="DY10" i="1"/>
  <c r="DY12" i="1" s="1"/>
  <c r="DX5" i="8" s="1"/>
  <c r="DZ10" i="1"/>
  <c r="DZ12" i="1" s="1"/>
  <c r="DY5" i="8" s="1"/>
  <c r="EA10" i="1"/>
  <c r="EA11" i="1" s="1"/>
  <c r="DY42" i="5" l="1"/>
  <c r="DY57" i="1"/>
  <c r="EA42" i="5"/>
  <c r="DY19" i="1"/>
  <c r="EA54" i="1"/>
  <c r="EA73" i="1"/>
  <c r="EA75" i="1" s="1"/>
  <c r="DY11" i="1"/>
  <c r="DZ41" i="1"/>
  <c r="DY41" i="1"/>
  <c r="DZ42" i="5"/>
  <c r="DZ20" i="1"/>
  <c r="DY5" i="13" s="1"/>
  <c r="DZ55" i="1"/>
  <c r="DY5" i="15" s="1"/>
  <c r="DY55" i="1"/>
  <c r="DX5" i="15" s="1"/>
  <c r="DZ54" i="1"/>
  <c r="DZ64" i="1"/>
  <c r="EA12" i="1"/>
  <c r="DZ5" i="8" s="1"/>
  <c r="EA42" i="1"/>
  <c r="EA57" i="1"/>
  <c r="EA89" i="1"/>
  <c r="DY67" i="1"/>
  <c r="EA67" i="1"/>
  <c r="EA65" i="1"/>
  <c r="DZ5" i="14" s="1"/>
  <c r="DZ67" i="1"/>
  <c r="DZ74" i="1"/>
  <c r="EA27" i="1"/>
  <c r="DZ82" i="1"/>
  <c r="DY75" i="1"/>
  <c r="EA81" i="1"/>
  <c r="DZ28" i="1"/>
  <c r="DY34" i="1"/>
  <c r="EA35" i="1"/>
  <c r="DY82" i="1"/>
  <c r="DY28" i="1"/>
  <c r="DZ35" i="1"/>
  <c r="DY80" i="6"/>
  <c r="DY81" i="6" s="1"/>
  <c r="DZ80" i="6"/>
  <c r="DZ81" i="6" s="1"/>
  <c r="EA80" i="6"/>
  <c r="EA82" i="6" s="1"/>
  <c r="DZ73" i="6"/>
  <c r="DZ75" i="6" s="1"/>
  <c r="EA72" i="6"/>
  <c r="DZ72" i="6"/>
  <c r="EA71" i="7"/>
  <c r="DZ71" i="7"/>
  <c r="DY72" i="6"/>
  <c r="DY71" i="6"/>
  <c r="DY71" i="7" s="1"/>
  <c r="DY61" i="6"/>
  <c r="EA62" i="6"/>
  <c r="EA61" i="6"/>
  <c r="DZ62" i="6"/>
  <c r="DZ86" i="6" s="1"/>
  <c r="DZ61" i="6"/>
  <c r="DZ63" i="6" s="1"/>
  <c r="DY62" i="6"/>
  <c r="DY55" i="6"/>
  <c r="DX8" i="15" s="1"/>
  <c r="DY54" i="6"/>
  <c r="DZ54" i="6"/>
  <c r="DY53" i="6"/>
  <c r="DZ53" i="6"/>
  <c r="DZ55" i="6" s="1"/>
  <c r="DY8" i="15" s="1"/>
  <c r="EA53" i="6"/>
  <c r="EA54" i="6" s="1"/>
  <c r="DY33" i="6"/>
  <c r="DY35" i="6" s="1"/>
  <c r="DZ33" i="6"/>
  <c r="DZ35" i="6" s="1"/>
  <c r="EA33" i="6"/>
  <c r="EA35" i="6" s="1"/>
  <c r="DZ25" i="6"/>
  <c r="DY25" i="6"/>
  <c r="EA24" i="6"/>
  <c r="EA24" i="7" s="1"/>
  <c r="DZ24" i="6"/>
  <c r="DZ24" i="7" s="1"/>
  <c r="DY24" i="6"/>
  <c r="DY24" i="7" s="1"/>
  <c r="EA25" i="6"/>
  <c r="EA26" i="6" s="1"/>
  <c r="EA27" i="6" s="1"/>
  <c r="EA17" i="6"/>
  <c r="DZ17" i="6"/>
  <c r="DY17" i="6"/>
  <c r="EA16" i="6"/>
  <c r="DZ16" i="6"/>
  <c r="DY16" i="6"/>
  <c r="EA12" i="6"/>
  <c r="DZ8" i="8" s="1"/>
  <c r="EA11" i="6"/>
  <c r="DY10" i="6"/>
  <c r="DY12" i="6" s="1"/>
  <c r="DX8" i="8" s="1"/>
  <c r="DZ10" i="6"/>
  <c r="DZ11" i="6" s="1"/>
  <c r="EA10" i="6"/>
  <c r="EA74" i="1" l="1"/>
  <c r="DY11" i="6"/>
  <c r="DZ85" i="6"/>
  <c r="DZ87" i="6" s="1"/>
  <c r="DY57" i="6"/>
  <c r="DY34" i="6"/>
  <c r="DY18" i="6"/>
  <c r="DY38" i="6"/>
  <c r="EA85" i="6"/>
  <c r="EA39" i="6"/>
  <c r="EA57" i="6"/>
  <c r="DY63" i="6"/>
  <c r="DY64" i="6" s="1"/>
  <c r="DZ64" i="6"/>
  <c r="DY86" i="6"/>
  <c r="DZ12" i="6"/>
  <c r="DY8" i="8" s="1"/>
  <c r="EA18" i="6"/>
  <c r="DZ26" i="6"/>
  <c r="DZ28" i="6" s="1"/>
  <c r="EA38" i="6"/>
  <c r="DZ39" i="6"/>
  <c r="EA55" i="6"/>
  <c r="DZ8" i="15" s="1"/>
  <c r="DZ57" i="6"/>
  <c r="DY73" i="6"/>
  <c r="DY74" i="6" s="1"/>
  <c r="DY85" i="6"/>
  <c r="DZ18" i="6"/>
  <c r="DZ19" i="6" s="1"/>
  <c r="DY26" i="6"/>
  <c r="DY28" i="6" s="1"/>
  <c r="DZ34" i="6"/>
  <c r="DZ38" i="6"/>
  <c r="DY39" i="6"/>
  <c r="EA63" i="6"/>
  <c r="DZ65" i="6"/>
  <c r="DY8" i="14" s="1"/>
  <c r="EA73" i="6"/>
  <c r="EA74" i="6" s="1"/>
  <c r="EA86" i="6"/>
  <c r="DZ74" i="6"/>
  <c r="EA34" i="6"/>
  <c r="DZ82" i="6"/>
  <c r="EA28" i="6"/>
  <c r="EA81" i="6"/>
  <c r="DY82" i="6"/>
  <c r="DZ85" i="4"/>
  <c r="DY80" i="4"/>
  <c r="DY81" i="4" s="1"/>
  <c r="DZ80" i="4"/>
  <c r="DZ82" i="4" s="1"/>
  <c r="EA80" i="4"/>
  <c r="EA82" i="4" s="1"/>
  <c r="EA72" i="4"/>
  <c r="EA72" i="7" s="1"/>
  <c r="EA73" i="7" s="1"/>
  <c r="EA75" i="7" s="1"/>
  <c r="DZ6" i="24" s="1"/>
  <c r="DZ72" i="4"/>
  <c r="DZ73" i="4" s="1"/>
  <c r="DZ74" i="4" s="1"/>
  <c r="DY72" i="4"/>
  <c r="DY72" i="7" s="1"/>
  <c r="DY73" i="7" s="1"/>
  <c r="DY75" i="7" s="1"/>
  <c r="DX6" i="24" s="1"/>
  <c r="EA62" i="4"/>
  <c r="EA62" i="7" s="1"/>
  <c r="DZ62" i="4"/>
  <c r="DZ62" i="7" s="1"/>
  <c r="DY62" i="4"/>
  <c r="DY62" i="7" s="1"/>
  <c r="EA61" i="4"/>
  <c r="EA61" i="7" s="1"/>
  <c r="DZ61" i="4"/>
  <c r="DZ63" i="4" s="1"/>
  <c r="DY61" i="4"/>
  <c r="DY61" i="7" s="1"/>
  <c r="DY55" i="4"/>
  <c r="DX7" i="15" s="1"/>
  <c r="DY54" i="4"/>
  <c r="DY53" i="4"/>
  <c r="DZ53" i="4"/>
  <c r="DZ55" i="4" s="1"/>
  <c r="DY7" i="15" s="1"/>
  <c r="EA53" i="4"/>
  <c r="EA54" i="4" s="1"/>
  <c r="DY33" i="4"/>
  <c r="DY35" i="4" s="1"/>
  <c r="DZ33" i="4"/>
  <c r="DZ35" i="4" s="1"/>
  <c r="EA33" i="4"/>
  <c r="EA35" i="4" s="1"/>
  <c r="DZ26" i="4"/>
  <c r="DZ28" i="4" s="1"/>
  <c r="EA25" i="4"/>
  <c r="EA25" i="7" s="1"/>
  <c r="EA26" i="7" s="1"/>
  <c r="EA27" i="7" s="1"/>
  <c r="DZ25" i="4"/>
  <c r="DZ25" i="7" s="1"/>
  <c r="DZ26" i="7" s="1"/>
  <c r="DZ27" i="7" s="1"/>
  <c r="DY25" i="4"/>
  <c r="DY26" i="4" s="1"/>
  <c r="DY28" i="4" s="1"/>
  <c r="EA17" i="4"/>
  <c r="DZ17" i="4"/>
  <c r="DZ39" i="4" s="1"/>
  <c r="DY17" i="4"/>
  <c r="DY39" i="4" s="1"/>
  <c r="EA11" i="4"/>
  <c r="DY11" i="4"/>
  <c r="EA10" i="4"/>
  <c r="EA12" i="4" s="1"/>
  <c r="DZ7" i="8" s="1"/>
  <c r="DZ10" i="4"/>
  <c r="DZ11" i="4" s="1"/>
  <c r="DY10" i="4"/>
  <c r="DY12" i="4" s="1"/>
  <c r="DX7" i="8" s="1"/>
  <c r="EA38" i="4"/>
  <c r="DY38" i="4"/>
  <c r="EA16" i="4"/>
  <c r="EA16" i="7" s="1"/>
  <c r="DZ16" i="4"/>
  <c r="DZ38" i="4" s="1"/>
  <c r="DY16" i="4"/>
  <c r="DY18" i="4" s="1"/>
  <c r="DZ85" i="7" l="1"/>
  <c r="DY40" i="6"/>
  <c r="DZ88" i="6"/>
  <c r="DZ89" i="6"/>
  <c r="DZ54" i="4"/>
  <c r="DZ72" i="7"/>
  <c r="DZ73" i="7" s="1"/>
  <c r="DZ75" i="7" s="1"/>
  <c r="DY6" i="24" s="1"/>
  <c r="DY86" i="4"/>
  <c r="DY86" i="7" s="1"/>
  <c r="DZ61" i="7"/>
  <c r="DZ63" i="7" s="1"/>
  <c r="DZ64" i="7" s="1"/>
  <c r="DZ12" i="4"/>
  <c r="DY7" i="8" s="1"/>
  <c r="DY63" i="7"/>
  <c r="DY65" i="7" s="1"/>
  <c r="DX12" i="14" s="1"/>
  <c r="EA39" i="4"/>
  <c r="EA39" i="7" s="1"/>
  <c r="DZ17" i="7"/>
  <c r="DY16" i="7"/>
  <c r="DY57" i="4"/>
  <c r="DY25" i="7"/>
  <c r="DY26" i="7" s="1"/>
  <c r="DY27" i="7" s="1"/>
  <c r="DY87" i="6"/>
  <c r="DY88" i="6" s="1"/>
  <c r="DZ27" i="6"/>
  <c r="DY20" i="4"/>
  <c r="DX7" i="13" s="1"/>
  <c r="DY19" i="4"/>
  <c r="DZ64" i="4"/>
  <c r="EA63" i="7"/>
  <c r="EA64" i="7" s="1"/>
  <c r="DY63" i="4"/>
  <c r="EA18" i="4"/>
  <c r="EA19" i="4" s="1"/>
  <c r="EA57" i="4"/>
  <c r="EA73" i="4"/>
  <c r="EA74" i="4" s="1"/>
  <c r="DY85" i="4"/>
  <c r="DY85" i="7" s="1"/>
  <c r="DZ18" i="4"/>
  <c r="DZ67" i="4" s="1"/>
  <c r="EA55" i="4"/>
  <c r="DZ7" i="15" s="1"/>
  <c r="DZ57" i="4"/>
  <c r="EA63" i="4"/>
  <c r="EA86" i="4"/>
  <c r="EA86" i="7" s="1"/>
  <c r="DZ39" i="7"/>
  <c r="DZ16" i="7"/>
  <c r="DY17" i="7"/>
  <c r="DY18" i="7" s="1"/>
  <c r="DY19" i="7" s="1"/>
  <c r="EA26" i="4"/>
  <c r="EA27" i="4" s="1"/>
  <c r="DZ65" i="4"/>
  <c r="DY7" i="14" s="1"/>
  <c r="DY73" i="4"/>
  <c r="DY74" i="4" s="1"/>
  <c r="EA85" i="4"/>
  <c r="EA85" i="7" s="1"/>
  <c r="DZ86" i="4"/>
  <c r="DZ86" i="7" s="1"/>
  <c r="EA17" i="7"/>
  <c r="EA18" i="7" s="1"/>
  <c r="DZ34" i="4"/>
  <c r="DZ27" i="4"/>
  <c r="EA81" i="4"/>
  <c r="DY75" i="6"/>
  <c r="DY27" i="6"/>
  <c r="DZ81" i="4"/>
  <c r="EA28" i="7"/>
  <c r="DZ5" i="24" s="1"/>
  <c r="DY38" i="7"/>
  <c r="EA40" i="6"/>
  <c r="DY34" i="4"/>
  <c r="EA74" i="7"/>
  <c r="DY74" i="7"/>
  <c r="DZ28" i="7"/>
  <c r="DY5" i="24" s="1"/>
  <c r="DY42" i="6"/>
  <c r="DY41" i="6"/>
  <c r="DY39" i="7"/>
  <c r="DZ40" i="6"/>
  <c r="DZ41" i="6" s="1"/>
  <c r="DZ38" i="7"/>
  <c r="EA67" i="6"/>
  <c r="EA64" i="6"/>
  <c r="EA65" i="6"/>
  <c r="DZ8" i="14" s="1"/>
  <c r="EA38" i="7"/>
  <c r="EA75" i="6"/>
  <c r="EA19" i="6"/>
  <c r="EA20" i="6"/>
  <c r="DZ8" i="13" s="1"/>
  <c r="DY65" i="6"/>
  <c r="DX8" i="14" s="1"/>
  <c r="DY67" i="6"/>
  <c r="DZ20" i="6"/>
  <c r="DY8" i="13" s="1"/>
  <c r="EA87" i="6"/>
  <c r="DY19" i="6"/>
  <c r="DY20" i="6"/>
  <c r="DX8" i="13" s="1"/>
  <c r="DZ67" i="6"/>
  <c r="DZ75" i="4"/>
  <c r="DZ40" i="4"/>
  <c r="DY27" i="4"/>
  <c r="EA34" i="4"/>
  <c r="DY82" i="4"/>
  <c r="DY40" i="4"/>
  <c r="DY42" i="4" s="1"/>
  <c r="EA40" i="4"/>
  <c r="DX79" i="7"/>
  <c r="DW79" i="7"/>
  <c r="DV79" i="7"/>
  <c r="DX78" i="7"/>
  <c r="DW78" i="7"/>
  <c r="DV78" i="7"/>
  <c r="DX52" i="7"/>
  <c r="DW52" i="7"/>
  <c r="DV52" i="7"/>
  <c r="DX51" i="7"/>
  <c r="DW51" i="7"/>
  <c r="DV51" i="7"/>
  <c r="DX32" i="7"/>
  <c r="DW32" i="7"/>
  <c r="DV32" i="7"/>
  <c r="DX31" i="7"/>
  <c r="DW31" i="7"/>
  <c r="DV31" i="7"/>
  <c r="DX9" i="7"/>
  <c r="DW9" i="7"/>
  <c r="DV9" i="7"/>
  <c r="DX8" i="7"/>
  <c r="DW8" i="7"/>
  <c r="DV8" i="7"/>
  <c r="DZ87" i="7" l="1"/>
  <c r="DZ88" i="7" s="1"/>
  <c r="DZ74" i="7"/>
  <c r="DY64" i="7"/>
  <c r="DY28" i="7"/>
  <c r="DX7" i="26" s="1"/>
  <c r="DZ18" i="7"/>
  <c r="DZ19" i="7" s="1"/>
  <c r="DZ87" i="4"/>
  <c r="DZ88" i="4" s="1"/>
  <c r="EA65" i="7"/>
  <c r="DZ12" i="14" s="1"/>
  <c r="DY20" i="7"/>
  <c r="DX12" i="13" s="1"/>
  <c r="DY67" i="7"/>
  <c r="DY89" i="6"/>
  <c r="DY87" i="4"/>
  <c r="DY89" i="4" s="1"/>
  <c r="EA87" i="4"/>
  <c r="EA88" i="4" s="1"/>
  <c r="EA28" i="4"/>
  <c r="DY87" i="7"/>
  <c r="DY88" i="7" s="1"/>
  <c r="EA87" i="7"/>
  <c r="EA88" i="7" s="1"/>
  <c r="EA19" i="7"/>
  <c r="EA67" i="7"/>
  <c r="EA20" i="7"/>
  <c r="DZ6" i="26" s="1"/>
  <c r="DY64" i="4"/>
  <c r="DY65" i="4"/>
  <c r="DX7" i="14" s="1"/>
  <c r="DY67" i="4"/>
  <c r="DZ65" i="7"/>
  <c r="DY12" i="14" s="1"/>
  <c r="DZ19" i="4"/>
  <c r="DZ20" i="4"/>
  <c r="DY7" i="13" s="1"/>
  <c r="EA75" i="4"/>
  <c r="DY75" i="4"/>
  <c r="EA20" i="4"/>
  <c r="DZ7" i="13" s="1"/>
  <c r="EA67" i="4"/>
  <c r="EA64" i="4"/>
  <c r="EA65" i="4"/>
  <c r="DZ7" i="14" s="1"/>
  <c r="DZ7" i="26"/>
  <c r="EA41" i="6"/>
  <c r="EA42" i="6"/>
  <c r="DY7" i="26"/>
  <c r="DV10" i="7"/>
  <c r="DV11" i="7" s="1"/>
  <c r="DV53" i="7"/>
  <c r="DZ42" i="6"/>
  <c r="EA88" i="6"/>
  <c r="EA89" i="6"/>
  <c r="DX10" i="7"/>
  <c r="DX11" i="7" s="1"/>
  <c r="DX53" i="7"/>
  <c r="DZ40" i="7"/>
  <c r="DZ42" i="7" s="1"/>
  <c r="DW10" i="7"/>
  <c r="DW11" i="7" s="1"/>
  <c r="DW53" i="7"/>
  <c r="DW54" i="7" s="1"/>
  <c r="DZ42" i="4"/>
  <c r="DZ41" i="4"/>
  <c r="DW80" i="7"/>
  <c r="DW81" i="7" s="1"/>
  <c r="EA40" i="7"/>
  <c r="EA41" i="4"/>
  <c r="EA42" i="4"/>
  <c r="DY40" i="7"/>
  <c r="DY41" i="4"/>
  <c r="DX80" i="7"/>
  <c r="DX82" i="7" s="1"/>
  <c r="DV33" i="7"/>
  <c r="DV34" i="7" s="1"/>
  <c r="DW33" i="7"/>
  <c r="DW34" i="7" s="1"/>
  <c r="DV80" i="7"/>
  <c r="DV81" i="7" s="1"/>
  <c r="DX33" i="7"/>
  <c r="DX34" i="7" s="1"/>
  <c r="DW17" i="2"/>
  <c r="DZ89" i="7" l="1"/>
  <c r="DZ89" i="4"/>
  <c r="DX5" i="24"/>
  <c r="DX6" i="26"/>
  <c r="DZ20" i="7"/>
  <c r="DZ67" i="7"/>
  <c r="DY88" i="4"/>
  <c r="DY89" i="7"/>
  <c r="DZ12" i="13"/>
  <c r="EA89" i="4"/>
  <c r="EA89" i="7"/>
  <c r="DV57" i="7"/>
  <c r="DV55" i="7"/>
  <c r="DU12" i="15" s="1"/>
  <c r="DV12" i="7"/>
  <c r="DU5" i="26" s="1"/>
  <c r="DX57" i="7"/>
  <c r="DX55" i="7"/>
  <c r="DW12" i="15" s="1"/>
  <c r="DX54" i="7"/>
  <c r="DV54" i="7"/>
  <c r="DW57" i="7"/>
  <c r="DZ41" i="7"/>
  <c r="DX12" i="7"/>
  <c r="DW12" i="7"/>
  <c r="DW55" i="7"/>
  <c r="DV12" i="15" s="1"/>
  <c r="DW35" i="7"/>
  <c r="DV8" i="26" s="1"/>
  <c r="DW82" i="7"/>
  <c r="DX81" i="7"/>
  <c r="DX35" i="7"/>
  <c r="DW8" i="26" s="1"/>
  <c r="DY41" i="7"/>
  <c r="DY42" i="7"/>
  <c r="EA42" i="7"/>
  <c r="EA41" i="7"/>
  <c r="DV35" i="7"/>
  <c r="DU8" i="26" s="1"/>
  <c r="DV82" i="7"/>
  <c r="DW89" i="5"/>
  <c r="DV89" i="5"/>
  <c r="DW88" i="5"/>
  <c r="DX87" i="5"/>
  <c r="DX89" i="5" s="1"/>
  <c r="DW87" i="5"/>
  <c r="DV87" i="5"/>
  <c r="DV88" i="5" s="1"/>
  <c r="DX80" i="5"/>
  <c r="DX81" i="5" s="1"/>
  <c r="DW80" i="5"/>
  <c r="DW82" i="5" s="1"/>
  <c r="DV80" i="5"/>
  <c r="DV82" i="5" s="1"/>
  <c r="DX73" i="5"/>
  <c r="DX74" i="5" s="1"/>
  <c r="DX71" i="5"/>
  <c r="DW71" i="5"/>
  <c r="DW73" i="5" s="1"/>
  <c r="DW75" i="5" s="1"/>
  <c r="DV71" i="5"/>
  <c r="DV73" i="5" s="1"/>
  <c r="DV75" i="5" s="1"/>
  <c r="DX61" i="5"/>
  <c r="DX63" i="5" s="1"/>
  <c r="DW61" i="5"/>
  <c r="DW63" i="5" s="1"/>
  <c r="DV61" i="5"/>
  <c r="DV63" i="5" s="1"/>
  <c r="DW55" i="5"/>
  <c r="DV9" i="15" s="1"/>
  <c r="DV55" i="5"/>
  <c r="DU9" i="15" s="1"/>
  <c r="DX53" i="5"/>
  <c r="DX54" i="5" s="1"/>
  <c r="DW53" i="5"/>
  <c r="DW54" i="5" s="1"/>
  <c r="DV53" i="5"/>
  <c r="DV57" i="5" s="1"/>
  <c r="DX38" i="5"/>
  <c r="DX40" i="5" s="1"/>
  <c r="DX42" i="5" s="1"/>
  <c r="DW38" i="5"/>
  <c r="DW40" i="5" s="1"/>
  <c r="DX33" i="5"/>
  <c r="DX35" i="5" s="1"/>
  <c r="DW33" i="5"/>
  <c r="DW34" i="5" s="1"/>
  <c r="DV33" i="5"/>
  <c r="DV35" i="5" s="1"/>
  <c r="DX26" i="5"/>
  <c r="DX27" i="5" s="1"/>
  <c r="DW26" i="5"/>
  <c r="DW27" i="5" s="1"/>
  <c r="DV26" i="5"/>
  <c r="DV28" i="5" s="1"/>
  <c r="DW18" i="5"/>
  <c r="DW20" i="5" s="1"/>
  <c r="DV9" i="13" s="1"/>
  <c r="DV18" i="5"/>
  <c r="DV20" i="5" s="1"/>
  <c r="DU9" i="13" s="1"/>
  <c r="DX16" i="5"/>
  <c r="DX18" i="5" s="1"/>
  <c r="DW16" i="5"/>
  <c r="DV16" i="5"/>
  <c r="DV38" i="5" s="1"/>
  <c r="DV40" i="5" s="1"/>
  <c r="DX10" i="5"/>
  <c r="DX12" i="5" s="1"/>
  <c r="DW9" i="8" s="1"/>
  <c r="DW10" i="5"/>
  <c r="DW12" i="5" s="1"/>
  <c r="DV9" i="8" s="1"/>
  <c r="DV10" i="5"/>
  <c r="DV12" i="5" s="1"/>
  <c r="DU9" i="8" s="1"/>
  <c r="DX80" i="6"/>
  <c r="DX81" i="6" s="1"/>
  <c r="DW80" i="6"/>
  <c r="DW81" i="6" s="1"/>
  <c r="DV80" i="6"/>
  <c r="DV82" i="6" s="1"/>
  <c r="DX72" i="6"/>
  <c r="DW72" i="6"/>
  <c r="DV72" i="6"/>
  <c r="DV73" i="6" s="1"/>
  <c r="DV74" i="6" s="1"/>
  <c r="DX71" i="6"/>
  <c r="DW71" i="6"/>
  <c r="DV71" i="6"/>
  <c r="DX62" i="6"/>
  <c r="DW62" i="6"/>
  <c r="DV62" i="6"/>
  <c r="DX61" i="6"/>
  <c r="DX63" i="6" s="1"/>
  <c r="DW61" i="6"/>
  <c r="DV61" i="6"/>
  <c r="DX54" i="6"/>
  <c r="DX53" i="6"/>
  <c r="DX55" i="6" s="1"/>
  <c r="DW8" i="15" s="1"/>
  <c r="DW53" i="6"/>
  <c r="DW54" i="6" s="1"/>
  <c r="DV53" i="6"/>
  <c r="DV55" i="6" s="1"/>
  <c r="DU8" i="15" s="1"/>
  <c r="DX33" i="6"/>
  <c r="DX34" i="6" s="1"/>
  <c r="DW33" i="6"/>
  <c r="DW34" i="6" s="1"/>
  <c r="DV33" i="6"/>
  <c r="DV34" i="6" s="1"/>
  <c r="DX25" i="6"/>
  <c r="DW25" i="6"/>
  <c r="DV25" i="6"/>
  <c r="DX24" i="6"/>
  <c r="DW24" i="6"/>
  <c r="DV24" i="6"/>
  <c r="DX17" i="6"/>
  <c r="DW17" i="6"/>
  <c r="DV17" i="6"/>
  <c r="DX16" i="6"/>
  <c r="DW16" i="6"/>
  <c r="DV16" i="6"/>
  <c r="DX10" i="6"/>
  <c r="DX12" i="6" s="1"/>
  <c r="DW8" i="8" s="1"/>
  <c r="DW10" i="6"/>
  <c r="DW11" i="6" s="1"/>
  <c r="DV10" i="6"/>
  <c r="DV11" i="6" s="1"/>
  <c r="DX80" i="4"/>
  <c r="DX81" i="4" s="1"/>
  <c r="DW80" i="4"/>
  <c r="DW81" i="4" s="1"/>
  <c r="DV80" i="4"/>
  <c r="DV82" i="4" s="1"/>
  <c r="DV73" i="4"/>
  <c r="DV74" i="4" s="1"/>
  <c r="DX72" i="4"/>
  <c r="DW72" i="4"/>
  <c r="DW73" i="4" s="1"/>
  <c r="DW75" i="4" s="1"/>
  <c r="DV72" i="4"/>
  <c r="DX62" i="4"/>
  <c r="DW62" i="4"/>
  <c r="DV62" i="4"/>
  <c r="DX61" i="4"/>
  <c r="DX85" i="4" s="1"/>
  <c r="DW61" i="4"/>
  <c r="DV61" i="4"/>
  <c r="DV85" i="4" s="1"/>
  <c r="DX54" i="4"/>
  <c r="DX53" i="4"/>
  <c r="DW53" i="4"/>
  <c r="DW55" i="4" s="1"/>
  <c r="DV7" i="15" s="1"/>
  <c r="DV53" i="4"/>
  <c r="DV54" i="4" s="1"/>
  <c r="DX33" i="4"/>
  <c r="DX35" i="4" s="1"/>
  <c r="DW33" i="4"/>
  <c r="DW34" i="4" s="1"/>
  <c r="DV33" i="4"/>
  <c r="DV35" i="4" s="1"/>
  <c r="DX26" i="4"/>
  <c r="DX27" i="4" s="1"/>
  <c r="DX25" i="4"/>
  <c r="DW25" i="4"/>
  <c r="DW26" i="4" s="1"/>
  <c r="DW27" i="4" s="1"/>
  <c r="DV25" i="4"/>
  <c r="DV26" i="4" s="1"/>
  <c r="DV27" i="4" s="1"/>
  <c r="DX17" i="4"/>
  <c r="DW17" i="4"/>
  <c r="DW39" i="4" s="1"/>
  <c r="DV17" i="4"/>
  <c r="DV39" i="4" s="1"/>
  <c r="DX16" i="4"/>
  <c r="DX38" i="4" s="1"/>
  <c r="DW16" i="4"/>
  <c r="DW18" i="4" s="1"/>
  <c r="DW19" i="4" s="1"/>
  <c r="DV16" i="4"/>
  <c r="DV38" i="4" s="1"/>
  <c r="DX10" i="4"/>
  <c r="DX12" i="4" s="1"/>
  <c r="DW7" i="8" s="1"/>
  <c r="DW10" i="4"/>
  <c r="DW11" i="4" s="1"/>
  <c r="DV10" i="4"/>
  <c r="DV12" i="4" s="1"/>
  <c r="DU7" i="8" s="1"/>
  <c r="DX89" i="2"/>
  <c r="DW89" i="2"/>
  <c r="DX87" i="2"/>
  <c r="DX88" i="2" s="1"/>
  <c r="DW87" i="2"/>
  <c r="DW88" i="2" s="1"/>
  <c r="DV87" i="2"/>
  <c r="DV89" i="2" s="1"/>
  <c r="DX80" i="2"/>
  <c r="DX82" i="2" s="1"/>
  <c r="DW80" i="2"/>
  <c r="DW82" i="2" s="1"/>
  <c r="DV80" i="2"/>
  <c r="DV81" i="2" s="1"/>
  <c r="DX72" i="2"/>
  <c r="DW72" i="2"/>
  <c r="DV72" i="2"/>
  <c r="DX71" i="2"/>
  <c r="DX73" i="2" s="1"/>
  <c r="DX74" i="2" s="1"/>
  <c r="DW71" i="2"/>
  <c r="DW73" i="2" s="1"/>
  <c r="DW74" i="2" s="1"/>
  <c r="DV71" i="2"/>
  <c r="DX62" i="2"/>
  <c r="DW62" i="2"/>
  <c r="DV62" i="2"/>
  <c r="DX61" i="2"/>
  <c r="DX63" i="2" s="1"/>
  <c r="DW61" i="2"/>
  <c r="DW63" i="2" s="1"/>
  <c r="DV61" i="2"/>
  <c r="DX54" i="2"/>
  <c r="DX53" i="2"/>
  <c r="DX55" i="2" s="1"/>
  <c r="DW6" i="15" s="1"/>
  <c r="DW53" i="2"/>
  <c r="DW54" i="2" s="1"/>
  <c r="DV53" i="2"/>
  <c r="DV57" i="2" s="1"/>
  <c r="DX33" i="2"/>
  <c r="DX34" i="2" s="1"/>
  <c r="DW33" i="2"/>
  <c r="DW35" i="2" s="1"/>
  <c r="DV33" i="2"/>
  <c r="DV35" i="2" s="1"/>
  <c r="DX25" i="2"/>
  <c r="DW25" i="2"/>
  <c r="DV25" i="2"/>
  <c r="DV26" i="2" s="1"/>
  <c r="DV27" i="2" s="1"/>
  <c r="DX24" i="2"/>
  <c r="DX26" i="2" s="1"/>
  <c r="DX27" i="2" s="1"/>
  <c r="DW24" i="2"/>
  <c r="DV24" i="2"/>
  <c r="DX17" i="2"/>
  <c r="DW39" i="2"/>
  <c r="DV17" i="2"/>
  <c r="DX16" i="2"/>
  <c r="DX38" i="2" s="1"/>
  <c r="DW16" i="2"/>
  <c r="DW18" i="2" s="1"/>
  <c r="DW19" i="2" s="1"/>
  <c r="DV16" i="2"/>
  <c r="DV38" i="2" s="1"/>
  <c r="DX10" i="2"/>
  <c r="DX12" i="2" s="1"/>
  <c r="DW6" i="8" s="1"/>
  <c r="DW10" i="2"/>
  <c r="DW11" i="2" s="1"/>
  <c r="DV10" i="2"/>
  <c r="DV11" i="2" s="1"/>
  <c r="DW88" i="1"/>
  <c r="DX87" i="1"/>
  <c r="DX88" i="1" s="1"/>
  <c r="DW87" i="1"/>
  <c r="DW89" i="1" s="1"/>
  <c r="DV87" i="1"/>
  <c r="DV89" i="1" s="1"/>
  <c r="DX80" i="1"/>
  <c r="DX82" i="1" s="1"/>
  <c r="DW80" i="1"/>
  <c r="DW81" i="1" s="1"/>
  <c r="DV80" i="1"/>
  <c r="DV82" i="1" s="1"/>
  <c r="DW72" i="1"/>
  <c r="DV72" i="1"/>
  <c r="DX71" i="1"/>
  <c r="DX73" i="1" s="1"/>
  <c r="DW71" i="1"/>
  <c r="DV71" i="1"/>
  <c r="DX63" i="1"/>
  <c r="DX64" i="1" s="1"/>
  <c r="DW63" i="1"/>
  <c r="DW64" i="1" s="1"/>
  <c r="DV63" i="1"/>
  <c r="DX53" i="1"/>
  <c r="DX54" i="1" s="1"/>
  <c r="DW53" i="1"/>
  <c r="DV53" i="1"/>
  <c r="DX40" i="1"/>
  <c r="DX42" i="1" s="1"/>
  <c r="DW40" i="1"/>
  <c r="DW41" i="1" s="1"/>
  <c r="DV40" i="1"/>
  <c r="DV42" i="1" s="1"/>
  <c r="DX33" i="1"/>
  <c r="DX34" i="1" s="1"/>
  <c r="DW33" i="1"/>
  <c r="DW35" i="1" s="1"/>
  <c r="DV33" i="1"/>
  <c r="DV35" i="1" s="1"/>
  <c r="DX26" i="1"/>
  <c r="DX28" i="1" s="1"/>
  <c r="DW26" i="1"/>
  <c r="DW28" i="1" s="1"/>
  <c r="DV26" i="1"/>
  <c r="DV28" i="1" s="1"/>
  <c r="DX18" i="1"/>
  <c r="DX20" i="1" s="1"/>
  <c r="DW5" i="13" s="1"/>
  <c r="DW18" i="1"/>
  <c r="DW20" i="1" s="1"/>
  <c r="DV5" i="13" s="1"/>
  <c r="DV18" i="1"/>
  <c r="DV19" i="1" s="1"/>
  <c r="DX10" i="1"/>
  <c r="DX12" i="1" s="1"/>
  <c r="DW5" i="8" s="1"/>
  <c r="DW10" i="1"/>
  <c r="DW11" i="1" s="1"/>
  <c r="DV10" i="1"/>
  <c r="DV11" i="1" s="1"/>
  <c r="DV65" i="5" l="1"/>
  <c r="DU9" i="14" s="1"/>
  <c r="DV64" i="5"/>
  <c r="DW67" i="5"/>
  <c r="DW65" i="5"/>
  <c r="DV9" i="14" s="1"/>
  <c r="DW64" i="5"/>
  <c r="DV67" i="1"/>
  <c r="DW11" i="5"/>
  <c r="DW19" i="5"/>
  <c r="DW57" i="5"/>
  <c r="DV54" i="2"/>
  <c r="DX11" i="5"/>
  <c r="DX11" i="2"/>
  <c r="DX18" i="2"/>
  <c r="DX19" i="2" s="1"/>
  <c r="DV55" i="2"/>
  <c r="DU6" i="15" s="1"/>
  <c r="DV63" i="2"/>
  <c r="DV65" i="2" s="1"/>
  <c r="DU6" i="14" s="1"/>
  <c r="DV88" i="2"/>
  <c r="DV11" i="4"/>
  <c r="DX57" i="6"/>
  <c r="DX65" i="2"/>
  <c r="DW6" i="14" s="1"/>
  <c r="DW73" i="1"/>
  <c r="DW74" i="1" s="1"/>
  <c r="DV12" i="2"/>
  <c r="DU6" i="8" s="1"/>
  <c r="DX57" i="4"/>
  <c r="DV54" i="5"/>
  <c r="DW38" i="2"/>
  <c r="DW40" i="2" s="1"/>
  <c r="DV73" i="2"/>
  <c r="DV74" i="2" s="1"/>
  <c r="DW54" i="4"/>
  <c r="DY6" i="26"/>
  <c r="DY12" i="13"/>
  <c r="DW57" i="1"/>
  <c r="DX11" i="1"/>
  <c r="DW19" i="1"/>
  <c r="DV73" i="1"/>
  <c r="DV74" i="1" s="1"/>
  <c r="DV71" i="7"/>
  <c r="DW54" i="1"/>
  <c r="DV88" i="1"/>
  <c r="DW16" i="7"/>
  <c r="DV25" i="7"/>
  <c r="DX11" i="4"/>
  <c r="DX18" i="4"/>
  <c r="DX19" i="4" s="1"/>
  <c r="DW63" i="4"/>
  <c r="DW67" i="4" s="1"/>
  <c r="DX16" i="7"/>
  <c r="DW25" i="7"/>
  <c r="DW61" i="7"/>
  <c r="DX63" i="4"/>
  <c r="DX67" i="4" s="1"/>
  <c r="DX61" i="7"/>
  <c r="DX55" i="4"/>
  <c r="DW7" i="15" s="1"/>
  <c r="DW85" i="4"/>
  <c r="DW72" i="7"/>
  <c r="DV34" i="4"/>
  <c r="DX81" i="1"/>
  <c r="DV57" i="1"/>
  <c r="DV65" i="1"/>
  <c r="DU5" i="14" s="1"/>
  <c r="DV12" i="1"/>
  <c r="DU5" i="8" s="1"/>
  <c r="DV55" i="1"/>
  <c r="DU5" i="15" s="1"/>
  <c r="DW65" i="1"/>
  <c r="DV5" i="14" s="1"/>
  <c r="DX19" i="1"/>
  <c r="DV41" i="1"/>
  <c r="DW55" i="1"/>
  <c r="DV5" i="15" s="1"/>
  <c r="DV27" i="1"/>
  <c r="DV54" i="1"/>
  <c r="DV64" i="1"/>
  <c r="DV72" i="7"/>
  <c r="DW67" i="1"/>
  <c r="DU12" i="8"/>
  <c r="DU9" i="26"/>
  <c r="DW81" i="5"/>
  <c r="DV28" i="4"/>
  <c r="DX75" i="5"/>
  <c r="DV81" i="5"/>
  <c r="DV34" i="5"/>
  <c r="DW74" i="4"/>
  <c r="DV81" i="4"/>
  <c r="DX28" i="4"/>
  <c r="DV28" i="2"/>
  <c r="DV34" i="2"/>
  <c r="DW27" i="1"/>
  <c r="DW34" i="1"/>
  <c r="DV38" i="6"/>
  <c r="DV38" i="7" s="1"/>
  <c r="DV16" i="7"/>
  <c r="DW39" i="6"/>
  <c r="DW39" i="7" s="1"/>
  <c r="DW17" i="7"/>
  <c r="DW26" i="6"/>
  <c r="DW27" i="6" s="1"/>
  <c r="DW24" i="7"/>
  <c r="DX26" i="6"/>
  <c r="DX27" i="6" s="1"/>
  <c r="DX25" i="7"/>
  <c r="DV86" i="6"/>
  <c r="DV62" i="7"/>
  <c r="DX73" i="6"/>
  <c r="DX74" i="6" s="1"/>
  <c r="DX71" i="7"/>
  <c r="DX17" i="7"/>
  <c r="DX38" i="6"/>
  <c r="DX38" i="7" s="1"/>
  <c r="DX24" i="7"/>
  <c r="DW57" i="6"/>
  <c r="DV85" i="6"/>
  <c r="DV61" i="7"/>
  <c r="DW86" i="6"/>
  <c r="DW62" i="7"/>
  <c r="DX64" i="6"/>
  <c r="DX11" i="6"/>
  <c r="DX18" i="6"/>
  <c r="DX19" i="6" s="1"/>
  <c r="DW55" i="6"/>
  <c r="DV8" i="15" s="1"/>
  <c r="DX65" i="6"/>
  <c r="DW8" i="14" s="1"/>
  <c r="DX62" i="7"/>
  <c r="DW9" i="26"/>
  <c r="DW5" i="26"/>
  <c r="DW12" i="8"/>
  <c r="DV39" i="6"/>
  <c r="DV17" i="7"/>
  <c r="DV26" i="6"/>
  <c r="DV28" i="6" s="1"/>
  <c r="DV24" i="7"/>
  <c r="DV54" i="6"/>
  <c r="DW63" i="6"/>
  <c r="DW64" i="6" s="1"/>
  <c r="DW85" i="6"/>
  <c r="DW71" i="7"/>
  <c r="DX86" i="6"/>
  <c r="DX72" i="7"/>
  <c r="DV9" i="26"/>
  <c r="DV5" i="26"/>
  <c r="DV12" i="8"/>
  <c r="DV81" i="6"/>
  <c r="DW82" i="6"/>
  <c r="DX28" i="2"/>
  <c r="DX27" i="1"/>
  <c r="DV34" i="1"/>
  <c r="DX82" i="5"/>
  <c r="DW74" i="5"/>
  <c r="DW28" i="5"/>
  <c r="DX28" i="5"/>
  <c r="DW35" i="5"/>
  <c r="DV27" i="5"/>
  <c r="DV75" i="6"/>
  <c r="DV35" i="6"/>
  <c r="DW82" i="4"/>
  <c r="DV75" i="4"/>
  <c r="DX34" i="4"/>
  <c r="DW75" i="2"/>
  <c r="DW81" i="2"/>
  <c r="DX75" i="2"/>
  <c r="DX81" i="2"/>
  <c r="DW34" i="2"/>
  <c r="DW82" i="1"/>
  <c r="DV81" i="1"/>
  <c r="DX65" i="5"/>
  <c r="DW9" i="14" s="1"/>
  <c r="DX67" i="5"/>
  <c r="DX64" i="5"/>
  <c r="DX57" i="5"/>
  <c r="DX55" i="5"/>
  <c r="DW9" i="15" s="1"/>
  <c r="DV67" i="5"/>
  <c r="DV74" i="5"/>
  <c r="DX88" i="5"/>
  <c r="DX19" i="5"/>
  <c r="DX20" i="5"/>
  <c r="DW9" i="13" s="1"/>
  <c r="DW41" i="5"/>
  <c r="DW42" i="5"/>
  <c r="DV41" i="5"/>
  <c r="DV42" i="5"/>
  <c r="DV11" i="5"/>
  <c r="DV19" i="5"/>
  <c r="DX34" i="5"/>
  <c r="DX41" i="5"/>
  <c r="DX85" i="6"/>
  <c r="DV57" i="6"/>
  <c r="DW65" i="6"/>
  <c r="DV8" i="14" s="1"/>
  <c r="DW73" i="6"/>
  <c r="DX82" i="6"/>
  <c r="DV63" i="6"/>
  <c r="DW38" i="6"/>
  <c r="DX39" i="6"/>
  <c r="DV12" i="6"/>
  <c r="DU8" i="8" s="1"/>
  <c r="DW35" i="6"/>
  <c r="DW12" i="6"/>
  <c r="DV8" i="8" s="1"/>
  <c r="DV18" i="6"/>
  <c r="DX35" i="6"/>
  <c r="DW18" i="6"/>
  <c r="DW19" i="6" s="1"/>
  <c r="DW64" i="4"/>
  <c r="DX86" i="4"/>
  <c r="DV57" i="4"/>
  <c r="DV55" i="4"/>
  <c r="DU7" i="15" s="1"/>
  <c r="DW57" i="4"/>
  <c r="DV63" i="4"/>
  <c r="DX82" i="4"/>
  <c r="DV86" i="4"/>
  <c r="DX64" i="4"/>
  <c r="DX73" i="4"/>
  <c r="DX74" i="4" s="1"/>
  <c r="DW86" i="4"/>
  <c r="DV40" i="4"/>
  <c r="DV41" i="4" s="1"/>
  <c r="DW20" i="4"/>
  <c r="DV7" i="13" s="1"/>
  <c r="DW28" i="4"/>
  <c r="DW38" i="4"/>
  <c r="DW40" i="4" s="1"/>
  <c r="DW41" i="4" s="1"/>
  <c r="DX39" i="4"/>
  <c r="DX40" i="4" s="1"/>
  <c r="DX41" i="4" s="1"/>
  <c r="DW12" i="4"/>
  <c r="DV7" i="8" s="1"/>
  <c r="DV18" i="4"/>
  <c r="DW35" i="4"/>
  <c r="DW67" i="2"/>
  <c r="DW64" i="2"/>
  <c r="DW65" i="2"/>
  <c r="DV6" i="14" s="1"/>
  <c r="DX67" i="2"/>
  <c r="DX64" i="2"/>
  <c r="DW57" i="2"/>
  <c r="DW55" i="2"/>
  <c r="DV6" i="15" s="1"/>
  <c r="DX57" i="2"/>
  <c r="DV82" i="2"/>
  <c r="DX39" i="2"/>
  <c r="DW20" i="2"/>
  <c r="DV6" i="13" s="1"/>
  <c r="DW12" i="2"/>
  <c r="DV6" i="8" s="1"/>
  <c r="DV18" i="2"/>
  <c r="DW26" i="2"/>
  <c r="DX35" i="2"/>
  <c r="DV39" i="2"/>
  <c r="DX74" i="1"/>
  <c r="DX75" i="1"/>
  <c r="DX57" i="1"/>
  <c r="DX67" i="1"/>
  <c r="DX55" i="1"/>
  <c r="DW5" i="15" s="1"/>
  <c r="DX65" i="1"/>
  <c r="DW5" i="14" s="1"/>
  <c r="DX89" i="1"/>
  <c r="DX41" i="1"/>
  <c r="DW12" i="1"/>
  <c r="DV5" i="8" s="1"/>
  <c r="DV20" i="1"/>
  <c r="DU5" i="13" s="1"/>
  <c r="DX35" i="1"/>
  <c r="DW42" i="1"/>
  <c r="DL61" i="6"/>
  <c r="DJ61" i="6"/>
  <c r="DL25" i="6"/>
  <c r="DJ25" i="6"/>
  <c r="DW75" i="1" l="1"/>
  <c r="DV75" i="2"/>
  <c r="DV67" i="2"/>
  <c r="DV64" i="2"/>
  <c r="DX20" i="2"/>
  <c r="DW6" i="13" s="1"/>
  <c r="DV75" i="1"/>
  <c r="DV73" i="7"/>
  <c r="DV74" i="7" s="1"/>
  <c r="DW73" i="7"/>
  <c r="DW75" i="7" s="1"/>
  <c r="DV6" i="24" s="1"/>
  <c r="DV26" i="7"/>
  <c r="DV27" i="7" s="1"/>
  <c r="DW26" i="7"/>
  <c r="DW28" i="7" s="1"/>
  <c r="DW65" i="4"/>
  <c r="DV7" i="14" s="1"/>
  <c r="DX63" i="7"/>
  <c r="DX64" i="7" s="1"/>
  <c r="DX65" i="4"/>
  <c r="DW7" i="14" s="1"/>
  <c r="DW85" i="7"/>
  <c r="DW63" i="7"/>
  <c r="DW18" i="7"/>
  <c r="DW19" i="7" s="1"/>
  <c r="DX20" i="4"/>
  <c r="DW7" i="13" s="1"/>
  <c r="DV87" i="6"/>
  <c r="DV89" i="6" s="1"/>
  <c r="DW40" i="6"/>
  <c r="DW41" i="6" s="1"/>
  <c r="DX28" i="6"/>
  <c r="DX26" i="7"/>
  <c r="DX27" i="7" s="1"/>
  <c r="DX87" i="6"/>
  <c r="DX88" i="6" s="1"/>
  <c r="DW86" i="7"/>
  <c r="DX75" i="6"/>
  <c r="DV85" i="7"/>
  <c r="DV40" i="6"/>
  <c r="DX73" i="7"/>
  <c r="DX74" i="7" s="1"/>
  <c r="DX86" i="7"/>
  <c r="DW28" i="6"/>
  <c r="DV27" i="6"/>
  <c r="DW67" i="6"/>
  <c r="DX67" i="6"/>
  <c r="DV39" i="7"/>
  <c r="DV86" i="7"/>
  <c r="DW87" i="6"/>
  <c r="DW88" i="6" s="1"/>
  <c r="DV63" i="7"/>
  <c r="DV64" i="7" s="1"/>
  <c r="DV18" i="7"/>
  <c r="DV19" i="7" s="1"/>
  <c r="DX18" i="7"/>
  <c r="DX19" i="7" s="1"/>
  <c r="DX20" i="6"/>
  <c r="DW8" i="13" s="1"/>
  <c r="DW20" i="7"/>
  <c r="DX85" i="7"/>
  <c r="DX39" i="7"/>
  <c r="DW38" i="7"/>
  <c r="DW41" i="2"/>
  <c r="DW75" i="6"/>
  <c r="DW74" i="6"/>
  <c r="DV67" i="6"/>
  <c r="DV64" i="6"/>
  <c r="DV65" i="6"/>
  <c r="DU8" i="14" s="1"/>
  <c r="DX40" i="6"/>
  <c r="DX41" i="6" s="1"/>
  <c r="DV19" i="6"/>
  <c r="DV20" i="6"/>
  <c r="DU8" i="13" s="1"/>
  <c r="DW20" i="6"/>
  <c r="DV8" i="13" s="1"/>
  <c r="DV87" i="4"/>
  <c r="DV88" i="4" s="1"/>
  <c r="DW87" i="4"/>
  <c r="DW88" i="4" s="1"/>
  <c r="DV67" i="4"/>
  <c r="DV64" i="4"/>
  <c r="DV65" i="4"/>
  <c r="DU7" i="14" s="1"/>
  <c r="DX87" i="4"/>
  <c r="DX88" i="4" s="1"/>
  <c r="DX75" i="4"/>
  <c r="DV19" i="4"/>
  <c r="DV20" i="4"/>
  <c r="DU7" i="13" s="1"/>
  <c r="DV42" i="4"/>
  <c r="DX42" i="4"/>
  <c r="DW42" i="4"/>
  <c r="DW42" i="2"/>
  <c r="DW27" i="2"/>
  <c r="DW28" i="2"/>
  <c r="DV40" i="2"/>
  <c r="DV19" i="2"/>
  <c r="DV20" i="2"/>
  <c r="DU6" i="13" s="1"/>
  <c r="DX40" i="2"/>
  <c r="DU79" i="7"/>
  <c r="DT79" i="7"/>
  <c r="DS79" i="7"/>
  <c r="DU78" i="7"/>
  <c r="DT78" i="7"/>
  <c r="DS78" i="7"/>
  <c r="DU32" i="7"/>
  <c r="DT32" i="7"/>
  <c r="DS32" i="7"/>
  <c r="DU31" i="7"/>
  <c r="DT31" i="7"/>
  <c r="DS31" i="7"/>
  <c r="DX89" i="6" l="1"/>
  <c r="DX65" i="7"/>
  <c r="DW12" i="14" s="1"/>
  <c r="DW67" i="7"/>
  <c r="DV88" i="6"/>
  <c r="DW64" i="7"/>
  <c r="DV75" i="7"/>
  <c r="DU6" i="24" s="1"/>
  <c r="DW74" i="7"/>
  <c r="DW65" i="7"/>
  <c r="DV12" i="14" s="1"/>
  <c r="DV28" i="7"/>
  <c r="DU5" i="24" s="1"/>
  <c r="DX28" i="7"/>
  <c r="DW5" i="24" s="1"/>
  <c r="DW27" i="7"/>
  <c r="DW87" i="7"/>
  <c r="DW88" i="7" s="1"/>
  <c r="DW40" i="7"/>
  <c r="DW42" i="7" s="1"/>
  <c r="DW42" i="6"/>
  <c r="DV87" i="7"/>
  <c r="DV88" i="7" s="1"/>
  <c r="DW89" i="6"/>
  <c r="DV41" i="6"/>
  <c r="DV42" i="6"/>
  <c r="DX75" i="7"/>
  <c r="DW6" i="24" s="1"/>
  <c r="DV20" i="7"/>
  <c r="DU6" i="26" s="1"/>
  <c r="DX87" i="7"/>
  <c r="DX88" i="7" s="1"/>
  <c r="DV12" i="13"/>
  <c r="DV6" i="26"/>
  <c r="DX20" i="7"/>
  <c r="DX67" i="7"/>
  <c r="DV65" i="7"/>
  <c r="DU12" i="14" s="1"/>
  <c r="DV67" i="7"/>
  <c r="DV7" i="26"/>
  <c r="DV5" i="24"/>
  <c r="DV41" i="2"/>
  <c r="DV40" i="7"/>
  <c r="DX41" i="2"/>
  <c r="DX40" i="7"/>
  <c r="DX42" i="6"/>
  <c r="DV89" i="4"/>
  <c r="DX89" i="4"/>
  <c r="DW89" i="4"/>
  <c r="DX42" i="2"/>
  <c r="DV42" i="2"/>
  <c r="DT33" i="7"/>
  <c r="DT34" i="7" s="1"/>
  <c r="DS80" i="7"/>
  <c r="DS81" i="7" s="1"/>
  <c r="DU80" i="7"/>
  <c r="DU81" i="7" s="1"/>
  <c r="DT80" i="7"/>
  <c r="DT81" i="7" s="1"/>
  <c r="DU33" i="7"/>
  <c r="DS33" i="7"/>
  <c r="DS34" i="7" s="1"/>
  <c r="DS9" i="8"/>
  <c r="DS52" i="7"/>
  <c r="DT52" i="7"/>
  <c r="DU52" i="7"/>
  <c r="DS51" i="7"/>
  <c r="DT51" i="7"/>
  <c r="DU51" i="7"/>
  <c r="DS9" i="7"/>
  <c r="DT9" i="7"/>
  <c r="DU9" i="7"/>
  <c r="DU8" i="7"/>
  <c r="DT8" i="7"/>
  <c r="DS8" i="7"/>
  <c r="DS87" i="5"/>
  <c r="DS88" i="5" s="1"/>
  <c r="DT87" i="5"/>
  <c r="DT89" i="5" s="1"/>
  <c r="DU87" i="5"/>
  <c r="DU89" i="5" s="1"/>
  <c r="DS80" i="5"/>
  <c r="DS81" i="5" s="1"/>
  <c r="DT80" i="5"/>
  <c r="DT82" i="5" s="1"/>
  <c r="DU80" i="5"/>
  <c r="DU81" i="5" s="1"/>
  <c r="DU71" i="5"/>
  <c r="DU73" i="5" s="1"/>
  <c r="DT71" i="5"/>
  <c r="DS71" i="5"/>
  <c r="DU61" i="5"/>
  <c r="DT61" i="5"/>
  <c r="DT63" i="5" s="1"/>
  <c r="DT65" i="5" s="1"/>
  <c r="DS9" i="14" s="1"/>
  <c r="DS61" i="5"/>
  <c r="DS63" i="5" s="1"/>
  <c r="DS64" i="5" s="1"/>
  <c r="DU63" i="5"/>
  <c r="DU53" i="5"/>
  <c r="DU55" i="5" s="1"/>
  <c r="DT9" i="15" s="1"/>
  <c r="DT53" i="5"/>
  <c r="DT54" i="5" s="1"/>
  <c r="DS53" i="5"/>
  <c r="DS54" i="5" s="1"/>
  <c r="DU39" i="5"/>
  <c r="DT39" i="5"/>
  <c r="DS39" i="5"/>
  <c r="DS38" i="5"/>
  <c r="DU33" i="5"/>
  <c r="DU34" i="5" s="1"/>
  <c r="DT33" i="5"/>
  <c r="DT35" i="5" s="1"/>
  <c r="DS33" i="5"/>
  <c r="DS34" i="5" s="1"/>
  <c r="DU26" i="5"/>
  <c r="DU27" i="5" s="1"/>
  <c r="DT26" i="5"/>
  <c r="DT28" i="5" s="1"/>
  <c r="DS26" i="5"/>
  <c r="DS27" i="5" s="1"/>
  <c r="DU16" i="5"/>
  <c r="DU18" i="5" s="1"/>
  <c r="DT16" i="5"/>
  <c r="DT18" i="5" s="1"/>
  <c r="DT19" i="5" s="1"/>
  <c r="DS16" i="5"/>
  <c r="DR16" i="4"/>
  <c r="DU10" i="5"/>
  <c r="DU11" i="5" s="1"/>
  <c r="DT10" i="5"/>
  <c r="DT12" i="5" s="1"/>
  <c r="DS10" i="5"/>
  <c r="DS12" i="5" s="1"/>
  <c r="DR9" i="8" s="1"/>
  <c r="DS85" i="6"/>
  <c r="DU80" i="6"/>
  <c r="DU81" i="6" s="1"/>
  <c r="DT80" i="6"/>
  <c r="DT82" i="6" s="1"/>
  <c r="DS80" i="6"/>
  <c r="DS81" i="6" s="1"/>
  <c r="DU72" i="6"/>
  <c r="DT72" i="6"/>
  <c r="DS72" i="6"/>
  <c r="DU71" i="6"/>
  <c r="DT71" i="6"/>
  <c r="DS71" i="6"/>
  <c r="DU61" i="6"/>
  <c r="DU62" i="6"/>
  <c r="DT62" i="6"/>
  <c r="DS62" i="6"/>
  <c r="DT61" i="6"/>
  <c r="DS61" i="6"/>
  <c r="DU57" i="6"/>
  <c r="DU53" i="6"/>
  <c r="DU55" i="6" s="1"/>
  <c r="DT8" i="15" s="1"/>
  <c r="DT53" i="6"/>
  <c r="DT54" i="6" s="1"/>
  <c r="DS53" i="6"/>
  <c r="DS55" i="6" s="1"/>
  <c r="DR8" i="15" s="1"/>
  <c r="DU39" i="6"/>
  <c r="DU33" i="6"/>
  <c r="DU35" i="6" s="1"/>
  <c r="DT33" i="6"/>
  <c r="DT35" i="6" s="1"/>
  <c r="DS33" i="6"/>
  <c r="DS34" i="6" s="1"/>
  <c r="DU25" i="6"/>
  <c r="DT25" i="6"/>
  <c r="DS25" i="6"/>
  <c r="DS39" i="6" s="1"/>
  <c r="DU24" i="6"/>
  <c r="DT24" i="6"/>
  <c r="DT38" i="6" s="1"/>
  <c r="DS24" i="6"/>
  <c r="DU17" i="6"/>
  <c r="DT17" i="6"/>
  <c r="DS17" i="6"/>
  <c r="DT16" i="6"/>
  <c r="DT18" i="6" s="1"/>
  <c r="DT19" i="6" s="1"/>
  <c r="DU16" i="6"/>
  <c r="DU18" i="6" s="1"/>
  <c r="DU19" i="6" s="1"/>
  <c r="DS16" i="6"/>
  <c r="DS18" i="6" s="1"/>
  <c r="DU10" i="6"/>
  <c r="DU12" i="6" s="1"/>
  <c r="DT8" i="8" s="1"/>
  <c r="DT10" i="6"/>
  <c r="DT12" i="6" s="1"/>
  <c r="DS8" i="8" s="1"/>
  <c r="DS10" i="6"/>
  <c r="DS11" i="6" s="1"/>
  <c r="DU80" i="4"/>
  <c r="DU81" i="4" s="1"/>
  <c r="DT80" i="4"/>
  <c r="DT82" i="4" s="1"/>
  <c r="DS80" i="4"/>
  <c r="DS82" i="4" s="1"/>
  <c r="DT73" i="4"/>
  <c r="DT75" i="4" s="1"/>
  <c r="DS73" i="4"/>
  <c r="DS75" i="4" s="1"/>
  <c r="DU72" i="4"/>
  <c r="DU73" i="4" s="1"/>
  <c r="DU75" i="4" s="1"/>
  <c r="DT72" i="4"/>
  <c r="DS72" i="4"/>
  <c r="DS64" i="4"/>
  <c r="DS63" i="4"/>
  <c r="DU62" i="4"/>
  <c r="DU86" i="4" s="1"/>
  <c r="DT62" i="4"/>
  <c r="DT86" i="4" s="1"/>
  <c r="DS62" i="4"/>
  <c r="DU61" i="4"/>
  <c r="DU85" i="4" s="1"/>
  <c r="DT61" i="4"/>
  <c r="DT85" i="4" s="1"/>
  <c r="DS61" i="4"/>
  <c r="DS55" i="4"/>
  <c r="DR7" i="15" s="1"/>
  <c r="DU53" i="4"/>
  <c r="DU55" i="4" s="1"/>
  <c r="DT7" i="15" s="1"/>
  <c r="DT53" i="4"/>
  <c r="DT54" i="4" s="1"/>
  <c r="DS53" i="4"/>
  <c r="DS54" i="4" s="1"/>
  <c r="DU33" i="4"/>
  <c r="DU35" i="4" s="1"/>
  <c r="DT33" i="4"/>
  <c r="DT35" i="4" s="1"/>
  <c r="DS33" i="4"/>
  <c r="DS35" i="4" s="1"/>
  <c r="DU25" i="4"/>
  <c r="DU26" i="4" s="1"/>
  <c r="DU28" i="4" s="1"/>
  <c r="DT25" i="4"/>
  <c r="DT26" i="4" s="1"/>
  <c r="DT28" i="4" s="1"/>
  <c r="DS25" i="4"/>
  <c r="DS26" i="4" s="1"/>
  <c r="DS27" i="4" s="1"/>
  <c r="DU17" i="4"/>
  <c r="DT17" i="4"/>
  <c r="DS17" i="4"/>
  <c r="DU16" i="4"/>
  <c r="DU38" i="4" s="1"/>
  <c r="DT16" i="4"/>
  <c r="DT38" i="4" s="1"/>
  <c r="DS16" i="4"/>
  <c r="DU10" i="4"/>
  <c r="DU12" i="4" s="1"/>
  <c r="DT7" i="8" s="1"/>
  <c r="DT10" i="4"/>
  <c r="DT12" i="4" s="1"/>
  <c r="DS7" i="8" s="1"/>
  <c r="DS10" i="4"/>
  <c r="DS11" i="4" s="1"/>
  <c r="DT38" i="5" l="1"/>
  <c r="DT40" i="5" s="1"/>
  <c r="DT41" i="5" s="1"/>
  <c r="DU67" i="5"/>
  <c r="DU54" i="4"/>
  <c r="DU38" i="5"/>
  <c r="DT11" i="4"/>
  <c r="DU11" i="4"/>
  <c r="DT18" i="4"/>
  <c r="DT19" i="4" s="1"/>
  <c r="DS86" i="4"/>
  <c r="DT86" i="6"/>
  <c r="DS11" i="5"/>
  <c r="DS20" i="4"/>
  <c r="DR7" i="13" s="1"/>
  <c r="DU18" i="4"/>
  <c r="DU19" i="4" s="1"/>
  <c r="DT39" i="6"/>
  <c r="DU20" i="4"/>
  <c r="DT7" i="13" s="1"/>
  <c r="DS18" i="4"/>
  <c r="DS19" i="4" s="1"/>
  <c r="DU63" i="4"/>
  <c r="DS54" i="6"/>
  <c r="DU88" i="5"/>
  <c r="DS65" i="4"/>
  <c r="DR7" i="14" s="1"/>
  <c r="DS57" i="6"/>
  <c r="DU7" i="26"/>
  <c r="DW7" i="26"/>
  <c r="DV89" i="7"/>
  <c r="DW89" i="7"/>
  <c r="DW41" i="7"/>
  <c r="DU64" i="4"/>
  <c r="DS67" i="4"/>
  <c r="DS39" i="4"/>
  <c r="DT39" i="4"/>
  <c r="DT40" i="4" s="1"/>
  <c r="DT41" i="4" s="1"/>
  <c r="DT57" i="4"/>
  <c r="DU65" i="4"/>
  <c r="DT7" i="14" s="1"/>
  <c r="DS12" i="4"/>
  <c r="DR7" i="8" s="1"/>
  <c r="DU39" i="4"/>
  <c r="DU40" i="4" s="1"/>
  <c r="DU41" i="4" s="1"/>
  <c r="DT55" i="4"/>
  <c r="DS7" i="15" s="1"/>
  <c r="DU57" i="4"/>
  <c r="DT63" i="4"/>
  <c r="DS85" i="4"/>
  <c r="DS62" i="7"/>
  <c r="DS57" i="4"/>
  <c r="DS38" i="4"/>
  <c r="DS40" i="4" s="1"/>
  <c r="DS41" i="4" s="1"/>
  <c r="DU12" i="13"/>
  <c r="DU87" i="4"/>
  <c r="DU88" i="4" s="1"/>
  <c r="DS74" i="4"/>
  <c r="DU74" i="4"/>
  <c r="DX89" i="7"/>
  <c r="DT63" i="6"/>
  <c r="DT64" i="6" s="1"/>
  <c r="DU85" i="6"/>
  <c r="DT17" i="7"/>
  <c r="DS38" i="6"/>
  <c r="DS40" i="6" s="1"/>
  <c r="DS41" i="6" s="1"/>
  <c r="DT57" i="6"/>
  <c r="DS86" i="6"/>
  <c r="DS87" i="6" s="1"/>
  <c r="DS88" i="6" s="1"/>
  <c r="DW6" i="26"/>
  <c r="DW12" i="13"/>
  <c r="DT11" i="6"/>
  <c r="DU38" i="6"/>
  <c r="DU40" i="6" s="1"/>
  <c r="DU41" i="6" s="1"/>
  <c r="DT85" i="6"/>
  <c r="DU86" i="6"/>
  <c r="DT10" i="7"/>
  <c r="DT11" i="7" s="1"/>
  <c r="DT53" i="7"/>
  <c r="DT55" i="7" s="1"/>
  <c r="DS12" i="15" s="1"/>
  <c r="DS53" i="7"/>
  <c r="DS54" i="7" s="1"/>
  <c r="DU10" i="7"/>
  <c r="DU53" i="7"/>
  <c r="DU55" i="7" s="1"/>
  <c r="DT12" i="15" s="1"/>
  <c r="DS10" i="7"/>
  <c r="DS11" i="7" s="1"/>
  <c r="DT27" i="4"/>
  <c r="DS40" i="5"/>
  <c r="DS41" i="5" s="1"/>
  <c r="DT34" i="6"/>
  <c r="DU82" i="4"/>
  <c r="DT87" i="4"/>
  <c r="DT88" i="4" s="1"/>
  <c r="DS34" i="4"/>
  <c r="DX41" i="7"/>
  <c r="DX42" i="7"/>
  <c r="DV41" i="7"/>
  <c r="DV42" i="7"/>
  <c r="DU35" i="7"/>
  <c r="DT8" i="26" s="1"/>
  <c r="DT35" i="7"/>
  <c r="DS8" i="26" s="1"/>
  <c r="DU40" i="5"/>
  <c r="DU41" i="5" s="1"/>
  <c r="DT40" i="6"/>
  <c r="DT41" i="6" s="1"/>
  <c r="DU34" i="6"/>
  <c r="DT81" i="4"/>
  <c r="DS28" i="4"/>
  <c r="DU34" i="4"/>
  <c r="DS35" i="7"/>
  <c r="DR8" i="26" s="1"/>
  <c r="DS82" i="5"/>
  <c r="DT34" i="5"/>
  <c r="DU82" i="6"/>
  <c r="DT74" i="4"/>
  <c r="DS81" i="4"/>
  <c r="DS82" i="7"/>
  <c r="DU82" i="7"/>
  <c r="DT82" i="7"/>
  <c r="DU27" i="4"/>
  <c r="DT34" i="4"/>
  <c r="DU34" i="7"/>
  <c r="DT88" i="5"/>
  <c r="DS89" i="5"/>
  <c r="DT81" i="5"/>
  <c r="DU82" i="5"/>
  <c r="DU75" i="5"/>
  <c r="DU74" i="5"/>
  <c r="DT73" i="5"/>
  <c r="DT75" i="5" s="1"/>
  <c r="DS73" i="5"/>
  <c r="DS75" i="5" s="1"/>
  <c r="DU64" i="5"/>
  <c r="DU65" i="5"/>
  <c r="DT9" i="14" s="1"/>
  <c r="DT64" i="5"/>
  <c r="DS65" i="5"/>
  <c r="DR9" i="14" s="1"/>
  <c r="DT67" i="5"/>
  <c r="DU54" i="5"/>
  <c r="DS55" i="5"/>
  <c r="DR9" i="15" s="1"/>
  <c r="DS57" i="5"/>
  <c r="DT57" i="5"/>
  <c r="DT55" i="5"/>
  <c r="DS9" i="15" s="1"/>
  <c r="DU57" i="5"/>
  <c r="DU35" i="5"/>
  <c r="DS35" i="5"/>
  <c r="DU28" i="5"/>
  <c r="DT27" i="5"/>
  <c r="DS28" i="5"/>
  <c r="DU20" i="5"/>
  <c r="DT9" i="13" s="1"/>
  <c r="DU19" i="5"/>
  <c r="DS18" i="5"/>
  <c r="DS19" i="5" s="1"/>
  <c r="DT20" i="5"/>
  <c r="DS9" i="13" s="1"/>
  <c r="DT11" i="5"/>
  <c r="DU12" i="5"/>
  <c r="DT9" i="8" s="1"/>
  <c r="DT81" i="6"/>
  <c r="DS82" i="6"/>
  <c r="DU73" i="6"/>
  <c r="DU75" i="6" s="1"/>
  <c r="DS73" i="6"/>
  <c r="DS74" i="6" s="1"/>
  <c r="DT73" i="6"/>
  <c r="DT74" i="6" s="1"/>
  <c r="DS63" i="6"/>
  <c r="DS64" i="6" s="1"/>
  <c r="DU63" i="6"/>
  <c r="DU65" i="6" s="1"/>
  <c r="DT8" i="14" s="1"/>
  <c r="DT67" i="6"/>
  <c r="DT65" i="6"/>
  <c r="DS8" i="14" s="1"/>
  <c r="DU54" i="6"/>
  <c r="DT55" i="6"/>
  <c r="DS8" i="15" s="1"/>
  <c r="DS35" i="6"/>
  <c r="DU26" i="6"/>
  <c r="DU28" i="6" s="1"/>
  <c r="DT26" i="6"/>
  <c r="DT27" i="6" s="1"/>
  <c r="DS26" i="6"/>
  <c r="DS27" i="6" s="1"/>
  <c r="DU20" i="6"/>
  <c r="DT8" i="13" s="1"/>
  <c r="DT20" i="6"/>
  <c r="DS8" i="13" s="1"/>
  <c r="DS19" i="6"/>
  <c r="DS20" i="6"/>
  <c r="DR8" i="13" s="1"/>
  <c r="DU11" i="6"/>
  <c r="DS12" i="6"/>
  <c r="DR8" i="8" s="1"/>
  <c r="DT85" i="2"/>
  <c r="DS85" i="2"/>
  <c r="DU80" i="2"/>
  <c r="DU81" i="2" s="1"/>
  <c r="DT80" i="2"/>
  <c r="DT81" i="2" s="1"/>
  <c r="DS80" i="2"/>
  <c r="DS81" i="2" s="1"/>
  <c r="DU72" i="2"/>
  <c r="DT72" i="2"/>
  <c r="DT73" i="2" s="1"/>
  <c r="DT75" i="2" s="1"/>
  <c r="DS72" i="2"/>
  <c r="DU71" i="2"/>
  <c r="DU73" i="2" s="1"/>
  <c r="DU75" i="2" s="1"/>
  <c r="DT71" i="2"/>
  <c r="DS71" i="2"/>
  <c r="DS73" i="2" s="1"/>
  <c r="DS75" i="2" s="1"/>
  <c r="DS65" i="2"/>
  <c r="DR6" i="14" s="1"/>
  <c r="DS63" i="2"/>
  <c r="DS64" i="2" s="1"/>
  <c r="DU62" i="2"/>
  <c r="DU86" i="2" s="1"/>
  <c r="DT62" i="2"/>
  <c r="DT62" i="7" s="1"/>
  <c r="DS62" i="2"/>
  <c r="DS86" i="2" s="1"/>
  <c r="DU61" i="2"/>
  <c r="DU85" i="2" s="1"/>
  <c r="DT61" i="2"/>
  <c r="DT61" i="7" s="1"/>
  <c r="DS61" i="2"/>
  <c r="DS61" i="7" s="1"/>
  <c r="DU55" i="2"/>
  <c r="DT6" i="15" s="1"/>
  <c r="DU53" i="2"/>
  <c r="DU54" i="2" s="1"/>
  <c r="DT53" i="2"/>
  <c r="DT55" i="2" s="1"/>
  <c r="DS6" i="15" s="1"/>
  <c r="DS53" i="2"/>
  <c r="DS55" i="2" s="1"/>
  <c r="DR6" i="15" s="1"/>
  <c r="DS38" i="2"/>
  <c r="DU33" i="2"/>
  <c r="DU34" i="2" s="1"/>
  <c r="DT33" i="2"/>
  <c r="DT35" i="2" s="1"/>
  <c r="DS33" i="2"/>
  <c r="DS34" i="2" s="1"/>
  <c r="DU25" i="2"/>
  <c r="DU25" i="7" s="1"/>
  <c r="DT25" i="2"/>
  <c r="DT26" i="2" s="1"/>
  <c r="DT27" i="2" s="1"/>
  <c r="DS25" i="2"/>
  <c r="DS25" i="7" s="1"/>
  <c r="DU24" i="2"/>
  <c r="DU24" i="7" s="1"/>
  <c r="DT24" i="2"/>
  <c r="DT24" i="7" s="1"/>
  <c r="DS24" i="2"/>
  <c r="DS24" i="7" s="1"/>
  <c r="DU17" i="2"/>
  <c r="DU39" i="2" s="1"/>
  <c r="DT17" i="2"/>
  <c r="DT39" i="2" s="1"/>
  <c r="DS17" i="2"/>
  <c r="DS39" i="2" s="1"/>
  <c r="DU16" i="2"/>
  <c r="DU18" i="2" s="1"/>
  <c r="DT16" i="2"/>
  <c r="DT18" i="2" s="1"/>
  <c r="DT19" i="2" s="1"/>
  <c r="DS16" i="2"/>
  <c r="DS16" i="7" s="1"/>
  <c r="DS11" i="2"/>
  <c r="DU10" i="2"/>
  <c r="DU12" i="2" s="1"/>
  <c r="DT6" i="8" s="1"/>
  <c r="DT10" i="2"/>
  <c r="DT12" i="2" s="1"/>
  <c r="DS6" i="8" s="1"/>
  <c r="DS10" i="2"/>
  <c r="DS12" i="2" s="1"/>
  <c r="DR6" i="8" s="1"/>
  <c r="DS87" i="4" l="1"/>
  <c r="DS88" i="4" s="1"/>
  <c r="DT87" i="6"/>
  <c r="DT88" i="6" s="1"/>
  <c r="DS63" i="7"/>
  <c r="DS64" i="7" s="1"/>
  <c r="DS26" i="7"/>
  <c r="DS27" i="7" s="1"/>
  <c r="DU26" i="7"/>
  <c r="DU28" i="7" s="1"/>
  <c r="DT5" i="24" s="1"/>
  <c r="DU20" i="2"/>
  <c r="DT6" i="13" s="1"/>
  <c r="DU19" i="2"/>
  <c r="DS67" i="5"/>
  <c r="DS57" i="2"/>
  <c r="DT65" i="2"/>
  <c r="DS6" i="14" s="1"/>
  <c r="DU16" i="7"/>
  <c r="DT25" i="7"/>
  <c r="DT26" i="7" s="1"/>
  <c r="DT28" i="7" s="1"/>
  <c r="DS5" i="24" s="1"/>
  <c r="DU61" i="7"/>
  <c r="DT20" i="4"/>
  <c r="DS7" i="13" s="1"/>
  <c r="DT57" i="2"/>
  <c r="DT16" i="7"/>
  <c r="DT18" i="7" s="1"/>
  <c r="DT19" i="7" s="1"/>
  <c r="DS20" i="2"/>
  <c r="DR6" i="13" s="1"/>
  <c r="DU57" i="2"/>
  <c r="DS17" i="7"/>
  <c r="DS18" i="7" s="1"/>
  <c r="DT38" i="2"/>
  <c r="DT38" i="7" s="1"/>
  <c r="DT63" i="2"/>
  <c r="DT20" i="2"/>
  <c r="DS6" i="13" s="1"/>
  <c r="DS26" i="2"/>
  <c r="DS27" i="2" s="1"/>
  <c r="DU38" i="2"/>
  <c r="DU38" i="7" s="1"/>
  <c r="DT54" i="2"/>
  <c r="DU63" i="2"/>
  <c r="DT12" i="7"/>
  <c r="DS5" i="26" s="1"/>
  <c r="DT11" i="2"/>
  <c r="DU11" i="2"/>
  <c r="DS18" i="2"/>
  <c r="DU17" i="7"/>
  <c r="DS54" i="2"/>
  <c r="DU26" i="2"/>
  <c r="DU28" i="2" s="1"/>
  <c r="DT86" i="2"/>
  <c r="DT86" i="7" s="1"/>
  <c r="DU62" i="7"/>
  <c r="DU67" i="4"/>
  <c r="DU54" i="7"/>
  <c r="DS85" i="7"/>
  <c r="DU39" i="7"/>
  <c r="DT39" i="7"/>
  <c r="DS39" i="7"/>
  <c r="DT67" i="4"/>
  <c r="DT64" i="4"/>
  <c r="DT65" i="4"/>
  <c r="DS7" i="14" s="1"/>
  <c r="DU57" i="7"/>
  <c r="DU85" i="7"/>
  <c r="DU87" i="6"/>
  <c r="DU88" i="6" s="1"/>
  <c r="DS38" i="7"/>
  <c r="DU89" i="4"/>
  <c r="DS42" i="4"/>
  <c r="DU42" i="4"/>
  <c r="DT89" i="4"/>
  <c r="DT57" i="7"/>
  <c r="DS12" i="8"/>
  <c r="DS57" i="7"/>
  <c r="DT85" i="7"/>
  <c r="DU86" i="7"/>
  <c r="DS42" i="6"/>
  <c r="DU11" i="7"/>
  <c r="DT54" i="7"/>
  <c r="DS55" i="7"/>
  <c r="DR12" i="15" s="1"/>
  <c r="DT63" i="7"/>
  <c r="DS86" i="7"/>
  <c r="DU12" i="7"/>
  <c r="DS12" i="7"/>
  <c r="DU42" i="6"/>
  <c r="DT42" i="4"/>
  <c r="DS42" i="5"/>
  <c r="DT42" i="6"/>
  <c r="DS89" i="4"/>
  <c r="DT74" i="2"/>
  <c r="DT82" i="2"/>
  <c r="DT42" i="5"/>
  <c r="DU42" i="5"/>
  <c r="DS89" i="6"/>
  <c r="DT75" i="6"/>
  <c r="DU74" i="2"/>
  <c r="DS74" i="2"/>
  <c r="DS87" i="2"/>
  <c r="DS88" i="2" s="1"/>
  <c r="DT34" i="2"/>
  <c r="DU35" i="2"/>
  <c r="DS74" i="5"/>
  <c r="DS75" i="6"/>
  <c r="DT28" i="6"/>
  <c r="DU27" i="6"/>
  <c r="DU82" i="2"/>
  <c r="DU87" i="2"/>
  <c r="DS82" i="2"/>
  <c r="DT28" i="2"/>
  <c r="DS35" i="2"/>
  <c r="DS40" i="2"/>
  <c r="DT74" i="5"/>
  <c r="DS20" i="5"/>
  <c r="DR9" i="13" s="1"/>
  <c r="DU74" i="6"/>
  <c r="DS65" i="6"/>
  <c r="DR8" i="14" s="1"/>
  <c r="DS67" i="6"/>
  <c r="DU64" i="6"/>
  <c r="DU67" i="6"/>
  <c r="DS28" i="6"/>
  <c r="DT89" i="1"/>
  <c r="DT88" i="1"/>
  <c r="DU87" i="1"/>
  <c r="DU88" i="1" s="1"/>
  <c r="DT87" i="1"/>
  <c r="DS87" i="1"/>
  <c r="DS89" i="1" s="1"/>
  <c r="DU71" i="1"/>
  <c r="DU71" i="7" s="1"/>
  <c r="DT71" i="1"/>
  <c r="DT71" i="7" s="1"/>
  <c r="DS71" i="1"/>
  <c r="DS71" i="7" s="1"/>
  <c r="DU72" i="1"/>
  <c r="DU72" i="7" s="1"/>
  <c r="DT72" i="1"/>
  <c r="DT72" i="7" s="1"/>
  <c r="DS72" i="1"/>
  <c r="DS72" i="7" s="1"/>
  <c r="DU80" i="1"/>
  <c r="DU81" i="1" s="1"/>
  <c r="DT80" i="1"/>
  <c r="DT82" i="1" s="1"/>
  <c r="DS80" i="1"/>
  <c r="DS82" i="1" s="1"/>
  <c r="DU65" i="1"/>
  <c r="DT5" i="14" s="1"/>
  <c r="DU63" i="1"/>
  <c r="DT63" i="1"/>
  <c r="DT65" i="1" s="1"/>
  <c r="DS5" i="14" s="1"/>
  <c r="DS63" i="1"/>
  <c r="DS64" i="1" s="1"/>
  <c r="DU53" i="1"/>
  <c r="DU55" i="1" s="1"/>
  <c r="DT5" i="15" s="1"/>
  <c r="DT53" i="1"/>
  <c r="DT54" i="1" s="1"/>
  <c r="DS53" i="1"/>
  <c r="DS54" i="1" s="1"/>
  <c r="DU41" i="1"/>
  <c r="DS41" i="1"/>
  <c r="DU40" i="1"/>
  <c r="DU42" i="1" s="1"/>
  <c r="DT40" i="1"/>
  <c r="DT41" i="1" s="1"/>
  <c r="DS40" i="1"/>
  <c r="DS42" i="1" s="1"/>
  <c r="DU26" i="1"/>
  <c r="DU27" i="1" s="1"/>
  <c r="DT26" i="1"/>
  <c r="DT28" i="1" s="1"/>
  <c r="DS26" i="1"/>
  <c r="DS27" i="1" s="1"/>
  <c r="DU18" i="1"/>
  <c r="DU20" i="1" s="1"/>
  <c r="DT5" i="13" s="1"/>
  <c r="DT18" i="1"/>
  <c r="DT20" i="1" s="1"/>
  <c r="DS5" i="13" s="1"/>
  <c r="DS18" i="1"/>
  <c r="DS20" i="1" s="1"/>
  <c r="DR5" i="13" s="1"/>
  <c r="DU33" i="1"/>
  <c r="DU34" i="1" s="1"/>
  <c r="DT33" i="1"/>
  <c r="DT34" i="1" s="1"/>
  <c r="DS33" i="1"/>
  <c r="DS34" i="1" s="1"/>
  <c r="DS11" i="1"/>
  <c r="DU10" i="1"/>
  <c r="DU12" i="1" s="1"/>
  <c r="DT5" i="8" s="1"/>
  <c r="DT10" i="1"/>
  <c r="DT12" i="1" s="1"/>
  <c r="DS5" i="8" s="1"/>
  <c r="DS10" i="1"/>
  <c r="DS12" i="1" s="1"/>
  <c r="DR5" i="8" s="1"/>
  <c r="DT40" i="2" l="1"/>
  <c r="DT41" i="2" s="1"/>
  <c r="DS65" i="7"/>
  <c r="DR12" i="14" s="1"/>
  <c r="DS28" i="2"/>
  <c r="DT89" i="6"/>
  <c r="DT7" i="26"/>
  <c r="DS9" i="26"/>
  <c r="DT27" i="7"/>
  <c r="DS7" i="26"/>
  <c r="DU27" i="7"/>
  <c r="DS28" i="7"/>
  <c r="DR7" i="26" s="1"/>
  <c r="DT87" i="7"/>
  <c r="DT88" i="7" s="1"/>
  <c r="DT87" i="2"/>
  <c r="DT88" i="2" s="1"/>
  <c r="DU40" i="2"/>
  <c r="DU41" i="2" s="1"/>
  <c r="DS19" i="7"/>
  <c r="DS20" i="7"/>
  <c r="DS67" i="7"/>
  <c r="DU27" i="2"/>
  <c r="DU11" i="1"/>
  <c r="DT19" i="1"/>
  <c r="DS19" i="2"/>
  <c r="DS67" i="2"/>
  <c r="DT64" i="2"/>
  <c r="DT67" i="2"/>
  <c r="DU63" i="7"/>
  <c r="DS57" i="1"/>
  <c r="DU64" i="2"/>
  <c r="DU67" i="2"/>
  <c r="DU65" i="2"/>
  <c r="DT6" i="14" s="1"/>
  <c r="DU18" i="7"/>
  <c r="DU54" i="1"/>
  <c r="DT73" i="1"/>
  <c r="DT74" i="1" s="1"/>
  <c r="DT11" i="1"/>
  <c r="DU19" i="1"/>
  <c r="DS55" i="1"/>
  <c r="DR5" i="15" s="1"/>
  <c r="DU67" i="1"/>
  <c r="DU73" i="1"/>
  <c r="DU75" i="1" s="1"/>
  <c r="DS88" i="1"/>
  <c r="DS19" i="1"/>
  <c r="DS87" i="7"/>
  <c r="DS88" i="7" s="1"/>
  <c r="DT20" i="7"/>
  <c r="DS12" i="13" s="1"/>
  <c r="DU89" i="6"/>
  <c r="DU87" i="7"/>
  <c r="DU88" i="7" s="1"/>
  <c r="DS81" i="1"/>
  <c r="DS73" i="7"/>
  <c r="DS74" i="7" s="1"/>
  <c r="DT73" i="7"/>
  <c r="DT74" i="7" s="1"/>
  <c r="DU73" i="7"/>
  <c r="DT57" i="1"/>
  <c r="DT55" i="1"/>
  <c r="DS5" i="15" s="1"/>
  <c r="DU57" i="1"/>
  <c r="DT64" i="1"/>
  <c r="DU89" i="1"/>
  <c r="DU64" i="1"/>
  <c r="DS73" i="1"/>
  <c r="DS75" i="1" s="1"/>
  <c r="DS65" i="1"/>
  <c r="DR5" i="14" s="1"/>
  <c r="DT67" i="1"/>
  <c r="DS67" i="1"/>
  <c r="DT65" i="7"/>
  <c r="DS12" i="14" s="1"/>
  <c r="DT64" i="7"/>
  <c r="DT67" i="7"/>
  <c r="DT12" i="8"/>
  <c r="DT5" i="26"/>
  <c r="DT9" i="26"/>
  <c r="DR5" i="26"/>
  <c r="DR12" i="8"/>
  <c r="DR9" i="26"/>
  <c r="DT81" i="1"/>
  <c r="DS89" i="2"/>
  <c r="DU28" i="1"/>
  <c r="DS35" i="1"/>
  <c r="DT35" i="1"/>
  <c r="DT27" i="1"/>
  <c r="DT42" i="1"/>
  <c r="DU88" i="2"/>
  <c r="DU89" i="2"/>
  <c r="DS40" i="7"/>
  <c r="DS41" i="2"/>
  <c r="DS42" i="2"/>
  <c r="DU82" i="1"/>
  <c r="DU35" i="1"/>
  <c r="DS28" i="1"/>
  <c r="DR79" i="7"/>
  <c r="DQ79" i="7"/>
  <c r="DP79" i="7"/>
  <c r="DR78" i="7"/>
  <c r="DQ78" i="7"/>
  <c r="DP78" i="7"/>
  <c r="DR52" i="7"/>
  <c r="DQ52" i="7"/>
  <c r="DP52" i="7"/>
  <c r="DR51" i="7"/>
  <c r="DQ51" i="7"/>
  <c r="DP51" i="7"/>
  <c r="DR32" i="7"/>
  <c r="DQ32" i="7"/>
  <c r="DP32" i="7"/>
  <c r="DR31" i="7"/>
  <c r="DQ31" i="7"/>
  <c r="DP31" i="7"/>
  <c r="DR9" i="7"/>
  <c r="DQ9" i="7"/>
  <c r="DP9" i="7"/>
  <c r="DR8" i="7"/>
  <c r="DQ8" i="7"/>
  <c r="DP8" i="7"/>
  <c r="DR62" i="2"/>
  <c r="DR86" i="2" s="1"/>
  <c r="DP72" i="2"/>
  <c r="DP62" i="2"/>
  <c r="DQ72" i="2"/>
  <c r="DR72" i="2"/>
  <c r="DR71" i="2"/>
  <c r="DQ71" i="2"/>
  <c r="DP71" i="2"/>
  <c r="DQ62" i="2"/>
  <c r="DR61" i="2"/>
  <c r="DQ61" i="2"/>
  <c r="DP61" i="2"/>
  <c r="DR25" i="2"/>
  <c r="DQ25" i="2"/>
  <c r="DP25" i="2"/>
  <c r="DR24" i="2"/>
  <c r="DQ24" i="2"/>
  <c r="DP24" i="2"/>
  <c r="DP24" i="7" s="1"/>
  <c r="DR17" i="2"/>
  <c r="DQ17" i="2"/>
  <c r="DP17" i="2"/>
  <c r="DR16" i="2"/>
  <c r="DQ16" i="2"/>
  <c r="DP16" i="2"/>
  <c r="DT40" i="7" l="1"/>
  <c r="DT41" i="7" s="1"/>
  <c r="DT42" i="2"/>
  <c r="DT89" i="7"/>
  <c r="DT89" i="2"/>
  <c r="DU40" i="7"/>
  <c r="DU41" i="7" s="1"/>
  <c r="DU42" i="2"/>
  <c r="DS6" i="26"/>
  <c r="DR5" i="24"/>
  <c r="DU20" i="7"/>
  <c r="DU19" i="7"/>
  <c r="DU65" i="7"/>
  <c r="DT12" i="14" s="1"/>
  <c r="DU64" i="7"/>
  <c r="DU67" i="7"/>
  <c r="DR6" i="26"/>
  <c r="DR12" i="13"/>
  <c r="DT75" i="1"/>
  <c r="DU74" i="1"/>
  <c r="DS89" i="7"/>
  <c r="DU89" i="7"/>
  <c r="DS75" i="7"/>
  <c r="DR6" i="24" s="1"/>
  <c r="DS74" i="1"/>
  <c r="DT75" i="7"/>
  <c r="DS6" i="24" s="1"/>
  <c r="DU75" i="7"/>
  <c r="DT6" i="24" s="1"/>
  <c r="DU74" i="7"/>
  <c r="DP53" i="7"/>
  <c r="DP55" i="7" s="1"/>
  <c r="DO12" i="15" s="1"/>
  <c r="DQ10" i="7"/>
  <c r="DQ11" i="7" s="1"/>
  <c r="DR53" i="7"/>
  <c r="DR55" i="7" s="1"/>
  <c r="DQ12" i="15" s="1"/>
  <c r="DQ53" i="7"/>
  <c r="DQ55" i="7" s="1"/>
  <c r="DP12" i="15" s="1"/>
  <c r="DP10" i="7"/>
  <c r="DP11" i="7" s="1"/>
  <c r="DS41" i="7"/>
  <c r="DS42" i="7"/>
  <c r="DR80" i="7"/>
  <c r="DR81" i="7" s="1"/>
  <c r="DR10" i="7"/>
  <c r="DR12" i="7" s="1"/>
  <c r="DQ33" i="7"/>
  <c r="DQ34" i="7" s="1"/>
  <c r="DR33" i="7"/>
  <c r="DR35" i="7" s="1"/>
  <c r="DQ8" i="26" s="1"/>
  <c r="DP80" i="7"/>
  <c r="DP81" i="7" s="1"/>
  <c r="DP33" i="7"/>
  <c r="DP34" i="7" s="1"/>
  <c r="DQ80" i="7"/>
  <c r="DQ81" i="7" s="1"/>
  <c r="DR72" i="1"/>
  <c r="DQ72" i="1"/>
  <c r="DP72" i="1"/>
  <c r="DR62" i="1"/>
  <c r="DQ62" i="1"/>
  <c r="DP62" i="1"/>
  <c r="DR71" i="1"/>
  <c r="DQ71" i="1"/>
  <c r="DP71" i="1"/>
  <c r="DQ61" i="1"/>
  <c r="DR61" i="1"/>
  <c r="DP61" i="1"/>
  <c r="DR25" i="1"/>
  <c r="DQ25" i="1"/>
  <c r="DP25" i="1"/>
  <c r="DR17" i="1"/>
  <c r="DQ17" i="1"/>
  <c r="DP17" i="1"/>
  <c r="DR24" i="1"/>
  <c r="DR24" i="7" s="1"/>
  <c r="DQ24" i="1"/>
  <c r="DQ24" i="7" s="1"/>
  <c r="DR16" i="1"/>
  <c r="DQ16" i="1"/>
  <c r="DP16" i="1"/>
  <c r="DP72" i="5"/>
  <c r="DR71" i="5"/>
  <c r="DQ71" i="5"/>
  <c r="DP71" i="5"/>
  <c r="DR61" i="5"/>
  <c r="DQ61" i="5"/>
  <c r="DP61" i="5"/>
  <c r="DT42" i="7" l="1"/>
  <c r="DQ12" i="7"/>
  <c r="DU42" i="7"/>
  <c r="DR54" i="7"/>
  <c r="DT6" i="26"/>
  <c r="DT12" i="13"/>
  <c r="DQ57" i="7"/>
  <c r="DQ54" i="7"/>
  <c r="DP54" i="7"/>
  <c r="DP57" i="7"/>
  <c r="DQ12" i="8"/>
  <c r="DQ5" i="26"/>
  <c r="DQ9" i="26"/>
  <c r="DP12" i="8"/>
  <c r="DP9" i="26"/>
  <c r="DP5" i="26"/>
  <c r="DP12" i="7"/>
  <c r="DR82" i="7"/>
  <c r="DQ35" i="7"/>
  <c r="DP8" i="26" s="1"/>
  <c r="DR57" i="7"/>
  <c r="DR11" i="7"/>
  <c r="DR34" i="7"/>
  <c r="DP35" i="7"/>
  <c r="DO8" i="26" s="1"/>
  <c r="DQ82" i="7"/>
  <c r="DP82" i="7"/>
  <c r="DR85" i="4"/>
  <c r="DQ85" i="4"/>
  <c r="DR72" i="4"/>
  <c r="DQ72" i="4"/>
  <c r="DP72" i="4"/>
  <c r="DR61" i="4"/>
  <c r="DQ61" i="4"/>
  <c r="DP61" i="4"/>
  <c r="DP85" i="4" s="1"/>
  <c r="DR62" i="4"/>
  <c r="DQ62" i="4"/>
  <c r="DQ86" i="4" s="1"/>
  <c r="DP62" i="4"/>
  <c r="DP86" i="4" s="1"/>
  <c r="DR25" i="4"/>
  <c r="DQ25" i="4"/>
  <c r="DP25" i="4"/>
  <c r="DR17" i="4"/>
  <c r="DQ17" i="4"/>
  <c r="DP17" i="4"/>
  <c r="DQ16" i="4"/>
  <c r="DP16" i="4"/>
  <c r="DR80" i="6"/>
  <c r="DR81" i="6" s="1"/>
  <c r="DQ80" i="6"/>
  <c r="DQ82" i="6" s="1"/>
  <c r="DP80" i="6"/>
  <c r="DP82" i="6" s="1"/>
  <c r="DP53" i="6"/>
  <c r="DP54" i="6" s="1"/>
  <c r="DQ53" i="6"/>
  <c r="DQ55" i="6" s="1"/>
  <c r="DP8" i="15" s="1"/>
  <c r="DR53" i="6"/>
  <c r="DR55" i="6" s="1"/>
  <c r="DQ8" i="15" s="1"/>
  <c r="DR25" i="6"/>
  <c r="DQ25" i="6"/>
  <c r="DP25" i="6"/>
  <c r="DP25" i="7" s="1"/>
  <c r="DP26" i="7" s="1"/>
  <c r="DP27" i="7" s="1"/>
  <c r="DR17" i="6"/>
  <c r="DR17" i="7" s="1"/>
  <c r="DQ17" i="6"/>
  <c r="DP17" i="6"/>
  <c r="DR16" i="6"/>
  <c r="DR16" i="7" s="1"/>
  <c r="DQ16" i="6"/>
  <c r="DQ16" i="7" s="1"/>
  <c r="DP16" i="6"/>
  <c r="DP16" i="7" s="1"/>
  <c r="DR86" i="4" l="1"/>
  <c r="DR87" i="4" s="1"/>
  <c r="DR88" i="4" s="1"/>
  <c r="DQ54" i="6"/>
  <c r="DQ25" i="7"/>
  <c r="DQ26" i="7" s="1"/>
  <c r="DQ27" i="7" s="1"/>
  <c r="DQ17" i="7"/>
  <c r="DQ18" i="7" s="1"/>
  <c r="DQ19" i="7" s="1"/>
  <c r="DR25" i="7"/>
  <c r="DR26" i="7" s="1"/>
  <c r="DR27" i="7" s="1"/>
  <c r="DP17" i="7"/>
  <c r="DP18" i="7" s="1"/>
  <c r="DP20" i="7" s="1"/>
  <c r="DR18" i="7"/>
  <c r="DR19" i="7" s="1"/>
  <c r="DP28" i="7"/>
  <c r="DO7" i="26" s="1"/>
  <c r="DR54" i="6"/>
  <c r="DP55" i="6"/>
  <c r="DO8" i="15" s="1"/>
  <c r="DQ81" i="6"/>
  <c r="DO12" i="8"/>
  <c r="DO5" i="26"/>
  <c r="DO9" i="26"/>
  <c r="DP81" i="6"/>
  <c r="DR82" i="6"/>
  <c r="DR38" i="6"/>
  <c r="DQ38" i="6"/>
  <c r="DP38" i="6"/>
  <c r="DR62" i="6"/>
  <c r="DQ62" i="6"/>
  <c r="DQ63" i="6" s="1"/>
  <c r="DP62" i="6"/>
  <c r="DP63" i="6" s="1"/>
  <c r="DP64" i="6" s="1"/>
  <c r="DR61" i="6"/>
  <c r="DQ61" i="6"/>
  <c r="DP61" i="6"/>
  <c r="DQ73" i="6"/>
  <c r="DR72" i="6"/>
  <c r="DR72" i="7" s="1"/>
  <c r="DQ72" i="6"/>
  <c r="DQ72" i="7" s="1"/>
  <c r="DP72" i="6"/>
  <c r="DP72" i="7" s="1"/>
  <c r="DR71" i="6"/>
  <c r="DR71" i="7" s="1"/>
  <c r="DQ71" i="6"/>
  <c r="DQ71" i="7" s="1"/>
  <c r="DP71" i="6"/>
  <c r="DP71" i="7" s="1"/>
  <c r="DM71" i="6"/>
  <c r="DR39" i="6"/>
  <c r="DQ39" i="6"/>
  <c r="DP39" i="6"/>
  <c r="DR33" i="6"/>
  <c r="DR35" i="6" s="1"/>
  <c r="DQ33" i="6"/>
  <c r="DQ34" i="6" s="1"/>
  <c r="DP33" i="6"/>
  <c r="DP35" i="6" s="1"/>
  <c r="DR26" i="6"/>
  <c r="DR28" i="6" s="1"/>
  <c r="DQ26" i="6"/>
  <c r="DQ28" i="6" s="1"/>
  <c r="DP26" i="6"/>
  <c r="DP27" i="6" s="1"/>
  <c r="DR18" i="6"/>
  <c r="DQ18" i="6"/>
  <c r="DQ19" i="6" s="1"/>
  <c r="DP18" i="6"/>
  <c r="DP19" i="6" s="1"/>
  <c r="DR10" i="6"/>
  <c r="DR57" i="6" s="1"/>
  <c r="DQ10" i="6"/>
  <c r="DQ12" i="6" s="1"/>
  <c r="DP8" i="8" s="1"/>
  <c r="DP10" i="6"/>
  <c r="DP57" i="6" s="1"/>
  <c r="DR55" i="4"/>
  <c r="DQ7" i="15" s="1"/>
  <c r="DR54" i="4"/>
  <c r="DQ54" i="4"/>
  <c r="DR53" i="4"/>
  <c r="DQ53" i="4"/>
  <c r="DQ55" i="4" s="1"/>
  <c r="DP7" i="15" s="1"/>
  <c r="DP53" i="4"/>
  <c r="DP54" i="4" s="1"/>
  <c r="DR63" i="4"/>
  <c r="DR64" i="4" s="1"/>
  <c r="DQ63" i="4"/>
  <c r="DQ65" i="4" s="1"/>
  <c r="DP7" i="14" s="1"/>
  <c r="DP63" i="4"/>
  <c r="DP65" i="4" s="1"/>
  <c r="DO7" i="14" s="1"/>
  <c r="DR73" i="4"/>
  <c r="DR75" i="4" s="1"/>
  <c r="DQ73" i="4"/>
  <c r="DQ74" i="4" s="1"/>
  <c r="DP73" i="4"/>
  <c r="DP75" i="4" s="1"/>
  <c r="DR80" i="4"/>
  <c r="DR81" i="4" s="1"/>
  <c r="DQ80" i="4"/>
  <c r="DQ81" i="4" s="1"/>
  <c r="DP80" i="4"/>
  <c r="DP81" i="4" s="1"/>
  <c r="DQ87" i="4"/>
  <c r="DQ89" i="4" s="1"/>
  <c r="DP87" i="4"/>
  <c r="DP89" i="4" s="1"/>
  <c r="DR39" i="4"/>
  <c r="DQ39" i="4"/>
  <c r="DP39" i="4"/>
  <c r="DR33" i="4"/>
  <c r="DR34" i="4" s="1"/>
  <c r="DQ33" i="4"/>
  <c r="DQ34" i="4" s="1"/>
  <c r="DP33" i="4"/>
  <c r="DP35" i="4" s="1"/>
  <c r="DR26" i="4"/>
  <c r="DR27" i="4" s="1"/>
  <c r="DQ26" i="4"/>
  <c r="DQ28" i="4" s="1"/>
  <c r="DP26" i="4"/>
  <c r="DP28" i="4" s="1"/>
  <c r="DR18" i="4"/>
  <c r="DR20" i="4" s="1"/>
  <c r="DQ7" i="13" s="1"/>
  <c r="DQ18" i="4"/>
  <c r="DP18" i="4"/>
  <c r="DP10" i="4"/>
  <c r="DP11" i="4" s="1"/>
  <c r="DQ10" i="4"/>
  <c r="DQ11" i="4" s="1"/>
  <c r="DR10" i="4"/>
  <c r="DR12" i="4" s="1"/>
  <c r="DQ7" i="8" s="1"/>
  <c r="DR38" i="4"/>
  <c r="DQ38" i="4"/>
  <c r="DP38" i="4"/>
  <c r="DR87" i="5"/>
  <c r="DR89" i="5" s="1"/>
  <c r="DQ87" i="5"/>
  <c r="DQ88" i="5" s="1"/>
  <c r="DP87" i="5"/>
  <c r="DP89" i="5" s="1"/>
  <c r="DR80" i="5"/>
  <c r="DR82" i="5" s="1"/>
  <c r="DQ80" i="5"/>
  <c r="DQ82" i="5" s="1"/>
  <c r="DP80" i="5"/>
  <c r="DP81" i="5" s="1"/>
  <c r="DR73" i="5"/>
  <c r="DR75" i="5" s="1"/>
  <c r="DQ73" i="5"/>
  <c r="DQ74" i="5" s="1"/>
  <c r="DP73" i="5"/>
  <c r="DP75" i="5" s="1"/>
  <c r="DR63" i="5"/>
  <c r="DR64" i="5" s="1"/>
  <c r="DQ63" i="5"/>
  <c r="DQ65" i="5" s="1"/>
  <c r="DP9" i="14" s="1"/>
  <c r="DP63" i="5"/>
  <c r="DP64" i="5" s="1"/>
  <c r="DQ89" i="5" l="1"/>
  <c r="DR11" i="4"/>
  <c r="DR73" i="6"/>
  <c r="DR75" i="6" s="1"/>
  <c r="DR88" i="5"/>
  <c r="DP88" i="5"/>
  <c r="DQ11" i="6"/>
  <c r="DR57" i="4"/>
  <c r="DR11" i="6"/>
  <c r="DR20" i="7"/>
  <c r="DQ12" i="13" s="1"/>
  <c r="DQ28" i="7"/>
  <c r="DP5" i="24" s="1"/>
  <c r="DR28" i="7"/>
  <c r="DQ5" i="24" s="1"/>
  <c r="DP12" i="4"/>
  <c r="DO7" i="8" s="1"/>
  <c r="DP57" i="4"/>
  <c r="DQ12" i="4"/>
  <c r="DP7" i="8" s="1"/>
  <c r="DP55" i="4"/>
  <c r="DO7" i="15" s="1"/>
  <c r="DQ57" i="4"/>
  <c r="DO5" i="24"/>
  <c r="DP74" i="4"/>
  <c r="DP27" i="4"/>
  <c r="DP34" i="4"/>
  <c r="DR73" i="7"/>
  <c r="DR74" i="7" s="1"/>
  <c r="DO12" i="13"/>
  <c r="DO6" i="26"/>
  <c r="DR61" i="7"/>
  <c r="DR85" i="6"/>
  <c r="DP73" i="7"/>
  <c r="DP74" i="7" s="1"/>
  <c r="DP62" i="7"/>
  <c r="DP86" i="6"/>
  <c r="DQ67" i="6"/>
  <c r="DQ65" i="6"/>
  <c r="DP8" i="14" s="1"/>
  <c r="DQ57" i="6"/>
  <c r="DP19" i="7"/>
  <c r="DP12" i="6"/>
  <c r="DO8" i="8" s="1"/>
  <c r="DQ73" i="7"/>
  <c r="DQ74" i="7" s="1"/>
  <c r="DP61" i="7"/>
  <c r="DP85" i="6"/>
  <c r="DP87" i="6" s="1"/>
  <c r="DP88" i="6" s="1"/>
  <c r="DQ62" i="7"/>
  <c r="DQ86" i="6"/>
  <c r="DR63" i="6"/>
  <c r="DR65" i="6" s="1"/>
  <c r="DQ8" i="14" s="1"/>
  <c r="DP67" i="6"/>
  <c r="DP65" i="6"/>
  <c r="DO8" i="14" s="1"/>
  <c r="DP11" i="6"/>
  <c r="DP73" i="6"/>
  <c r="DP74" i="6" s="1"/>
  <c r="DQ61" i="7"/>
  <c r="DQ63" i="7" s="1"/>
  <c r="DQ85" i="6"/>
  <c r="DR62" i="7"/>
  <c r="DR86" i="6"/>
  <c r="DR86" i="7" s="1"/>
  <c r="DQ64" i="6"/>
  <c r="DQ20" i="7"/>
  <c r="DQ81" i="5"/>
  <c r="DP34" i="6"/>
  <c r="DQ35" i="4"/>
  <c r="DP82" i="4"/>
  <c r="DQ82" i="4"/>
  <c r="DQ88" i="4"/>
  <c r="DR20" i="6"/>
  <c r="DQ8" i="13" s="1"/>
  <c r="DR12" i="6"/>
  <c r="DQ8" i="8" s="1"/>
  <c r="DR81" i="5"/>
  <c r="DR34" i="6"/>
  <c r="DR35" i="4"/>
  <c r="DP82" i="5"/>
  <c r="DQ74" i="6"/>
  <c r="DQ75" i="6"/>
  <c r="DR74" i="6"/>
  <c r="DQ35" i="6"/>
  <c r="DR82" i="4"/>
  <c r="DR74" i="5"/>
  <c r="DP74" i="5"/>
  <c r="DQ75" i="5"/>
  <c r="DR65" i="5"/>
  <c r="DQ9" i="14" s="1"/>
  <c r="DQ64" i="5"/>
  <c r="DP65" i="5"/>
  <c r="DO9" i="14" s="1"/>
  <c r="DP88" i="4"/>
  <c r="DR89" i="4"/>
  <c r="DR74" i="4"/>
  <c r="DQ75" i="4"/>
  <c r="DR65" i="4"/>
  <c r="DQ7" i="14" s="1"/>
  <c r="DQ67" i="4"/>
  <c r="DQ64" i="4"/>
  <c r="DP64" i="4"/>
  <c r="DP67" i="4"/>
  <c r="DQ27" i="4"/>
  <c r="DR28" i="4"/>
  <c r="DQ40" i="4"/>
  <c r="DQ41" i="4" s="1"/>
  <c r="DP40" i="4"/>
  <c r="DP42" i="4" s="1"/>
  <c r="DR67" i="4"/>
  <c r="DR19" i="4"/>
  <c r="DR40" i="4"/>
  <c r="DR41" i="4" s="1"/>
  <c r="DQ19" i="4"/>
  <c r="DQ20" i="4"/>
  <c r="DP7" i="13" s="1"/>
  <c r="DP20" i="4"/>
  <c r="DO7" i="13" s="1"/>
  <c r="DP19" i="4"/>
  <c r="DQ27" i="6"/>
  <c r="DR27" i="6"/>
  <c r="DP28" i="6"/>
  <c r="DQ40" i="6"/>
  <c r="DQ41" i="6" s="1"/>
  <c r="DP40" i="6"/>
  <c r="DP42" i="6" s="1"/>
  <c r="DR19" i="6"/>
  <c r="DR40" i="6"/>
  <c r="DR42" i="6" s="1"/>
  <c r="DP20" i="6"/>
  <c r="DO8" i="13" s="1"/>
  <c r="DQ20" i="6"/>
  <c r="DP8" i="13" s="1"/>
  <c r="DR39" i="5"/>
  <c r="DQ39" i="5"/>
  <c r="DP39" i="5"/>
  <c r="DR38" i="5"/>
  <c r="DQ38" i="5"/>
  <c r="DP38" i="5"/>
  <c r="DR33" i="5"/>
  <c r="DR35" i="5" s="1"/>
  <c r="DQ33" i="5"/>
  <c r="DQ35" i="5" s="1"/>
  <c r="DR26" i="5"/>
  <c r="DR27" i="5" s="1"/>
  <c r="DQ26" i="5"/>
  <c r="DQ27" i="5" s="1"/>
  <c r="DP26" i="5"/>
  <c r="DP28" i="5" s="1"/>
  <c r="DQ6" i="26" l="1"/>
  <c r="DP75" i="6"/>
  <c r="DR67" i="6"/>
  <c r="DQ7" i="26"/>
  <c r="DP7" i="26"/>
  <c r="DQ87" i="6"/>
  <c r="DQ88" i="6" s="1"/>
  <c r="DP89" i="6"/>
  <c r="DR87" i="6"/>
  <c r="DR88" i="6" s="1"/>
  <c r="DR75" i="7"/>
  <c r="DQ6" i="24" s="1"/>
  <c r="DR63" i="7"/>
  <c r="DR65" i="7" s="1"/>
  <c r="DQ12" i="14" s="1"/>
  <c r="DQ64" i="7"/>
  <c r="DQ67" i="7"/>
  <c r="DP63" i="7"/>
  <c r="DP67" i="7" s="1"/>
  <c r="DP75" i="7"/>
  <c r="DO6" i="24" s="1"/>
  <c r="DR64" i="6"/>
  <c r="DQ65" i="7"/>
  <c r="DP12" i="14" s="1"/>
  <c r="DQ75" i="7"/>
  <c r="DP6" i="24" s="1"/>
  <c r="DP12" i="13"/>
  <c r="DP6" i="26"/>
  <c r="DR34" i="5"/>
  <c r="DQ34" i="5"/>
  <c r="DR28" i="5"/>
  <c r="DR40" i="5"/>
  <c r="DR42" i="5" s="1"/>
  <c r="DQ40" i="5"/>
  <c r="DQ41" i="5" s="1"/>
  <c r="DP27" i="5"/>
  <c r="DP41" i="4"/>
  <c r="DQ42" i="4"/>
  <c r="DR42" i="4"/>
  <c r="DP41" i="6"/>
  <c r="DQ42" i="6"/>
  <c r="DR41" i="6"/>
  <c r="DQ28" i="5"/>
  <c r="DP40" i="5"/>
  <c r="DP41" i="5" s="1"/>
  <c r="DQ86" i="2"/>
  <c r="DQ86" i="7" s="1"/>
  <c r="DP86" i="2"/>
  <c r="DP86" i="7" s="1"/>
  <c r="DR85" i="2"/>
  <c r="DR85" i="7" s="1"/>
  <c r="DR87" i="7" s="1"/>
  <c r="DQ85" i="2"/>
  <c r="DP85" i="2"/>
  <c r="DP85" i="7" s="1"/>
  <c r="DR80" i="2"/>
  <c r="DR82" i="2" s="1"/>
  <c r="DQ80" i="2"/>
  <c r="DQ81" i="2" s="1"/>
  <c r="DP80" i="2"/>
  <c r="DP82" i="2" s="1"/>
  <c r="DR73" i="2"/>
  <c r="DR74" i="2" s="1"/>
  <c r="DQ73" i="2"/>
  <c r="DQ74" i="2" s="1"/>
  <c r="DP73" i="2"/>
  <c r="DP74" i="2" s="1"/>
  <c r="DR63" i="2"/>
  <c r="DR65" i="2" s="1"/>
  <c r="DQ6" i="14" s="1"/>
  <c r="DQ63" i="2"/>
  <c r="DQ64" i="2" s="1"/>
  <c r="DP63" i="2"/>
  <c r="DP64" i="2" s="1"/>
  <c r="DP57" i="2"/>
  <c r="DP55" i="2"/>
  <c r="DO6" i="15" s="1"/>
  <c r="DP54" i="2"/>
  <c r="DR53" i="2"/>
  <c r="DR55" i="2" s="1"/>
  <c r="DQ6" i="15" s="1"/>
  <c r="DQ53" i="2"/>
  <c r="DQ57" i="2" s="1"/>
  <c r="DP53" i="2"/>
  <c r="DR39" i="2"/>
  <c r="DR39" i="7" s="1"/>
  <c r="DQ39" i="2"/>
  <c r="DQ39" i="7" s="1"/>
  <c r="DP39" i="2"/>
  <c r="DP39" i="7" s="1"/>
  <c r="DR38" i="2"/>
  <c r="DR38" i="7" s="1"/>
  <c r="DQ38" i="2"/>
  <c r="DQ38" i="7" s="1"/>
  <c r="DP38" i="2"/>
  <c r="DP38" i="7" s="1"/>
  <c r="DR33" i="2"/>
  <c r="DR34" i="2" s="1"/>
  <c r="DQ33" i="2"/>
  <c r="DQ34" i="2" s="1"/>
  <c r="DP33" i="2"/>
  <c r="DP35" i="2" s="1"/>
  <c r="DR26" i="2"/>
  <c r="DR27" i="2" s="1"/>
  <c r="DQ26" i="2"/>
  <c r="DQ28" i="2" s="1"/>
  <c r="DP26" i="2"/>
  <c r="DP28" i="2" s="1"/>
  <c r="DP19" i="2"/>
  <c r="DR18" i="2"/>
  <c r="DR67" i="2" s="1"/>
  <c r="DQ18" i="2"/>
  <c r="DQ19" i="2" s="1"/>
  <c r="DP18" i="2"/>
  <c r="DP20" i="2" s="1"/>
  <c r="DO6" i="13" s="1"/>
  <c r="DQ12" i="2"/>
  <c r="DP6" i="8" s="1"/>
  <c r="DP12" i="2"/>
  <c r="DO6" i="8" s="1"/>
  <c r="DQ11" i="2"/>
  <c r="DP11" i="2"/>
  <c r="DR10" i="2"/>
  <c r="DR12" i="2" s="1"/>
  <c r="DQ6" i="8" s="1"/>
  <c r="DQ10" i="2"/>
  <c r="DP10" i="2"/>
  <c r="DQ89" i="6" l="1"/>
  <c r="DR57" i="2"/>
  <c r="DQ54" i="2"/>
  <c r="DR54" i="2"/>
  <c r="DR11" i="2"/>
  <c r="DQ55" i="2"/>
  <c r="DP6" i="15" s="1"/>
  <c r="DR64" i="7"/>
  <c r="DR67" i="7"/>
  <c r="DR89" i="6"/>
  <c r="DP65" i="7"/>
  <c r="DO12" i="14" s="1"/>
  <c r="DP64" i="7"/>
  <c r="DR81" i="2"/>
  <c r="DR41" i="5"/>
  <c r="DQ42" i="5"/>
  <c r="DQ82" i="2"/>
  <c r="DP81" i="2"/>
  <c r="DP34" i="2"/>
  <c r="DQ35" i="2"/>
  <c r="DR35" i="2"/>
  <c r="DQ27" i="2"/>
  <c r="DR88" i="7"/>
  <c r="DR89" i="7"/>
  <c r="DP87" i="7"/>
  <c r="DP88" i="7" s="1"/>
  <c r="DQ87" i="2"/>
  <c r="DQ88" i="2" s="1"/>
  <c r="DQ85" i="7"/>
  <c r="DQ87" i="7" s="1"/>
  <c r="DQ88" i="7" s="1"/>
  <c r="DP27" i="2"/>
  <c r="DR75" i="2"/>
  <c r="DP75" i="2"/>
  <c r="DQ75" i="2"/>
  <c r="DR87" i="2"/>
  <c r="DR89" i="2" s="1"/>
  <c r="DP87" i="2"/>
  <c r="DP88" i="2" s="1"/>
  <c r="DR64" i="2"/>
  <c r="DP65" i="2"/>
  <c r="DO6" i="14" s="1"/>
  <c r="DQ65" i="2"/>
  <c r="DP6" i="14" s="1"/>
  <c r="DR28" i="2"/>
  <c r="DQ40" i="2"/>
  <c r="DP40" i="2"/>
  <c r="DR40" i="2"/>
  <c r="DP67" i="2"/>
  <c r="DR20" i="2"/>
  <c r="DQ6" i="13" s="1"/>
  <c r="DQ20" i="2"/>
  <c r="DP6" i="13" s="1"/>
  <c r="DQ67" i="2"/>
  <c r="DR19" i="2"/>
  <c r="DP42" i="5"/>
  <c r="DQ89" i="2" l="1"/>
  <c r="DR88" i="2"/>
  <c r="DQ89" i="7"/>
  <c r="DP89" i="7"/>
  <c r="DP42" i="2"/>
  <c r="DQ41" i="2"/>
  <c r="DR41" i="2"/>
  <c r="DP89" i="2"/>
  <c r="DQ42" i="2"/>
  <c r="DP41" i="2"/>
  <c r="DR42" i="2"/>
  <c r="DR53" i="5"/>
  <c r="DQ53" i="5"/>
  <c r="DP53" i="5"/>
  <c r="DP33" i="5"/>
  <c r="DR18" i="5"/>
  <c r="DQ18" i="5"/>
  <c r="DP18" i="5"/>
  <c r="DP67" i="5" s="1"/>
  <c r="DR10" i="5"/>
  <c r="DQ10" i="5"/>
  <c r="DP10" i="5"/>
  <c r="DP12" i="5" s="1"/>
  <c r="DO9" i="8" s="1"/>
  <c r="DQ11" i="5" l="1"/>
  <c r="DQ12" i="5"/>
  <c r="DP9" i="8" s="1"/>
  <c r="DP57" i="5"/>
  <c r="DP54" i="5"/>
  <c r="DP55" i="5"/>
  <c r="DO9" i="15" s="1"/>
  <c r="DP11" i="5"/>
  <c r="DR11" i="5"/>
  <c r="DR12" i="5"/>
  <c r="DQ9" i="8" s="1"/>
  <c r="DP34" i="5"/>
  <c r="DP35" i="5"/>
  <c r="DR57" i="5"/>
  <c r="DR55" i="5"/>
  <c r="DQ9" i="15" s="1"/>
  <c r="DR54" i="5"/>
  <c r="DQ57" i="5"/>
  <c r="DQ54" i="5"/>
  <c r="DQ55" i="5"/>
  <c r="DP9" i="15" s="1"/>
  <c r="DP19" i="5"/>
  <c r="DR67" i="5"/>
  <c r="DR20" i="5"/>
  <c r="DQ9" i="13" s="1"/>
  <c r="DR19" i="5"/>
  <c r="DQ67" i="5"/>
  <c r="DQ20" i="5"/>
  <c r="DP9" i="13" s="1"/>
  <c r="DQ19" i="5"/>
  <c r="DP20" i="5"/>
  <c r="DO9" i="13" s="1"/>
  <c r="DP88" i="1"/>
  <c r="DR87" i="1"/>
  <c r="DR88" i="1" s="1"/>
  <c r="DQ87" i="1"/>
  <c r="DQ88" i="1" s="1"/>
  <c r="DP87" i="1"/>
  <c r="DP89" i="1" s="1"/>
  <c r="DR80" i="1"/>
  <c r="DR81" i="1" s="1"/>
  <c r="DQ80" i="1"/>
  <c r="DQ82" i="1" s="1"/>
  <c r="DP80" i="1"/>
  <c r="DP82" i="1" s="1"/>
  <c r="DR73" i="1"/>
  <c r="DR74" i="1" s="1"/>
  <c r="DQ73" i="1"/>
  <c r="DQ75" i="1" s="1"/>
  <c r="DP73" i="1"/>
  <c r="DP74" i="1" s="1"/>
  <c r="DR63" i="1"/>
  <c r="DR65" i="1" s="1"/>
  <c r="DQ5" i="14" s="1"/>
  <c r="DQ63" i="1"/>
  <c r="DQ64" i="1" s="1"/>
  <c r="DP63" i="1"/>
  <c r="DP65" i="1" s="1"/>
  <c r="DO5" i="14" s="1"/>
  <c r="DR53" i="1"/>
  <c r="DQ53" i="1"/>
  <c r="DQ54" i="1" s="1"/>
  <c r="DP53" i="1"/>
  <c r="DP55" i="1" s="1"/>
  <c r="DO5" i="15" s="1"/>
  <c r="DR40" i="1"/>
  <c r="DR40" i="7" s="1"/>
  <c r="DR41" i="7" s="1"/>
  <c r="DQ40" i="1"/>
  <c r="DQ40" i="7" s="1"/>
  <c r="DQ42" i="7" s="1"/>
  <c r="DP40" i="1"/>
  <c r="DP40" i="7" s="1"/>
  <c r="DP41" i="7" s="1"/>
  <c r="DR33" i="1"/>
  <c r="DR35" i="1" s="1"/>
  <c r="DQ33" i="1"/>
  <c r="DQ34" i="1" s="1"/>
  <c r="DP33" i="1"/>
  <c r="DP35" i="1" s="1"/>
  <c r="DR26" i="1"/>
  <c r="DR28" i="1" s="1"/>
  <c r="DQ26" i="1"/>
  <c r="DQ28" i="1" s="1"/>
  <c r="DP26" i="1"/>
  <c r="DP28" i="1" s="1"/>
  <c r="DR18" i="1"/>
  <c r="DQ18" i="1"/>
  <c r="DQ20" i="1" s="1"/>
  <c r="DP5" i="13" s="1"/>
  <c r="DP18" i="1"/>
  <c r="DR11" i="1"/>
  <c r="DR10" i="1"/>
  <c r="DR12" i="1" s="1"/>
  <c r="DQ5" i="8" s="1"/>
  <c r="DQ10" i="1"/>
  <c r="DQ12" i="1" s="1"/>
  <c r="DP5" i="8" s="1"/>
  <c r="DP10" i="1"/>
  <c r="DP12" i="1" s="1"/>
  <c r="DO5" i="8" s="1"/>
  <c r="DQ89" i="1" l="1"/>
  <c r="DP11" i="1"/>
  <c r="DP41" i="1"/>
  <c r="DP54" i="1"/>
  <c r="DR89" i="1"/>
  <c r="DP42" i="1"/>
  <c r="DR57" i="1"/>
  <c r="DQ11" i="1"/>
  <c r="DP57" i="1"/>
  <c r="DQ42" i="1"/>
  <c r="DQ41" i="1"/>
  <c r="DQ41" i="7"/>
  <c r="DP42" i="7"/>
  <c r="DP81" i="1"/>
  <c r="DR42" i="1"/>
  <c r="DR41" i="1"/>
  <c r="DR42" i="7"/>
  <c r="DQ35" i="1"/>
  <c r="DR75" i="1"/>
  <c r="DR34" i="1"/>
  <c r="DP34" i="1"/>
  <c r="DP64" i="1"/>
  <c r="DR82" i="1"/>
  <c r="DQ81" i="1"/>
  <c r="DQ74" i="1"/>
  <c r="DP75" i="1"/>
  <c r="DR64" i="1"/>
  <c r="DR67" i="1"/>
  <c r="DP67" i="1"/>
  <c r="DQ65" i="1"/>
  <c r="DP5" i="14" s="1"/>
  <c r="DR55" i="1"/>
  <c r="DQ5" i="15" s="1"/>
  <c r="DR54" i="1"/>
  <c r="DQ57" i="1"/>
  <c r="DQ55" i="1"/>
  <c r="DP5" i="15" s="1"/>
  <c r="DP19" i="1"/>
  <c r="DQ27" i="1"/>
  <c r="DR27" i="1"/>
  <c r="DP27" i="1"/>
  <c r="DQ19" i="1"/>
  <c r="DQ67" i="1"/>
  <c r="DP20" i="1"/>
  <c r="DO5" i="13" s="1"/>
  <c r="DR20" i="1"/>
  <c r="DQ5" i="13" s="1"/>
  <c r="DR19" i="1"/>
  <c r="DM79" i="7"/>
  <c r="DN79" i="7"/>
  <c r="DO79" i="7"/>
  <c r="DM78" i="7"/>
  <c r="DN78" i="7"/>
  <c r="DO78" i="7"/>
  <c r="DM52" i="7"/>
  <c r="DN52" i="7"/>
  <c r="DO52" i="7"/>
  <c r="DM32" i="7"/>
  <c r="DN32" i="7"/>
  <c r="DO32" i="7"/>
  <c r="DO9" i="7"/>
  <c r="DN9" i="7"/>
  <c r="DM9" i="7"/>
  <c r="DO8" i="7"/>
  <c r="DN8" i="7"/>
  <c r="DM8" i="7"/>
  <c r="DN10" i="7" l="1"/>
  <c r="DN11" i="7" s="1"/>
  <c r="DO80" i="7"/>
  <c r="DO81" i="7" s="1"/>
  <c r="DN80" i="7"/>
  <c r="DN81" i="7" s="1"/>
  <c r="DO10" i="7"/>
  <c r="DO11" i="7" s="1"/>
  <c r="DM10" i="7"/>
  <c r="DM11" i="7" s="1"/>
  <c r="DM80" i="7"/>
  <c r="DM81" i="7" s="1"/>
  <c r="DO72" i="1"/>
  <c r="DN72" i="1"/>
  <c r="DM72" i="1"/>
  <c r="DO71" i="1"/>
  <c r="DN71" i="1"/>
  <c r="DM71" i="1"/>
  <c r="DO62" i="1"/>
  <c r="DN62" i="1"/>
  <c r="DM62" i="1"/>
  <c r="DO61" i="1"/>
  <c r="DN61" i="1"/>
  <c r="DM61" i="1"/>
  <c r="DN12" i="7" l="1"/>
  <c r="DO82" i="7"/>
  <c r="DN82" i="7"/>
  <c r="DM82" i="7"/>
  <c r="DO12" i="7"/>
  <c r="DM12" i="7"/>
  <c r="DM86" i="1"/>
  <c r="DN86" i="1"/>
  <c r="DO86" i="1"/>
  <c r="DM85" i="1"/>
  <c r="DN85" i="1"/>
  <c r="DO85" i="1"/>
  <c r="DM80" i="1"/>
  <c r="DM82" i="1" s="1"/>
  <c r="DN80" i="1"/>
  <c r="DN82" i="1" s="1"/>
  <c r="DO80" i="1"/>
  <c r="DO81" i="1" s="1"/>
  <c r="DM73" i="1"/>
  <c r="DM74" i="1" s="1"/>
  <c r="DN73" i="1"/>
  <c r="DN75" i="1" s="1"/>
  <c r="DO73" i="1"/>
  <c r="DO75" i="1" s="1"/>
  <c r="DM63" i="1"/>
  <c r="DN63" i="1"/>
  <c r="DO63" i="1"/>
  <c r="DM53" i="1"/>
  <c r="DM55" i="1" s="1"/>
  <c r="DL5" i="15" s="1"/>
  <c r="DN53" i="1"/>
  <c r="DN54" i="1" s="1"/>
  <c r="DO53" i="1"/>
  <c r="DO55" i="1" s="1"/>
  <c r="DN5" i="15" s="1"/>
  <c r="DM38" i="1"/>
  <c r="DM33" i="1"/>
  <c r="DM34" i="1" s="1"/>
  <c r="DN33" i="1"/>
  <c r="DN35" i="1" s="1"/>
  <c r="DO33" i="1"/>
  <c r="DO35" i="1" s="1"/>
  <c r="DO25" i="1"/>
  <c r="DN25" i="1"/>
  <c r="DM25" i="1"/>
  <c r="DO24" i="1"/>
  <c r="DN24" i="1"/>
  <c r="DM24" i="1"/>
  <c r="DO17" i="1"/>
  <c r="DN17" i="1"/>
  <c r="DN39" i="1" s="1"/>
  <c r="DM17" i="1"/>
  <c r="DO16" i="1"/>
  <c r="DO38" i="1" s="1"/>
  <c r="DN16" i="1"/>
  <c r="DM10" i="1"/>
  <c r="DM11" i="1" s="1"/>
  <c r="DN10" i="1"/>
  <c r="DN11" i="1" s="1"/>
  <c r="DO10" i="1"/>
  <c r="DM54" i="1" l="1"/>
  <c r="DO11" i="1"/>
  <c r="DO12" i="1"/>
  <c r="DN5" i="8" s="1"/>
  <c r="DL12" i="8"/>
  <c r="DL9" i="26"/>
  <c r="DL5" i="26"/>
  <c r="DN12" i="8"/>
  <c r="DN9" i="26"/>
  <c r="DN5" i="26"/>
  <c r="DM12" i="8"/>
  <c r="DM9" i="26"/>
  <c r="DM5" i="26"/>
  <c r="DO34" i="1"/>
  <c r="DO74" i="1"/>
  <c r="DM12" i="1"/>
  <c r="DL5" i="8" s="1"/>
  <c r="DO26" i="1"/>
  <c r="DO28" i="1" s="1"/>
  <c r="DN34" i="1"/>
  <c r="DO39" i="1"/>
  <c r="DN74" i="1"/>
  <c r="DM26" i="1"/>
  <c r="DM27" i="1" s="1"/>
  <c r="DN38" i="1"/>
  <c r="DM39" i="1"/>
  <c r="DM57" i="1"/>
  <c r="DN81" i="1"/>
  <c r="DM81" i="1"/>
  <c r="DO82" i="1"/>
  <c r="DM75" i="1"/>
  <c r="DO64" i="1"/>
  <c r="DO65" i="1"/>
  <c r="DN5" i="14" s="1"/>
  <c r="DO87" i="1"/>
  <c r="DO89" i="1" s="1"/>
  <c r="DN65" i="1"/>
  <c r="DM5" i="14" s="1"/>
  <c r="DN64" i="1"/>
  <c r="DM65" i="1"/>
  <c r="DL5" i="14" s="1"/>
  <c r="DM64" i="1"/>
  <c r="DO57" i="1"/>
  <c r="DO54" i="1"/>
  <c r="DN87" i="1"/>
  <c r="DN89" i="1" s="1"/>
  <c r="DM87" i="1"/>
  <c r="DM88" i="1" s="1"/>
  <c r="DN57" i="1"/>
  <c r="DN55" i="1"/>
  <c r="DM5" i="15" s="1"/>
  <c r="DM35" i="1"/>
  <c r="DN26" i="1"/>
  <c r="DN28" i="1" s="1"/>
  <c r="DO18" i="1"/>
  <c r="DO20" i="1" s="1"/>
  <c r="DN5" i="13" s="1"/>
  <c r="DN18" i="1"/>
  <c r="DN19" i="1" s="1"/>
  <c r="DM18" i="1"/>
  <c r="DM20" i="1" s="1"/>
  <c r="DL5" i="13" s="1"/>
  <c r="DN12" i="1"/>
  <c r="DM5" i="8" s="1"/>
  <c r="DN61" i="4"/>
  <c r="DL72" i="4"/>
  <c r="DJ72" i="4"/>
  <c r="DI72" i="4"/>
  <c r="DL62" i="4"/>
  <c r="DJ62" i="4"/>
  <c r="DI62" i="4"/>
  <c r="DL61" i="4"/>
  <c r="DJ61" i="4"/>
  <c r="DL25" i="4"/>
  <c r="DJ25" i="4"/>
  <c r="DI25" i="4"/>
  <c r="DL17" i="4"/>
  <c r="DJ17" i="4"/>
  <c r="DI17" i="4"/>
  <c r="DL16" i="4"/>
  <c r="DJ16" i="4"/>
  <c r="DO72" i="6"/>
  <c r="DN72" i="6"/>
  <c r="DM72" i="6"/>
  <c r="DM73" i="6" s="1"/>
  <c r="DM74" i="6" s="1"/>
  <c r="DL72" i="6"/>
  <c r="DJ72" i="6"/>
  <c r="DO71" i="6"/>
  <c r="DN71" i="6"/>
  <c r="DO61" i="6"/>
  <c r="DN61" i="6"/>
  <c r="DM61" i="6"/>
  <c r="DM85" i="6" s="1"/>
  <c r="DO25" i="6"/>
  <c r="DO26" i="6" s="1"/>
  <c r="DO28" i="6" s="1"/>
  <c r="DN25" i="6"/>
  <c r="DN26" i="6" s="1"/>
  <c r="DN28" i="6" s="1"/>
  <c r="DM25" i="6"/>
  <c r="DM26" i="6" s="1"/>
  <c r="DK25" i="6"/>
  <c r="DI25" i="6"/>
  <c r="DH25" i="6"/>
  <c r="DG25" i="6"/>
  <c r="DG16" i="6"/>
  <c r="DO17" i="6"/>
  <c r="DN17" i="6"/>
  <c r="DM17" i="6"/>
  <c r="DM39" i="6" s="1"/>
  <c r="DL17" i="6"/>
  <c r="DJ17" i="6"/>
  <c r="DO16" i="6"/>
  <c r="DO38" i="6" s="1"/>
  <c r="DN16" i="6"/>
  <c r="DN38" i="6" s="1"/>
  <c r="DM16" i="6"/>
  <c r="DM38" i="6" s="1"/>
  <c r="DL16" i="6"/>
  <c r="DJ16" i="6"/>
  <c r="DM80" i="6"/>
  <c r="DM81" i="6" s="1"/>
  <c r="DN80" i="6"/>
  <c r="DN82" i="6" s="1"/>
  <c r="DO80" i="6"/>
  <c r="DO82" i="6" s="1"/>
  <c r="DM62" i="6"/>
  <c r="DN62" i="6"/>
  <c r="DN86" i="6" s="1"/>
  <c r="DO62" i="6"/>
  <c r="DM53" i="6"/>
  <c r="DM54" i="6" s="1"/>
  <c r="DN53" i="6"/>
  <c r="DN55" i="6" s="1"/>
  <c r="DM8" i="15" s="1"/>
  <c r="DO53" i="6"/>
  <c r="DO54" i="6" s="1"/>
  <c r="DM33" i="6"/>
  <c r="DM35" i="6" s="1"/>
  <c r="DN33" i="6"/>
  <c r="DN35" i="6" s="1"/>
  <c r="DO33" i="6"/>
  <c r="DO35" i="6" s="1"/>
  <c r="DN18" i="6"/>
  <c r="DM10" i="6"/>
  <c r="DN10" i="6"/>
  <c r="DN12" i="6" s="1"/>
  <c r="DM8" i="8" s="1"/>
  <c r="DO10" i="6"/>
  <c r="DO12" i="6" s="1"/>
  <c r="DN8" i="8" s="1"/>
  <c r="DO72" i="4"/>
  <c r="DO73" i="4" s="1"/>
  <c r="DO74" i="4" s="1"/>
  <c r="DN72" i="4"/>
  <c r="DM72" i="4"/>
  <c r="DM73" i="4" s="1"/>
  <c r="DM74" i="4" s="1"/>
  <c r="DO62" i="4"/>
  <c r="DN62" i="4"/>
  <c r="DM62" i="4"/>
  <c r="DO61" i="4"/>
  <c r="DM61" i="4"/>
  <c r="DM85" i="4" s="1"/>
  <c r="DO25" i="4"/>
  <c r="DO26" i="4" s="1"/>
  <c r="DN25" i="4"/>
  <c r="DN26" i="4" s="1"/>
  <c r="DN28" i="4" s="1"/>
  <c r="DM25" i="4"/>
  <c r="DO17" i="4"/>
  <c r="DN17" i="4"/>
  <c r="DM17" i="4"/>
  <c r="DO16" i="4"/>
  <c r="DO38" i="4" s="1"/>
  <c r="DN16" i="4"/>
  <c r="DN38" i="4" s="1"/>
  <c r="DM16" i="4"/>
  <c r="DM38" i="4" s="1"/>
  <c r="DM80" i="4"/>
  <c r="DM81" i="4" s="1"/>
  <c r="DN80" i="4"/>
  <c r="DN82" i="4" s="1"/>
  <c r="DO80" i="4"/>
  <c r="DO82" i="4" s="1"/>
  <c r="DN73" i="4"/>
  <c r="DN74" i="4" s="1"/>
  <c r="DM53" i="4"/>
  <c r="DM55" i="4" s="1"/>
  <c r="DL7" i="15" s="1"/>
  <c r="DN53" i="4"/>
  <c r="DN54" i="4" s="1"/>
  <c r="DO53" i="4"/>
  <c r="DO55" i="4" s="1"/>
  <c r="DN7" i="15" s="1"/>
  <c r="DM33" i="4"/>
  <c r="DM34" i="4" s="1"/>
  <c r="DN33" i="4"/>
  <c r="DN35" i="4" s="1"/>
  <c r="DO33" i="4"/>
  <c r="DO34" i="4" s="1"/>
  <c r="DM10" i="4"/>
  <c r="DM11" i="4" s="1"/>
  <c r="DN10" i="4"/>
  <c r="DN12" i="4" s="1"/>
  <c r="DM7" i="8" s="1"/>
  <c r="DO10" i="4"/>
  <c r="DN63" i="6" l="1"/>
  <c r="DN65" i="6" s="1"/>
  <c r="DM8" i="14" s="1"/>
  <c r="DO12" i="4"/>
  <c r="DN7" i="8" s="1"/>
  <c r="DO11" i="4"/>
  <c r="DO54" i="4"/>
  <c r="DO27" i="1"/>
  <c r="DN67" i="1"/>
  <c r="DO86" i="6"/>
  <c r="DM57" i="6"/>
  <c r="DM55" i="6"/>
  <c r="DL8" i="15" s="1"/>
  <c r="DO63" i="6"/>
  <c r="DN81" i="4"/>
  <c r="DN81" i="6"/>
  <c r="DM28" i="1"/>
  <c r="DN34" i="4"/>
  <c r="DN67" i="6"/>
  <c r="DN34" i="6"/>
  <c r="DM19" i="1"/>
  <c r="DO40" i="1"/>
  <c r="DO81" i="6"/>
  <c r="DN20" i="1"/>
  <c r="DM5" i="13" s="1"/>
  <c r="DM40" i="1"/>
  <c r="DM41" i="1" s="1"/>
  <c r="DO67" i="1"/>
  <c r="DN75" i="4"/>
  <c r="DN40" i="1"/>
  <c r="DN11" i="4"/>
  <c r="DN18" i="4"/>
  <c r="DM63" i="6"/>
  <c r="DM64" i="6" s="1"/>
  <c r="DN64" i="6"/>
  <c r="DN27" i="1"/>
  <c r="DM67" i="1"/>
  <c r="DO88" i="1"/>
  <c r="DN88" i="1"/>
  <c r="DM89" i="1"/>
  <c r="DO19" i="1"/>
  <c r="DM82" i="6"/>
  <c r="DO73" i="6"/>
  <c r="DO74" i="6" s="1"/>
  <c r="DN73" i="6"/>
  <c r="DN74" i="6" s="1"/>
  <c r="DM75" i="6"/>
  <c r="DM86" i="6"/>
  <c r="DM87" i="6" s="1"/>
  <c r="DO85" i="6"/>
  <c r="DO64" i="6"/>
  <c r="DO65" i="6"/>
  <c r="DN8" i="14" s="1"/>
  <c r="DN85" i="6"/>
  <c r="DN87" i="6" s="1"/>
  <c r="DN89" i="6" s="1"/>
  <c r="DN54" i="6"/>
  <c r="DO57" i="6"/>
  <c r="DO55" i="6"/>
  <c r="DN8" i="15" s="1"/>
  <c r="DO34" i="6"/>
  <c r="DM34" i="6"/>
  <c r="DN39" i="6"/>
  <c r="DN40" i="6" s="1"/>
  <c r="DN42" i="6" s="1"/>
  <c r="DM28" i="6"/>
  <c r="DM27" i="6"/>
  <c r="DO39" i="6"/>
  <c r="DO40" i="6" s="1"/>
  <c r="DO42" i="6" s="1"/>
  <c r="DO27" i="6"/>
  <c r="DN27" i="6"/>
  <c r="DM18" i="6"/>
  <c r="DM67" i="6" s="1"/>
  <c r="DO18" i="6"/>
  <c r="DO19" i="6" s="1"/>
  <c r="DN20" i="6"/>
  <c r="DM8" i="13" s="1"/>
  <c r="DN19" i="6"/>
  <c r="DM12" i="6"/>
  <c r="DL8" i="8" s="1"/>
  <c r="DM11" i="6"/>
  <c r="DO11" i="6"/>
  <c r="DN11" i="6"/>
  <c r="DN57" i="6"/>
  <c r="DM40" i="6"/>
  <c r="DM42" i="6" s="1"/>
  <c r="DO81" i="4"/>
  <c r="DM82" i="4"/>
  <c r="DO86" i="4"/>
  <c r="DN86" i="4"/>
  <c r="DM86" i="4"/>
  <c r="DM87" i="4" s="1"/>
  <c r="DM89" i="4" s="1"/>
  <c r="DO75" i="4"/>
  <c r="DM75" i="4"/>
  <c r="DN63" i="4"/>
  <c r="DN65" i="4" s="1"/>
  <c r="DM7" i="14" s="1"/>
  <c r="DO63" i="4"/>
  <c r="DO65" i="4" s="1"/>
  <c r="DN7" i="14" s="1"/>
  <c r="DO85" i="4"/>
  <c r="DN85" i="4"/>
  <c r="DN67" i="4"/>
  <c r="DM63" i="4"/>
  <c r="DM54" i="4"/>
  <c r="DM57" i="4"/>
  <c r="DN55" i="4"/>
  <c r="DM7" i="15" s="1"/>
  <c r="DO35" i="4"/>
  <c r="DM35" i="4"/>
  <c r="DO28" i="4"/>
  <c r="DO27" i="4"/>
  <c r="DO39" i="4"/>
  <c r="DO40" i="4" s="1"/>
  <c r="DO42" i="4" s="1"/>
  <c r="DN27" i="4"/>
  <c r="DM39" i="4"/>
  <c r="DM40" i="4" s="1"/>
  <c r="DM26" i="4"/>
  <c r="DM27" i="4" s="1"/>
  <c r="DN39" i="4"/>
  <c r="DN40" i="4" s="1"/>
  <c r="DN42" i="4" s="1"/>
  <c r="DO18" i="4"/>
  <c r="DO19" i="4" s="1"/>
  <c r="DN20" i="4"/>
  <c r="DM7" i="13" s="1"/>
  <c r="DN19" i="4"/>
  <c r="DM18" i="4"/>
  <c r="DO57" i="4"/>
  <c r="DN57" i="4"/>
  <c r="DM12" i="4"/>
  <c r="DL7" i="8" s="1"/>
  <c r="DM80" i="5"/>
  <c r="DM82" i="5" s="1"/>
  <c r="DN80" i="5"/>
  <c r="DN81" i="5" s="1"/>
  <c r="DO80" i="5"/>
  <c r="DO82" i="5" s="1"/>
  <c r="DO72" i="5"/>
  <c r="DN72" i="5"/>
  <c r="DM72" i="5"/>
  <c r="DO71" i="5"/>
  <c r="DN71" i="5"/>
  <c r="DM71" i="5"/>
  <c r="DO62" i="5"/>
  <c r="DO86" i="5" s="1"/>
  <c r="DN62" i="5"/>
  <c r="DN86" i="5" s="1"/>
  <c r="DM62" i="5"/>
  <c r="DO61" i="5"/>
  <c r="DO85" i="5" s="1"/>
  <c r="DN61" i="5"/>
  <c r="DN85" i="5" s="1"/>
  <c r="DM61" i="5"/>
  <c r="DM53" i="5"/>
  <c r="DN53" i="5"/>
  <c r="DN55" i="5" s="1"/>
  <c r="DM9" i="15" s="1"/>
  <c r="DO53" i="5"/>
  <c r="DO54" i="5" s="1"/>
  <c r="DM33" i="5"/>
  <c r="DM34" i="5" s="1"/>
  <c r="DN33" i="5"/>
  <c r="DN35" i="5" s="1"/>
  <c r="DO33" i="5"/>
  <c r="DO34" i="5" s="1"/>
  <c r="DO25" i="5"/>
  <c r="DO26" i="5" s="1"/>
  <c r="DO27" i="5" s="1"/>
  <c r="DM25" i="5"/>
  <c r="DN25" i="5"/>
  <c r="DO17" i="5"/>
  <c r="DN17" i="5"/>
  <c r="DN39" i="5" s="1"/>
  <c r="DM17" i="5"/>
  <c r="DO16" i="5"/>
  <c r="DO18" i="5" s="1"/>
  <c r="DO19" i="5" s="1"/>
  <c r="DN16" i="5"/>
  <c r="DN38" i="5" s="1"/>
  <c r="DM16" i="5"/>
  <c r="DM38" i="5" s="1"/>
  <c r="DM10" i="5"/>
  <c r="DM11" i="5" s="1"/>
  <c r="DN10" i="5"/>
  <c r="DN12" i="5" s="1"/>
  <c r="DM9" i="8" s="1"/>
  <c r="DO10" i="5"/>
  <c r="DO11" i="5" s="1"/>
  <c r="DM80" i="2"/>
  <c r="DM81" i="2" s="1"/>
  <c r="DN80" i="2"/>
  <c r="DN82" i="2" s="1"/>
  <c r="DO80" i="2"/>
  <c r="DO81" i="2" s="1"/>
  <c r="DO72" i="2"/>
  <c r="DN72" i="2"/>
  <c r="DM72" i="2"/>
  <c r="DM86" i="2" s="1"/>
  <c r="DO71" i="2"/>
  <c r="DN71" i="2"/>
  <c r="DN71" i="7" s="1"/>
  <c r="DM71" i="2"/>
  <c r="DO62" i="2"/>
  <c r="DN62" i="2"/>
  <c r="DN86" i="2" s="1"/>
  <c r="DM62" i="2"/>
  <c r="DO61" i="2"/>
  <c r="DN61" i="2"/>
  <c r="DN61" i="7" s="1"/>
  <c r="DM61" i="2"/>
  <c r="DN53" i="2"/>
  <c r="DN55" i="2" s="1"/>
  <c r="DM6" i="15" s="1"/>
  <c r="DO51" i="2"/>
  <c r="DN51" i="2"/>
  <c r="DN51" i="7" s="1"/>
  <c r="DN53" i="7" s="1"/>
  <c r="DM51" i="2"/>
  <c r="DO25" i="2"/>
  <c r="DN25" i="2"/>
  <c r="DM25" i="2"/>
  <c r="DO17" i="2"/>
  <c r="DN17" i="2"/>
  <c r="DN17" i="7" s="1"/>
  <c r="DM17" i="2"/>
  <c r="DM17" i="7" s="1"/>
  <c r="DO31" i="2"/>
  <c r="DO31" i="7" s="1"/>
  <c r="DO33" i="7" s="1"/>
  <c r="DN31" i="2"/>
  <c r="DN31" i="7" s="1"/>
  <c r="DN33" i="7" s="1"/>
  <c r="DM31" i="2"/>
  <c r="DM31" i="7" s="1"/>
  <c r="DM33" i="7" s="1"/>
  <c r="DO24" i="2"/>
  <c r="DN24" i="2"/>
  <c r="DN24" i="7" s="1"/>
  <c r="DM24" i="2"/>
  <c r="DM24" i="7" s="1"/>
  <c r="DO16" i="2"/>
  <c r="DN16" i="2"/>
  <c r="DM16" i="2"/>
  <c r="DM16" i="7" s="1"/>
  <c r="DO18" i="2"/>
  <c r="DO19" i="2" s="1"/>
  <c r="DM10" i="2"/>
  <c r="DM12" i="2" s="1"/>
  <c r="DL6" i="8" s="1"/>
  <c r="DN10" i="2"/>
  <c r="DN11" i="2" s="1"/>
  <c r="DO10" i="2"/>
  <c r="DO12" i="2" s="1"/>
  <c r="DN6" i="8" s="1"/>
  <c r="DN85" i="2" l="1"/>
  <c r="DN85" i="7" s="1"/>
  <c r="DO11" i="2"/>
  <c r="DM11" i="2"/>
  <c r="DM86" i="5"/>
  <c r="DM86" i="7" s="1"/>
  <c r="DN73" i="2"/>
  <c r="DN74" i="2" s="1"/>
  <c r="DM57" i="5"/>
  <c r="DM20" i="6"/>
  <c r="DL8" i="13" s="1"/>
  <c r="DN63" i="2"/>
  <c r="DN65" i="2" s="1"/>
  <c r="DM6" i="14" s="1"/>
  <c r="DN11" i="5"/>
  <c r="DN54" i="5"/>
  <c r="DM73" i="5"/>
  <c r="DM74" i="5" s="1"/>
  <c r="DO16" i="7"/>
  <c r="DN57" i="5"/>
  <c r="DN73" i="5"/>
  <c r="DN74" i="5" s="1"/>
  <c r="DO17" i="7"/>
  <c r="DO18" i="7" s="1"/>
  <c r="DO19" i="7" s="1"/>
  <c r="DM85" i="5"/>
  <c r="DO73" i="5"/>
  <c r="DO74" i="5" s="1"/>
  <c r="DN75" i="6"/>
  <c r="DO87" i="6"/>
  <c r="DO89" i="6" s="1"/>
  <c r="DN81" i="2"/>
  <c r="DN40" i="5"/>
  <c r="DN41" i="5" s="1"/>
  <c r="DM81" i="5"/>
  <c r="DN87" i="5"/>
  <c r="DN88" i="5" s="1"/>
  <c r="DO81" i="5"/>
  <c r="DN34" i="5"/>
  <c r="DM42" i="4"/>
  <c r="DM41" i="4"/>
  <c r="DO41" i="1"/>
  <c r="DO42" i="1"/>
  <c r="DO20" i="5"/>
  <c r="DN9" i="13" s="1"/>
  <c r="DO75" i="6"/>
  <c r="DN34" i="7"/>
  <c r="DN35" i="7"/>
  <c r="DM8" i="26" s="1"/>
  <c r="DO20" i="2"/>
  <c r="DN6" i="13" s="1"/>
  <c r="DO25" i="7"/>
  <c r="DN86" i="7"/>
  <c r="DN33" i="2"/>
  <c r="DO39" i="2"/>
  <c r="DO51" i="7"/>
  <c r="DO53" i="7" s="1"/>
  <c r="DO53" i="2"/>
  <c r="DO85" i="2"/>
  <c r="DO62" i="7"/>
  <c r="DO72" i="7"/>
  <c r="DO86" i="2"/>
  <c r="DO87" i="5"/>
  <c r="DO88" i="5" s="1"/>
  <c r="DM75" i="5"/>
  <c r="DN16" i="7"/>
  <c r="DN18" i="7" s="1"/>
  <c r="DN19" i="7" s="1"/>
  <c r="DN38" i="2"/>
  <c r="DO24" i="7"/>
  <c r="DO26" i="2"/>
  <c r="DO27" i="2" s="1"/>
  <c r="DO38" i="2"/>
  <c r="DM26" i="2"/>
  <c r="DM28" i="2" s="1"/>
  <c r="DM25" i="7"/>
  <c r="DM39" i="2"/>
  <c r="DN54" i="2"/>
  <c r="DN57" i="2"/>
  <c r="DO82" i="2"/>
  <c r="DN12" i="2"/>
  <c r="DM6" i="8" s="1"/>
  <c r="DM38" i="2"/>
  <c r="DM51" i="7"/>
  <c r="DM53" i="7" s="1"/>
  <c r="DM85" i="2"/>
  <c r="DM53" i="2"/>
  <c r="DM62" i="7"/>
  <c r="DM72" i="7"/>
  <c r="DM82" i="2"/>
  <c r="DM12" i="5"/>
  <c r="DL9" i="8" s="1"/>
  <c r="DN18" i="5"/>
  <c r="DN26" i="5"/>
  <c r="DN27" i="5" s="1"/>
  <c r="DM35" i="5"/>
  <c r="DO39" i="5"/>
  <c r="DM55" i="5"/>
  <c r="DL9" i="15" s="1"/>
  <c r="DM63" i="5"/>
  <c r="DN82" i="5"/>
  <c r="DM18" i="7"/>
  <c r="DM19" i="7" s="1"/>
  <c r="DO34" i="7"/>
  <c r="DO35" i="7"/>
  <c r="DN8" i="26" s="1"/>
  <c r="DM18" i="2"/>
  <c r="DM19" i="2" s="1"/>
  <c r="DN25" i="7"/>
  <c r="DN26" i="7" s="1"/>
  <c r="DN27" i="7" s="1"/>
  <c r="DM33" i="2"/>
  <c r="DN39" i="2"/>
  <c r="DN54" i="7"/>
  <c r="DN57" i="7"/>
  <c r="DN55" i="7"/>
  <c r="DM12" i="15" s="1"/>
  <c r="DO61" i="7"/>
  <c r="DO63" i="2"/>
  <c r="DO65" i="2" s="1"/>
  <c r="DN6" i="14" s="1"/>
  <c r="DM71" i="7"/>
  <c r="DN72" i="7"/>
  <c r="DN73" i="7" s="1"/>
  <c r="DN74" i="7" s="1"/>
  <c r="DM73" i="2"/>
  <c r="DM74" i="2" s="1"/>
  <c r="DM18" i="5"/>
  <c r="DM19" i="5" s="1"/>
  <c r="DM26" i="5"/>
  <c r="DM27" i="5" s="1"/>
  <c r="DO28" i="5"/>
  <c r="DO38" i="5"/>
  <c r="DM54" i="5"/>
  <c r="DO57" i="5"/>
  <c r="DO12" i="5"/>
  <c r="DN9" i="8" s="1"/>
  <c r="DO35" i="5"/>
  <c r="DM39" i="5"/>
  <c r="DM40" i="5" s="1"/>
  <c r="DM41" i="5" s="1"/>
  <c r="DO55" i="5"/>
  <c r="DN9" i="15" s="1"/>
  <c r="DO63" i="5"/>
  <c r="DM34" i="7"/>
  <c r="DM35" i="7"/>
  <c r="DL8" i="26" s="1"/>
  <c r="DO33" i="2"/>
  <c r="DM61" i="7"/>
  <c r="DN62" i="7"/>
  <c r="DN63" i="7" s="1"/>
  <c r="DM63" i="2"/>
  <c r="DO71" i="7"/>
  <c r="DO73" i="2"/>
  <c r="DO74" i="2" s="1"/>
  <c r="DN63" i="5"/>
  <c r="DM19" i="6"/>
  <c r="DN41" i="1"/>
  <c r="DN42" i="1"/>
  <c r="DM42" i="1"/>
  <c r="DM65" i="6"/>
  <c r="DL8" i="14" s="1"/>
  <c r="DM89" i="6"/>
  <c r="DM88" i="6"/>
  <c r="DN88" i="6"/>
  <c r="DO20" i="6"/>
  <c r="DN8" i="13" s="1"/>
  <c r="DO67" i="6"/>
  <c r="DN41" i="6"/>
  <c r="DO41" i="6"/>
  <c r="DM41" i="6"/>
  <c r="DO87" i="4"/>
  <c r="DO89" i="4" s="1"/>
  <c r="DN87" i="4"/>
  <c r="DN89" i="4" s="1"/>
  <c r="DN64" i="4"/>
  <c r="DO64" i="4"/>
  <c r="DM65" i="4"/>
  <c r="DL7" i="14" s="1"/>
  <c r="DM64" i="4"/>
  <c r="DM88" i="4"/>
  <c r="DM28" i="4"/>
  <c r="DO41" i="4"/>
  <c r="DO67" i="4"/>
  <c r="DO20" i="4"/>
  <c r="DN7" i="13" s="1"/>
  <c r="DM67" i="4"/>
  <c r="DM20" i="4"/>
  <c r="DL7" i="13" s="1"/>
  <c r="DM19" i="4"/>
  <c r="DN41" i="4"/>
  <c r="DN26" i="2"/>
  <c r="DN27" i="2" s="1"/>
  <c r="DN18" i="2"/>
  <c r="DN19" i="2" s="1"/>
  <c r="DM87" i="5" l="1"/>
  <c r="DM88" i="5" s="1"/>
  <c r="DO75" i="5"/>
  <c r="DN75" i="2"/>
  <c r="DN75" i="5"/>
  <c r="DN87" i="2"/>
  <c r="DN88" i="2" s="1"/>
  <c r="DN64" i="2"/>
  <c r="DM20" i="2"/>
  <c r="DL6" i="13" s="1"/>
  <c r="DO88" i="6"/>
  <c r="DN42" i="5"/>
  <c r="DM63" i="7"/>
  <c r="DM65" i="7" s="1"/>
  <c r="DL12" i="14" s="1"/>
  <c r="DM27" i="2"/>
  <c r="DM89" i="5"/>
  <c r="DN89" i="5"/>
  <c r="DM73" i="7"/>
  <c r="DM74" i="7" s="1"/>
  <c r="DN28" i="5"/>
  <c r="DN87" i="7"/>
  <c r="DN88" i="7" s="1"/>
  <c r="DO28" i="2"/>
  <c r="DO63" i="7"/>
  <c r="DO64" i="7" s="1"/>
  <c r="DO73" i="7"/>
  <c r="DO74" i="7" s="1"/>
  <c r="DO26" i="7"/>
  <c r="DO27" i="7" s="1"/>
  <c r="DM20" i="7"/>
  <c r="DO40" i="5"/>
  <c r="DO41" i="5" s="1"/>
  <c r="DN67" i="7"/>
  <c r="DN64" i="7"/>
  <c r="DM67" i="2"/>
  <c r="DM64" i="2"/>
  <c r="DN20" i="7"/>
  <c r="DO67" i="5"/>
  <c r="DO64" i="5"/>
  <c r="DO65" i="5"/>
  <c r="DN9" i="14" s="1"/>
  <c r="DO64" i="2"/>
  <c r="DO67" i="2"/>
  <c r="DN20" i="2"/>
  <c r="DM6" i="13" s="1"/>
  <c r="DN19" i="5"/>
  <c r="DN20" i="5"/>
  <c r="DM9" i="13" s="1"/>
  <c r="DM38" i="7"/>
  <c r="DM40" i="2"/>
  <c r="DM41" i="2" s="1"/>
  <c r="DO39" i="7"/>
  <c r="DM28" i="5"/>
  <c r="DN39" i="7"/>
  <c r="DM75" i="2"/>
  <c r="DM55" i="2"/>
  <c r="DL6" i="15" s="1"/>
  <c r="DM57" i="2"/>
  <c r="DM54" i="2"/>
  <c r="DO20" i="7"/>
  <c r="DN38" i="7"/>
  <c r="DN40" i="2"/>
  <c r="DN41" i="2" s="1"/>
  <c r="DO86" i="7"/>
  <c r="DO85" i="7"/>
  <c r="DO87" i="2"/>
  <c r="DO88" i="2" s="1"/>
  <c r="DN34" i="2"/>
  <c r="DN35" i="2"/>
  <c r="DM20" i="5"/>
  <c r="DL9" i="13" s="1"/>
  <c r="DN75" i="7"/>
  <c r="DM6" i="24" s="1"/>
  <c r="DM35" i="2"/>
  <c r="DM34" i="2"/>
  <c r="DM85" i="7"/>
  <c r="DM87" i="7" s="1"/>
  <c r="DM88" i="7" s="1"/>
  <c r="DM87" i="2"/>
  <c r="DM39" i="7"/>
  <c r="DO38" i="7"/>
  <c r="DO40" i="2"/>
  <c r="DO41" i="2" s="1"/>
  <c r="DO55" i="2"/>
  <c r="DN6" i="15" s="1"/>
  <c r="DO54" i="2"/>
  <c r="DO57" i="2"/>
  <c r="DN64" i="5"/>
  <c r="DN67" i="5"/>
  <c r="DN65" i="7"/>
  <c r="DM12" i="14" s="1"/>
  <c r="DM42" i="5"/>
  <c r="DN65" i="5"/>
  <c r="DM9" i="14" s="1"/>
  <c r="DO35" i="2"/>
  <c r="DO34" i="2"/>
  <c r="DN28" i="7"/>
  <c r="DM64" i="5"/>
  <c r="DM65" i="5"/>
  <c r="DL9" i="14" s="1"/>
  <c r="DM67" i="5"/>
  <c r="DM65" i="2"/>
  <c r="DL6" i="14" s="1"/>
  <c r="DM54" i="7"/>
  <c r="DM57" i="7"/>
  <c r="DM55" i="7"/>
  <c r="DL12" i="15" s="1"/>
  <c r="DN67" i="2"/>
  <c r="DO75" i="2"/>
  <c r="DO57" i="7"/>
  <c r="DO54" i="7"/>
  <c r="DO55" i="7"/>
  <c r="DN12" i="15" s="1"/>
  <c r="DO89" i="5"/>
  <c r="DM26" i="7"/>
  <c r="DM27" i="7" s="1"/>
  <c r="DO88" i="4"/>
  <c r="DN88" i="4"/>
  <c r="DN28" i="2"/>
  <c r="DL79" i="7"/>
  <c r="DL78" i="7"/>
  <c r="DK79" i="7"/>
  <c r="DK78" i="7"/>
  <c r="DL52" i="7"/>
  <c r="DK52" i="7"/>
  <c r="DL32" i="7"/>
  <c r="DK32" i="7"/>
  <c r="DL31" i="7"/>
  <c r="DK31" i="7"/>
  <c r="DL9" i="7"/>
  <c r="DL8" i="7"/>
  <c r="DK9" i="7"/>
  <c r="DK8" i="7"/>
  <c r="DN89" i="2" l="1"/>
  <c r="DM64" i="7"/>
  <c r="DM67" i="7"/>
  <c r="DL12" i="13"/>
  <c r="DL6" i="26"/>
  <c r="DM12" i="13"/>
  <c r="DM6" i="26"/>
  <c r="DN12" i="13"/>
  <c r="DN6" i="26"/>
  <c r="DO75" i="7"/>
  <c r="DN6" i="24" s="1"/>
  <c r="DM5" i="24"/>
  <c r="DM7" i="26"/>
  <c r="DM75" i="7"/>
  <c r="DL6" i="24" s="1"/>
  <c r="DN89" i="7"/>
  <c r="DO65" i="7"/>
  <c r="DN12" i="14" s="1"/>
  <c r="DO67" i="7"/>
  <c r="DO42" i="5"/>
  <c r="DM40" i="7"/>
  <c r="DM41" i="7" s="1"/>
  <c r="DN40" i="7"/>
  <c r="DN41" i="7" s="1"/>
  <c r="DO28" i="7"/>
  <c r="DO89" i="2"/>
  <c r="DO40" i="7"/>
  <c r="DO41" i="7" s="1"/>
  <c r="DM88" i="2"/>
  <c r="DM89" i="2"/>
  <c r="DO42" i="2"/>
  <c r="DM28" i="7"/>
  <c r="DN42" i="2"/>
  <c r="DK10" i="7"/>
  <c r="DK11" i="7" s="1"/>
  <c r="DL80" i="7"/>
  <c r="DL81" i="7" s="1"/>
  <c r="DM42" i="2"/>
  <c r="DO87" i="7"/>
  <c r="DO88" i="7" s="1"/>
  <c r="DM89" i="7"/>
  <c r="DL33" i="7"/>
  <c r="DL34" i="7" s="1"/>
  <c r="DK33" i="7"/>
  <c r="DK34" i="7" s="1"/>
  <c r="DL10" i="7"/>
  <c r="DL11" i="7" s="1"/>
  <c r="DK80" i="7"/>
  <c r="DK81" i="7" s="1"/>
  <c r="DL51" i="2"/>
  <c r="DL51" i="7" s="1"/>
  <c r="DL53" i="7" s="1"/>
  <c r="DL55" i="7" s="1"/>
  <c r="DK12" i="15" s="1"/>
  <c r="DK51" i="2"/>
  <c r="DK51" i="7" s="1"/>
  <c r="DK53" i="7" s="1"/>
  <c r="DK55" i="7" s="1"/>
  <c r="DJ12" i="15" s="1"/>
  <c r="DJ51" i="2"/>
  <c r="DI16" i="1"/>
  <c r="DK12" i="7" l="1"/>
  <c r="DJ5" i="26" s="1"/>
  <c r="DK54" i="7"/>
  <c r="DN5" i="24"/>
  <c r="DN7" i="26"/>
  <c r="DL5" i="24"/>
  <c r="DL7" i="26"/>
  <c r="DK82" i="7"/>
  <c r="DM42" i="7"/>
  <c r="DL82" i="7"/>
  <c r="DN42" i="7"/>
  <c r="DO42" i="7"/>
  <c r="DO89" i="7"/>
  <c r="DK57" i="7"/>
  <c r="DL35" i="7"/>
  <c r="DK8" i="26" s="1"/>
  <c r="DK35" i="7"/>
  <c r="DJ8" i="26" s="1"/>
  <c r="DL12" i="7"/>
  <c r="DL54" i="7"/>
  <c r="DL57" i="7"/>
  <c r="DK72" i="1"/>
  <c r="DL72" i="1"/>
  <c r="DJ72" i="1"/>
  <c r="DL62" i="1"/>
  <c r="DK62" i="1"/>
  <c r="DJ62" i="1"/>
  <c r="DL71" i="1"/>
  <c r="DK71" i="1"/>
  <c r="DJ71" i="1"/>
  <c r="DL61" i="1"/>
  <c r="DK61" i="1"/>
  <c r="DJ61" i="1"/>
  <c r="DL25" i="1"/>
  <c r="DK25" i="1"/>
  <c r="DJ25" i="1"/>
  <c r="DL17" i="1"/>
  <c r="DK17" i="1"/>
  <c r="DJ17" i="1"/>
  <c r="DL24" i="1"/>
  <c r="DJ24" i="1"/>
  <c r="DK24" i="1"/>
  <c r="DL16" i="1"/>
  <c r="DK16" i="1"/>
  <c r="DJ16" i="1"/>
  <c r="DG62" i="6"/>
  <c r="DK72" i="6"/>
  <c r="DL71" i="6"/>
  <c r="DK71" i="6"/>
  <c r="DJ71" i="6"/>
  <c r="DL62" i="6"/>
  <c r="DK62" i="6"/>
  <c r="DJ62" i="6"/>
  <c r="DK61" i="6"/>
  <c r="DK17" i="6"/>
  <c r="DG17" i="6"/>
  <c r="DK16" i="6"/>
  <c r="DI61" i="4"/>
  <c r="DG62" i="4"/>
  <c r="DI16" i="4"/>
  <c r="DG17" i="4"/>
  <c r="DJ9" i="26" l="1"/>
  <c r="DJ12" i="8"/>
  <c r="DK9" i="26"/>
  <c r="DK5" i="26"/>
  <c r="DK12" i="8"/>
  <c r="DK72" i="4"/>
  <c r="DK62" i="4"/>
  <c r="DK61" i="4"/>
  <c r="DK17" i="4"/>
  <c r="DK25" i="4"/>
  <c r="DK16" i="4"/>
  <c r="DL72" i="5" l="1"/>
  <c r="DK72" i="5"/>
  <c r="DJ72" i="5"/>
  <c r="DL71" i="5"/>
  <c r="DK71" i="5"/>
  <c r="DJ71" i="5"/>
  <c r="DL62" i="5"/>
  <c r="DK62" i="5"/>
  <c r="DJ62" i="5"/>
  <c r="DI62" i="5"/>
  <c r="DL61" i="5"/>
  <c r="DK61" i="5"/>
  <c r="DJ61" i="5"/>
  <c r="DL25" i="5"/>
  <c r="DK25" i="5"/>
  <c r="DJ25" i="5"/>
  <c r="DL16" i="5"/>
  <c r="DK16" i="5"/>
  <c r="DJ16" i="5"/>
  <c r="DL17" i="5"/>
  <c r="DK17" i="5"/>
  <c r="DJ17" i="5"/>
  <c r="DK16" i="2" l="1"/>
  <c r="DK16" i="7" s="1"/>
  <c r="DL72" i="2"/>
  <c r="DL72" i="7" s="1"/>
  <c r="DK72" i="2"/>
  <c r="DK72" i="7" s="1"/>
  <c r="DJ72" i="2"/>
  <c r="DL71" i="2"/>
  <c r="DL71" i="7" s="1"/>
  <c r="DK71" i="2"/>
  <c r="DK71" i="7" s="1"/>
  <c r="DJ71" i="2"/>
  <c r="DL61" i="2"/>
  <c r="DL61" i="7" s="1"/>
  <c r="DK61" i="2"/>
  <c r="DK61" i="7" s="1"/>
  <c r="DJ61" i="2"/>
  <c r="DL62" i="2"/>
  <c r="DL62" i="7" s="1"/>
  <c r="DK62" i="2"/>
  <c r="DK62" i="7" s="1"/>
  <c r="DJ62" i="2"/>
  <c r="DL25" i="2"/>
  <c r="DL25" i="7" s="1"/>
  <c r="DK25" i="2"/>
  <c r="DK25" i="7" s="1"/>
  <c r="DJ25" i="2"/>
  <c r="DL24" i="2"/>
  <c r="DL24" i="7" s="1"/>
  <c r="DK24" i="2"/>
  <c r="DK24" i="7" s="1"/>
  <c r="DJ24" i="2"/>
  <c r="DL17" i="2"/>
  <c r="DL17" i="7" s="1"/>
  <c r="DK17" i="2"/>
  <c r="DK17" i="7" s="1"/>
  <c r="DJ17" i="2"/>
  <c r="DL16" i="2"/>
  <c r="DL16" i="7" s="1"/>
  <c r="DJ16" i="2"/>
  <c r="DI16" i="2"/>
  <c r="DL63" i="7" l="1"/>
  <c r="DL65" i="7" s="1"/>
  <c r="DK12" i="14" s="1"/>
  <c r="DL18" i="7"/>
  <c r="DL19" i="7" s="1"/>
  <c r="DK26" i="7"/>
  <c r="DK73" i="7"/>
  <c r="DK74" i="7" s="1"/>
  <c r="DL26" i="7"/>
  <c r="DL27" i="7" s="1"/>
  <c r="DK63" i="7"/>
  <c r="DK65" i="7" s="1"/>
  <c r="DJ12" i="14" s="1"/>
  <c r="DL73" i="7"/>
  <c r="DK18" i="7"/>
  <c r="DK19" i="7" s="1"/>
  <c r="DL80" i="5"/>
  <c r="DL82" i="5" s="1"/>
  <c r="DL86" i="5"/>
  <c r="DL85" i="5"/>
  <c r="DL63" i="5"/>
  <c r="DL53" i="5"/>
  <c r="DL54" i="5" s="1"/>
  <c r="DK80" i="5"/>
  <c r="DK82" i="5" s="1"/>
  <c r="DK86" i="5"/>
  <c r="DK85" i="5"/>
  <c r="DK63" i="5"/>
  <c r="DK53" i="5"/>
  <c r="DK54" i="5" s="1"/>
  <c r="DL39" i="5"/>
  <c r="DL38" i="5"/>
  <c r="DL33" i="5"/>
  <c r="DL35" i="5" s="1"/>
  <c r="DL26" i="5"/>
  <c r="DL27" i="5" s="1"/>
  <c r="DL18" i="5"/>
  <c r="DL10" i="5"/>
  <c r="DL11" i="5" s="1"/>
  <c r="DK33" i="5"/>
  <c r="DK35" i="5" s="1"/>
  <c r="DK26" i="5"/>
  <c r="DK28" i="5" s="1"/>
  <c r="DK39" i="5"/>
  <c r="DK38" i="5"/>
  <c r="DK10" i="5"/>
  <c r="DK12" i="5" s="1"/>
  <c r="DJ9" i="8" s="1"/>
  <c r="DL80" i="6"/>
  <c r="DL82" i="6" s="1"/>
  <c r="DL86" i="6"/>
  <c r="DL85" i="6"/>
  <c r="DL63" i="6"/>
  <c r="DL53" i="6"/>
  <c r="DL54" i="6" s="1"/>
  <c r="DK80" i="6"/>
  <c r="DK81" i="6" s="1"/>
  <c r="DK73" i="6"/>
  <c r="DK53" i="6"/>
  <c r="DK54" i="6" s="1"/>
  <c r="DL39" i="6"/>
  <c r="DL38" i="6"/>
  <c r="DL33" i="6"/>
  <c r="DL35" i="6" s="1"/>
  <c r="DL26" i="6"/>
  <c r="DL27" i="6" s="1"/>
  <c r="DL18" i="6"/>
  <c r="DL10" i="6"/>
  <c r="DL11" i="6" s="1"/>
  <c r="DK39" i="6"/>
  <c r="DK38" i="6"/>
  <c r="DK33" i="6"/>
  <c r="DK34" i="6" s="1"/>
  <c r="DK26" i="6"/>
  <c r="DK28" i="6" s="1"/>
  <c r="DK18" i="6"/>
  <c r="DK20" i="6" s="1"/>
  <c r="DJ8" i="13" s="1"/>
  <c r="DK10" i="6"/>
  <c r="DK12" i="6" s="1"/>
  <c r="DJ8" i="8" s="1"/>
  <c r="DL85" i="4"/>
  <c r="DL80" i="4"/>
  <c r="DL82" i="4" s="1"/>
  <c r="DL73" i="4"/>
  <c r="DL53" i="4"/>
  <c r="DL55" i="4" s="1"/>
  <c r="DK7" i="15" s="1"/>
  <c r="DK85" i="4"/>
  <c r="DK80" i="4"/>
  <c r="DK82" i="4" s="1"/>
  <c r="DK73" i="4"/>
  <c r="DK53" i="4"/>
  <c r="DK55" i="4" s="1"/>
  <c r="DJ7" i="15" s="1"/>
  <c r="DL39" i="4"/>
  <c r="DL38" i="4"/>
  <c r="DK39" i="4"/>
  <c r="DK38" i="4"/>
  <c r="DL33" i="4"/>
  <c r="DL34" i="4" s="1"/>
  <c r="DL26" i="4"/>
  <c r="DL18" i="4"/>
  <c r="DL10" i="4"/>
  <c r="DL11" i="4" s="1"/>
  <c r="DK33" i="4"/>
  <c r="DK34" i="4" s="1"/>
  <c r="DK26" i="4"/>
  <c r="DK18" i="4"/>
  <c r="DK10" i="4"/>
  <c r="DK11" i="4" s="1"/>
  <c r="DL86" i="2"/>
  <c r="DL85" i="2"/>
  <c r="DL80" i="2"/>
  <c r="DL82" i="2" s="1"/>
  <c r="DL73" i="2"/>
  <c r="DL74" i="2" s="1"/>
  <c r="DK86" i="2"/>
  <c r="DK85" i="2"/>
  <c r="DK80" i="2"/>
  <c r="DK81" i="2" s="1"/>
  <c r="DK73" i="2"/>
  <c r="DK74" i="2" s="1"/>
  <c r="DK63" i="2"/>
  <c r="DL53" i="2"/>
  <c r="DL55" i="2" s="1"/>
  <c r="DK6" i="15" s="1"/>
  <c r="DK53" i="2"/>
  <c r="DK55" i="2" s="1"/>
  <c r="DJ6" i="15" s="1"/>
  <c r="DL39" i="2"/>
  <c r="DL38" i="2"/>
  <c r="DK39" i="2"/>
  <c r="DK38" i="2"/>
  <c r="DL33" i="2"/>
  <c r="DL34" i="2" s="1"/>
  <c r="DL26" i="2"/>
  <c r="DL18" i="2"/>
  <c r="DL10" i="2"/>
  <c r="DL12" i="2" s="1"/>
  <c r="DK6" i="8" s="1"/>
  <c r="DK33" i="2"/>
  <c r="DK34" i="2" s="1"/>
  <c r="DK26" i="2"/>
  <c r="DK27" i="2" s="1"/>
  <c r="DK18" i="2"/>
  <c r="DK10" i="2"/>
  <c r="DK12" i="2" s="1"/>
  <c r="DJ6" i="8" s="1"/>
  <c r="DL80" i="1"/>
  <c r="DL82" i="1" s="1"/>
  <c r="DL86" i="1"/>
  <c r="DL73" i="1"/>
  <c r="DL63" i="1"/>
  <c r="DL53" i="1"/>
  <c r="DL54" i="1" s="1"/>
  <c r="DK85" i="1"/>
  <c r="DK80" i="1"/>
  <c r="DK82" i="1" s="1"/>
  <c r="DK86" i="1"/>
  <c r="DK73" i="1"/>
  <c r="DK63" i="1"/>
  <c r="DK53" i="1"/>
  <c r="DK54" i="1" s="1"/>
  <c r="DL33" i="1"/>
  <c r="DL34" i="1" s="1"/>
  <c r="DL26" i="1"/>
  <c r="DL39" i="1"/>
  <c r="DL18" i="1"/>
  <c r="DL10" i="1"/>
  <c r="DL12" i="1" s="1"/>
  <c r="DK5" i="8" s="1"/>
  <c r="DK39" i="1"/>
  <c r="DK38" i="1"/>
  <c r="DK33" i="1"/>
  <c r="DK35" i="1" s="1"/>
  <c r="DK26" i="1"/>
  <c r="DK10" i="1"/>
  <c r="DK11" i="1" s="1"/>
  <c r="DK55" i="6" l="1"/>
  <c r="DJ8" i="15" s="1"/>
  <c r="DL64" i="7"/>
  <c r="DL67" i="7"/>
  <c r="DK75" i="7"/>
  <c r="DJ6" i="24" s="1"/>
  <c r="DK28" i="7"/>
  <c r="DK27" i="7"/>
  <c r="DK20" i="7"/>
  <c r="DL35" i="2"/>
  <c r="DL75" i="7"/>
  <c r="DK6" i="24" s="1"/>
  <c r="DL74" i="7"/>
  <c r="DK38" i="7"/>
  <c r="DK57" i="1"/>
  <c r="DK40" i="2"/>
  <c r="DK41" i="2" s="1"/>
  <c r="DK39" i="7"/>
  <c r="DK67" i="7"/>
  <c r="DK64" i="7"/>
  <c r="DL28" i="7"/>
  <c r="DL20" i="7"/>
  <c r="DL39" i="7"/>
  <c r="DL55" i="6"/>
  <c r="DK8" i="15" s="1"/>
  <c r="DK87" i="1"/>
  <c r="DK88" i="1" s="1"/>
  <c r="DK55" i="1"/>
  <c r="DJ5" i="15" s="1"/>
  <c r="DL55" i="1"/>
  <c r="DK5" i="15" s="1"/>
  <c r="DK40" i="1"/>
  <c r="DK41" i="1" s="1"/>
  <c r="DL35" i="1"/>
  <c r="DL67" i="1"/>
  <c r="DL57" i="1"/>
  <c r="DK82" i="6"/>
  <c r="DL87" i="6"/>
  <c r="DL88" i="6" s="1"/>
  <c r="DK35" i="6"/>
  <c r="DL28" i="6"/>
  <c r="DK27" i="6"/>
  <c r="DK40" i="6"/>
  <c r="DK42" i="6" s="1"/>
  <c r="DL67" i="6"/>
  <c r="DL40" i="6"/>
  <c r="DL41" i="6" s="1"/>
  <c r="DK57" i="6"/>
  <c r="DK11" i="6"/>
  <c r="DL12" i="6"/>
  <c r="DK8" i="8" s="1"/>
  <c r="DL57" i="6"/>
  <c r="DL54" i="4"/>
  <c r="DK54" i="4"/>
  <c r="DL35" i="4"/>
  <c r="DK35" i="4"/>
  <c r="DK40" i="4"/>
  <c r="DK42" i="4" s="1"/>
  <c r="DL40" i="4"/>
  <c r="DL42" i="4" s="1"/>
  <c r="DL57" i="4"/>
  <c r="DL12" i="4"/>
  <c r="DK7" i="8" s="1"/>
  <c r="DK12" i="4"/>
  <c r="DJ7" i="8" s="1"/>
  <c r="DK57" i="4"/>
  <c r="DL55" i="5"/>
  <c r="DK9" i="15" s="1"/>
  <c r="DK55" i="5"/>
  <c r="DJ9" i="15" s="1"/>
  <c r="DK34" i="5"/>
  <c r="DL28" i="5"/>
  <c r="DL67" i="5"/>
  <c r="DK40" i="5"/>
  <c r="DK41" i="5" s="1"/>
  <c r="DL40" i="5"/>
  <c r="DL42" i="5" s="1"/>
  <c r="DL57" i="5"/>
  <c r="DL12" i="5"/>
  <c r="DK9" i="8" s="1"/>
  <c r="DK57" i="5"/>
  <c r="DK82" i="2"/>
  <c r="DK75" i="2"/>
  <c r="DL75" i="2"/>
  <c r="DL87" i="2"/>
  <c r="DL88" i="2" s="1"/>
  <c r="DK87" i="2"/>
  <c r="DK89" i="2" s="1"/>
  <c r="DK35" i="2"/>
  <c r="DL40" i="2"/>
  <c r="DL42" i="2" s="1"/>
  <c r="DK11" i="2"/>
  <c r="DL57" i="2"/>
  <c r="DK57" i="2"/>
  <c r="DL87" i="5"/>
  <c r="DL88" i="5" s="1"/>
  <c r="DL64" i="5"/>
  <c r="DL65" i="5"/>
  <c r="DK9" i="14" s="1"/>
  <c r="DL73" i="5"/>
  <c r="DL81" i="5"/>
  <c r="DK87" i="5"/>
  <c r="DK88" i="5" s="1"/>
  <c r="DK64" i="5"/>
  <c r="DK65" i="5"/>
  <c r="DJ9" i="14" s="1"/>
  <c r="DK73" i="5"/>
  <c r="DK81" i="5"/>
  <c r="DL20" i="5"/>
  <c r="DK9" i="13" s="1"/>
  <c r="DL19" i="5"/>
  <c r="DL34" i="5"/>
  <c r="DK11" i="5"/>
  <c r="DK18" i="5"/>
  <c r="DK19" i="5" s="1"/>
  <c r="DK27" i="5"/>
  <c r="DL64" i="6"/>
  <c r="DL65" i="6"/>
  <c r="DK8" i="14" s="1"/>
  <c r="DL73" i="6"/>
  <c r="DL81" i="6"/>
  <c r="DK75" i="6"/>
  <c r="DK74" i="6"/>
  <c r="DK63" i="6"/>
  <c r="DK65" i="6" s="1"/>
  <c r="DJ8" i="14" s="1"/>
  <c r="DK85" i="6"/>
  <c r="DK85" i="7" s="1"/>
  <c r="DK86" i="6"/>
  <c r="DL20" i="6"/>
  <c r="DK8" i="13" s="1"/>
  <c r="DL19" i="6"/>
  <c r="DL34" i="6"/>
  <c r="DK19" i="6"/>
  <c r="DL74" i="4"/>
  <c r="DL75" i="4"/>
  <c r="DL63" i="4"/>
  <c r="DL65" i="4" s="1"/>
  <c r="DK7" i="14" s="1"/>
  <c r="DL86" i="4"/>
  <c r="DL86" i="7" s="1"/>
  <c r="DL81" i="4"/>
  <c r="DK74" i="4"/>
  <c r="DK75" i="4"/>
  <c r="DK63" i="4"/>
  <c r="DK86" i="4"/>
  <c r="DK87" i="4" s="1"/>
  <c r="DK88" i="4" s="1"/>
  <c r="DK81" i="4"/>
  <c r="DL20" i="4"/>
  <c r="DK7" i="13" s="1"/>
  <c r="DL19" i="4"/>
  <c r="DL28" i="4"/>
  <c r="DL27" i="4"/>
  <c r="DK20" i="4"/>
  <c r="DJ7" i="13" s="1"/>
  <c r="DK19" i="4"/>
  <c r="DK28" i="4"/>
  <c r="DK27" i="4"/>
  <c r="DL81" i="2"/>
  <c r="DK67" i="2"/>
  <c r="DK65" i="2"/>
  <c r="DJ6" i="14" s="1"/>
  <c r="DK64" i="2"/>
  <c r="DL63" i="2"/>
  <c r="DK54" i="2"/>
  <c r="DL54" i="2"/>
  <c r="DL19" i="2"/>
  <c r="DL20" i="2"/>
  <c r="DK6" i="13" s="1"/>
  <c r="DL28" i="2"/>
  <c r="DL27" i="2"/>
  <c r="DL11" i="2"/>
  <c r="DK19" i="2"/>
  <c r="DK20" i="2"/>
  <c r="DJ6" i="13" s="1"/>
  <c r="DK28" i="2"/>
  <c r="DL74" i="1"/>
  <c r="DL75" i="1"/>
  <c r="DL85" i="1"/>
  <c r="DL87" i="1" s="1"/>
  <c r="DL88" i="1" s="1"/>
  <c r="DL64" i="1"/>
  <c r="DL65" i="1"/>
  <c r="DK5" i="14" s="1"/>
  <c r="DL81" i="1"/>
  <c r="DK74" i="1"/>
  <c r="DK75" i="1"/>
  <c r="DK64" i="1"/>
  <c r="DK65" i="1"/>
  <c r="DJ5" i="14" s="1"/>
  <c r="DK81" i="1"/>
  <c r="DL28" i="1"/>
  <c r="DL27" i="1"/>
  <c r="DL19" i="1"/>
  <c r="DL20" i="1"/>
  <c r="DK5" i="13" s="1"/>
  <c r="DL38" i="1"/>
  <c r="DL40" i="1" s="1"/>
  <c r="DL41" i="1" s="1"/>
  <c r="DL11" i="1"/>
  <c r="DK27" i="1"/>
  <c r="DK28" i="1"/>
  <c r="DK12" i="1"/>
  <c r="DJ5" i="8" s="1"/>
  <c r="DK34" i="1"/>
  <c r="DK18" i="1"/>
  <c r="DK19" i="1" s="1"/>
  <c r="DJ79" i="7"/>
  <c r="DJ78" i="7"/>
  <c r="DJ72" i="7"/>
  <c r="DJ71" i="7"/>
  <c r="DJ62" i="7"/>
  <c r="DJ61" i="7"/>
  <c r="DJ52" i="7"/>
  <c r="DJ51" i="7"/>
  <c r="DJ32" i="7"/>
  <c r="DJ31" i="7"/>
  <c r="DJ25" i="7"/>
  <c r="DJ24" i="7"/>
  <c r="DJ17" i="7"/>
  <c r="DJ16" i="7"/>
  <c r="DJ9" i="7"/>
  <c r="DJ8" i="7"/>
  <c r="DJ80" i="5"/>
  <c r="DJ81" i="5" s="1"/>
  <c r="DJ73" i="5"/>
  <c r="DJ53" i="5"/>
  <c r="DJ55" i="5" s="1"/>
  <c r="DI9" i="15" s="1"/>
  <c r="DJ39" i="5"/>
  <c r="DJ38" i="5"/>
  <c r="DJ33" i="5"/>
  <c r="DJ34" i="5" s="1"/>
  <c r="DJ26" i="5"/>
  <c r="DJ27" i="5" s="1"/>
  <c r="DJ18" i="5"/>
  <c r="DJ19" i="5" s="1"/>
  <c r="DJ10" i="5"/>
  <c r="DJ12" i="5" s="1"/>
  <c r="DI9" i="8" s="1"/>
  <c r="DJ80" i="4"/>
  <c r="DJ81" i="4" s="1"/>
  <c r="DJ73" i="4"/>
  <c r="DJ86" i="4"/>
  <c r="DJ63" i="4"/>
  <c r="DJ53" i="4"/>
  <c r="DJ33" i="4"/>
  <c r="DJ35" i="4" s="1"/>
  <c r="DJ38" i="4"/>
  <c r="DJ10" i="4"/>
  <c r="DJ12" i="4" s="1"/>
  <c r="DI7" i="8" s="1"/>
  <c r="DJ80" i="6"/>
  <c r="DJ82" i="6" s="1"/>
  <c r="DJ86" i="6"/>
  <c r="DJ73" i="6"/>
  <c r="DJ63" i="6"/>
  <c r="DJ53" i="6"/>
  <c r="DJ54" i="6" s="1"/>
  <c r="DJ39" i="6"/>
  <c r="DJ38" i="6"/>
  <c r="DJ33" i="6"/>
  <c r="DJ35" i="6" s="1"/>
  <c r="DJ26" i="6"/>
  <c r="DJ28" i="6" s="1"/>
  <c r="DJ18" i="6"/>
  <c r="DJ20" i="6" s="1"/>
  <c r="DI8" i="13" s="1"/>
  <c r="DJ10" i="6"/>
  <c r="DJ12" i="6" s="1"/>
  <c r="DI8" i="8" s="1"/>
  <c r="DJ86" i="1"/>
  <c r="DJ85" i="1"/>
  <c r="DJ63" i="1"/>
  <c r="DJ64" i="1" s="1"/>
  <c r="DJ39" i="1"/>
  <c r="DJ38" i="1"/>
  <c r="DJ86" i="2"/>
  <c r="DJ85" i="2"/>
  <c r="DJ80" i="2"/>
  <c r="DJ81" i="2" s="1"/>
  <c r="DJ73" i="2"/>
  <c r="DJ74" i="2" s="1"/>
  <c r="DJ63" i="2"/>
  <c r="DJ64" i="2" s="1"/>
  <c r="DJ53" i="2"/>
  <c r="DJ55" i="2" s="1"/>
  <c r="DI6" i="15" s="1"/>
  <c r="DJ39" i="2"/>
  <c r="DJ38" i="2"/>
  <c r="DJ33" i="2"/>
  <c r="DJ34" i="2" s="1"/>
  <c r="DJ26" i="2"/>
  <c r="DJ27" i="2" s="1"/>
  <c r="DJ18" i="2"/>
  <c r="DJ20" i="2" s="1"/>
  <c r="DI6" i="13" s="1"/>
  <c r="DJ10" i="2"/>
  <c r="DJ12" i="2" s="1"/>
  <c r="DI6" i="8" s="1"/>
  <c r="DJ65" i="1" l="1"/>
  <c r="DI5" i="14" s="1"/>
  <c r="DL89" i="2"/>
  <c r="DL41" i="2"/>
  <c r="DK41" i="4"/>
  <c r="DL38" i="7"/>
  <c r="DL40" i="7" s="1"/>
  <c r="DL42" i="7" s="1"/>
  <c r="DK12" i="13"/>
  <c r="DK6" i="26"/>
  <c r="DJ6" i="26"/>
  <c r="DJ12" i="13"/>
  <c r="DK7" i="26"/>
  <c r="DK5" i="24"/>
  <c r="DK42" i="2"/>
  <c r="DK40" i="7"/>
  <c r="DK41" i="7" s="1"/>
  <c r="DJ7" i="26"/>
  <c r="DJ5" i="24"/>
  <c r="DL85" i="7"/>
  <c r="DL87" i="7" s="1"/>
  <c r="DL89" i="7" s="1"/>
  <c r="DK86" i="7"/>
  <c r="DJ82" i="4"/>
  <c r="DK89" i="1"/>
  <c r="DK42" i="1"/>
  <c r="DK20" i="1"/>
  <c r="DJ5" i="13" s="1"/>
  <c r="DK67" i="1"/>
  <c r="DL42" i="1"/>
  <c r="DL89" i="6"/>
  <c r="DJ55" i="6"/>
  <c r="DI8" i="15" s="1"/>
  <c r="DK41" i="6"/>
  <c r="DJ27" i="6"/>
  <c r="DJ67" i="6"/>
  <c r="DJ19" i="6"/>
  <c r="DL42" i="6"/>
  <c r="DJ40" i="6"/>
  <c r="DJ41" i="6" s="1"/>
  <c r="DJ57" i="6"/>
  <c r="DJ11" i="6"/>
  <c r="DL41" i="4"/>
  <c r="DJ57" i="4"/>
  <c r="DJ82" i="5"/>
  <c r="DK89" i="5"/>
  <c r="DJ54" i="5"/>
  <c r="DL41" i="5"/>
  <c r="DJ35" i="5"/>
  <c r="DJ28" i="5"/>
  <c r="DJ26" i="7"/>
  <c r="DJ27" i="7" s="1"/>
  <c r="DK42" i="5"/>
  <c r="DK67" i="5"/>
  <c r="DJ40" i="5"/>
  <c r="DJ42" i="5" s="1"/>
  <c r="DJ18" i="7"/>
  <c r="DJ19" i="7" s="1"/>
  <c r="DJ11" i="5"/>
  <c r="DJ57" i="5"/>
  <c r="DJ75" i="2"/>
  <c r="DK88" i="2"/>
  <c r="DJ54" i="2"/>
  <c r="DJ53" i="7"/>
  <c r="DJ54" i="7" s="1"/>
  <c r="DJ33" i="7"/>
  <c r="DJ35" i="7" s="1"/>
  <c r="DI8" i="26" s="1"/>
  <c r="DJ35" i="2"/>
  <c r="DJ28" i="2"/>
  <c r="DJ19" i="2"/>
  <c r="DJ40" i="2"/>
  <c r="DJ41" i="2" s="1"/>
  <c r="DJ57" i="2"/>
  <c r="DJ38" i="7"/>
  <c r="DL89" i="5"/>
  <c r="DL75" i="5"/>
  <c r="DL74" i="5"/>
  <c r="DK75" i="5"/>
  <c r="DK74" i="5"/>
  <c r="DK20" i="5"/>
  <c r="DJ9" i="13" s="1"/>
  <c r="DL75" i="6"/>
  <c r="DL74" i="6"/>
  <c r="DK87" i="6"/>
  <c r="DK88" i="6" s="1"/>
  <c r="DK64" i="6"/>
  <c r="DK67" i="6"/>
  <c r="DL64" i="4"/>
  <c r="DL67" i="4"/>
  <c r="DL87" i="4"/>
  <c r="DL88" i="4" s="1"/>
  <c r="DK64" i="4"/>
  <c r="DK67" i="4"/>
  <c r="DK89" i="4"/>
  <c r="DK65" i="4"/>
  <c r="DJ7" i="14" s="1"/>
  <c r="DJ82" i="2"/>
  <c r="DJ73" i="7"/>
  <c r="DJ74" i="7" s="1"/>
  <c r="DJ87" i="2"/>
  <c r="DJ88" i="2" s="1"/>
  <c r="DJ80" i="7"/>
  <c r="DJ81" i="7" s="1"/>
  <c r="DJ65" i="2"/>
  <c r="DI6" i="14" s="1"/>
  <c r="DJ67" i="2"/>
  <c r="DL64" i="2"/>
  <c r="DL67" i="2"/>
  <c r="DL65" i="2"/>
  <c r="DK6" i="14" s="1"/>
  <c r="DJ63" i="7"/>
  <c r="DJ10" i="7"/>
  <c r="DJ11" i="7" s="1"/>
  <c r="DL89" i="1"/>
  <c r="DJ75" i="5"/>
  <c r="DJ74" i="5"/>
  <c r="DJ63" i="5"/>
  <c r="DJ85" i="5"/>
  <c r="DJ86" i="5"/>
  <c r="DJ86" i="7" s="1"/>
  <c r="DJ20" i="5"/>
  <c r="DI9" i="13" s="1"/>
  <c r="DJ65" i="4"/>
  <c r="DI7" i="14" s="1"/>
  <c r="DJ64" i="4"/>
  <c r="DJ75" i="4"/>
  <c r="DJ74" i="4"/>
  <c r="DJ54" i="4"/>
  <c r="DJ85" i="4"/>
  <c r="DJ87" i="4" s="1"/>
  <c r="DJ88" i="4" s="1"/>
  <c r="DJ55" i="4"/>
  <c r="DI7" i="15" s="1"/>
  <c r="DJ39" i="4"/>
  <c r="DJ40" i="4" s="1"/>
  <c r="DJ41" i="4" s="1"/>
  <c r="DJ11" i="4"/>
  <c r="DJ18" i="4"/>
  <c r="DJ19" i="4" s="1"/>
  <c r="DJ26" i="4"/>
  <c r="DJ27" i="4" s="1"/>
  <c r="DJ34" i="4"/>
  <c r="DJ75" i="6"/>
  <c r="DJ74" i="6"/>
  <c r="DJ85" i="6"/>
  <c r="DJ87" i="6" s="1"/>
  <c r="DJ88" i="6" s="1"/>
  <c r="DJ64" i="6"/>
  <c r="DJ65" i="6"/>
  <c r="DI8" i="14" s="1"/>
  <c r="DJ81" i="6"/>
  <c r="DJ34" i="6"/>
  <c r="DJ11" i="2"/>
  <c r="DJ87" i="1"/>
  <c r="DJ89" i="1" s="1"/>
  <c r="DJ80" i="1"/>
  <c r="DJ82" i="1" s="1"/>
  <c r="DJ73" i="1"/>
  <c r="DJ74" i="1" s="1"/>
  <c r="DJ53" i="1"/>
  <c r="DJ54" i="1" s="1"/>
  <c r="DJ40" i="1"/>
  <c r="DJ33" i="1"/>
  <c r="DJ35" i="1" s="1"/>
  <c r="DJ26" i="1"/>
  <c r="DJ28" i="1" s="1"/>
  <c r="DJ18" i="1"/>
  <c r="DJ10" i="1"/>
  <c r="DJ57" i="1" l="1"/>
  <c r="DJ55" i="1"/>
  <c r="DI5" i="15" s="1"/>
  <c r="DK42" i="7"/>
  <c r="DJ75" i="1"/>
  <c r="DK87" i="7"/>
  <c r="DK88" i="7" s="1"/>
  <c r="DL88" i="7"/>
  <c r="DJ39" i="7"/>
  <c r="DJ40" i="7" s="1"/>
  <c r="DJ41" i="7" s="1"/>
  <c r="DL41" i="7"/>
  <c r="DJ89" i="6"/>
  <c r="DJ12" i="7"/>
  <c r="DJ81" i="1"/>
  <c r="DJ34" i="1"/>
  <c r="DK89" i="6"/>
  <c r="DJ42" i="6"/>
  <c r="DJ85" i="7"/>
  <c r="DJ87" i="7" s="1"/>
  <c r="DJ28" i="4"/>
  <c r="DJ67" i="4"/>
  <c r="DJ55" i="7"/>
  <c r="DI12" i="15" s="1"/>
  <c r="DJ82" i="7"/>
  <c r="DJ75" i="7"/>
  <c r="DI6" i="24" s="1"/>
  <c r="DJ87" i="5"/>
  <c r="DJ88" i="5" s="1"/>
  <c r="DJ34" i="7"/>
  <c r="DJ28" i="7"/>
  <c r="DJ20" i="7"/>
  <c r="DJ67" i="7"/>
  <c r="DJ41" i="5"/>
  <c r="DJ89" i="2"/>
  <c r="DJ42" i="2"/>
  <c r="DJ57" i="7"/>
  <c r="DL89" i="4"/>
  <c r="DJ64" i="7"/>
  <c r="DJ65" i="7"/>
  <c r="DI12" i="14" s="1"/>
  <c r="DJ11" i="1"/>
  <c r="DJ12" i="1"/>
  <c r="DI5" i="8" s="1"/>
  <c r="DJ42" i="1"/>
  <c r="DJ41" i="1"/>
  <c r="DJ64" i="5"/>
  <c r="DJ67" i="5"/>
  <c r="DJ65" i="5"/>
  <c r="DI9" i="14" s="1"/>
  <c r="DJ89" i="4"/>
  <c r="DJ42" i="4"/>
  <c r="DJ20" i="4"/>
  <c r="DI7" i="13" s="1"/>
  <c r="DJ88" i="1"/>
  <c r="DJ67" i="1"/>
  <c r="DJ27" i="1"/>
  <c r="DJ19" i="1"/>
  <c r="DJ20" i="1"/>
  <c r="DI5" i="13" s="1"/>
  <c r="DG51" i="7"/>
  <c r="DH51" i="7"/>
  <c r="DI51" i="7"/>
  <c r="DG52" i="7"/>
  <c r="DH52" i="7"/>
  <c r="DI52" i="7"/>
  <c r="DG78" i="7"/>
  <c r="DH78" i="7"/>
  <c r="DI78" i="7"/>
  <c r="DG79" i="7"/>
  <c r="DH79" i="7"/>
  <c r="DI79" i="7"/>
  <c r="DG8" i="7"/>
  <c r="DH8" i="7"/>
  <c r="DI8" i="7"/>
  <c r="DG9" i="7"/>
  <c r="DH9" i="7"/>
  <c r="DI9" i="7"/>
  <c r="DG31" i="7"/>
  <c r="DH31" i="7"/>
  <c r="DI31" i="7"/>
  <c r="DG32" i="7"/>
  <c r="DH32" i="7"/>
  <c r="DI32" i="7"/>
  <c r="DG80" i="1"/>
  <c r="DG81" i="1" s="1"/>
  <c r="DH80" i="1"/>
  <c r="DH81" i="1" s="1"/>
  <c r="DI80" i="1"/>
  <c r="DI81" i="1" s="1"/>
  <c r="DI72" i="1"/>
  <c r="DH72" i="1"/>
  <c r="DG72" i="1"/>
  <c r="DI71" i="1"/>
  <c r="DH71" i="1"/>
  <c r="DG71" i="1"/>
  <c r="DI62" i="1"/>
  <c r="DH62" i="1"/>
  <c r="DG62" i="1"/>
  <c r="DI61" i="1"/>
  <c r="DH61" i="1"/>
  <c r="DG61" i="1"/>
  <c r="DG53" i="1"/>
  <c r="DH53" i="1"/>
  <c r="DH54" i="1" s="1"/>
  <c r="DI53" i="1"/>
  <c r="DG33" i="1"/>
  <c r="DG34" i="1" s="1"/>
  <c r="DH33" i="1"/>
  <c r="DH34" i="1" s="1"/>
  <c r="DI33" i="1"/>
  <c r="DI34" i="1" s="1"/>
  <c r="DI25" i="1"/>
  <c r="DH25" i="1"/>
  <c r="DG25" i="1"/>
  <c r="DI24" i="1"/>
  <c r="DH24" i="1"/>
  <c r="DG24" i="1"/>
  <c r="DI17" i="1"/>
  <c r="DH17" i="1"/>
  <c r="DG17" i="1"/>
  <c r="DH16" i="1"/>
  <c r="DG16" i="1"/>
  <c r="DG18" i="1" s="1"/>
  <c r="DG19" i="1" s="1"/>
  <c r="DG10" i="1"/>
  <c r="DG11" i="1" s="1"/>
  <c r="DH10" i="1"/>
  <c r="DI10" i="1"/>
  <c r="DG80" i="6"/>
  <c r="DG81" i="6" s="1"/>
  <c r="DH80" i="6"/>
  <c r="DH81" i="6" s="1"/>
  <c r="DI80" i="6"/>
  <c r="DI81" i="6" s="1"/>
  <c r="DI72" i="6"/>
  <c r="DH72" i="6"/>
  <c r="DG72" i="6"/>
  <c r="DG86" i="6" s="1"/>
  <c r="DI71" i="6"/>
  <c r="DH71" i="6"/>
  <c r="DG71" i="6"/>
  <c r="DI62" i="6"/>
  <c r="DH62" i="6"/>
  <c r="DI61" i="6"/>
  <c r="DI85" i="6" s="1"/>
  <c r="DH61" i="6"/>
  <c r="DG61" i="6"/>
  <c r="DG63" i="6" s="1"/>
  <c r="DG53" i="6"/>
  <c r="DG54" i="6" s="1"/>
  <c r="DH53" i="6"/>
  <c r="DH54" i="6" s="1"/>
  <c r="DI53" i="6"/>
  <c r="DI54" i="6" s="1"/>
  <c r="DG38" i="6"/>
  <c r="DG33" i="6"/>
  <c r="DH33" i="6"/>
  <c r="DH34" i="6" s="1"/>
  <c r="DI33" i="6"/>
  <c r="DG26" i="6"/>
  <c r="DG27" i="6" s="1"/>
  <c r="DH26" i="6"/>
  <c r="DH27" i="6" s="1"/>
  <c r="DI26" i="6"/>
  <c r="DI27" i="6" s="1"/>
  <c r="DI17" i="6"/>
  <c r="DI39" i="6" s="1"/>
  <c r="DH17" i="6"/>
  <c r="DG39" i="6"/>
  <c r="DI16" i="6"/>
  <c r="DH16" i="6"/>
  <c r="DH38" i="6" s="1"/>
  <c r="DG18" i="6"/>
  <c r="DG19" i="6" s="1"/>
  <c r="DG10" i="6"/>
  <c r="DG11" i="6" s="1"/>
  <c r="DH10" i="6"/>
  <c r="DI10" i="6"/>
  <c r="DI11" i="6" s="1"/>
  <c r="DH11" i="6"/>
  <c r="DH12" i="6"/>
  <c r="DG8" i="8" s="1"/>
  <c r="DG80" i="4"/>
  <c r="DG81" i="4" s="1"/>
  <c r="DH80" i="4"/>
  <c r="DH81" i="4" s="1"/>
  <c r="DI80" i="4"/>
  <c r="DI81" i="4" s="1"/>
  <c r="DI73" i="4"/>
  <c r="DI74" i="4" s="1"/>
  <c r="DH72" i="4"/>
  <c r="DG72" i="4"/>
  <c r="DI86" i="4"/>
  <c r="DH62" i="4"/>
  <c r="DH61" i="4"/>
  <c r="DH85" i="4" s="1"/>
  <c r="DG61" i="4"/>
  <c r="DG53" i="4"/>
  <c r="DG54" i="4" s="1"/>
  <c r="DH53" i="4"/>
  <c r="DH54" i="4" s="1"/>
  <c r="DI53" i="4"/>
  <c r="DG33" i="4"/>
  <c r="DG34" i="4" s="1"/>
  <c r="DH33" i="4"/>
  <c r="DH34" i="4" s="1"/>
  <c r="DI33" i="4"/>
  <c r="DI26" i="4"/>
  <c r="DH25" i="4"/>
  <c r="DH26" i="4" s="1"/>
  <c r="DH27" i="4" s="1"/>
  <c r="DG25" i="4"/>
  <c r="DG39" i="4" s="1"/>
  <c r="DH17" i="4"/>
  <c r="DH16" i="4"/>
  <c r="DG16" i="4"/>
  <c r="DG10" i="4"/>
  <c r="DG11" i="4" s="1"/>
  <c r="DH10" i="4"/>
  <c r="DH11" i="4" s="1"/>
  <c r="DI10" i="4"/>
  <c r="DI11" i="4" s="1"/>
  <c r="DI12" i="4"/>
  <c r="DH7" i="8" s="1"/>
  <c r="DG80" i="5"/>
  <c r="DG82" i="5" s="1"/>
  <c r="DH80" i="5"/>
  <c r="DH81" i="5" s="1"/>
  <c r="DI80" i="5"/>
  <c r="DI82" i="5" s="1"/>
  <c r="DI72" i="5"/>
  <c r="DH72" i="5"/>
  <c r="DG72" i="5"/>
  <c r="DI71" i="5"/>
  <c r="DH71" i="5"/>
  <c r="DG71" i="5"/>
  <c r="DH62" i="5"/>
  <c r="DG62" i="5"/>
  <c r="DI61" i="5"/>
  <c r="DI63" i="5" s="1"/>
  <c r="DH61" i="5"/>
  <c r="DH63" i="5" s="1"/>
  <c r="DG61" i="5"/>
  <c r="DG53" i="5"/>
  <c r="DH53" i="5"/>
  <c r="DH55" i="5" s="1"/>
  <c r="DG9" i="15" s="1"/>
  <c r="DI53" i="5"/>
  <c r="DG33" i="5"/>
  <c r="DG34" i="5" s="1"/>
  <c r="DH33" i="5"/>
  <c r="DH34" i="5" s="1"/>
  <c r="DI33" i="5"/>
  <c r="DI34" i="5" s="1"/>
  <c r="DG26" i="5"/>
  <c r="DG27" i="5" s="1"/>
  <c r="DH26" i="5"/>
  <c r="DH27" i="5" s="1"/>
  <c r="DI26" i="5"/>
  <c r="DI27" i="5" s="1"/>
  <c r="DI17" i="5"/>
  <c r="DI39" i="5" s="1"/>
  <c r="DH17" i="5"/>
  <c r="DH39" i="5" s="1"/>
  <c r="DG17" i="5"/>
  <c r="DI16" i="5"/>
  <c r="DI38" i="5" s="1"/>
  <c r="DH16" i="5"/>
  <c r="DH18" i="5" s="1"/>
  <c r="DH19" i="5" s="1"/>
  <c r="DG16" i="5"/>
  <c r="DG38" i="5" s="1"/>
  <c r="DG10" i="5"/>
  <c r="DH10" i="5"/>
  <c r="DH11" i="5" s="1"/>
  <c r="DI10" i="5"/>
  <c r="DI11" i="5" s="1"/>
  <c r="DH12" i="5"/>
  <c r="DG9" i="8" s="1"/>
  <c r="DG80" i="2"/>
  <c r="DH80" i="2"/>
  <c r="DI80" i="2"/>
  <c r="DI81" i="2" s="1"/>
  <c r="DI72" i="2"/>
  <c r="DH72" i="2"/>
  <c r="DG72" i="2"/>
  <c r="DI71" i="2"/>
  <c r="DH71" i="2"/>
  <c r="DG71" i="2"/>
  <c r="DI62" i="2"/>
  <c r="DH62" i="2"/>
  <c r="DG62" i="2"/>
  <c r="DG86" i="2" s="1"/>
  <c r="DI61" i="2"/>
  <c r="DH61" i="2"/>
  <c r="DG61" i="2"/>
  <c r="DG53" i="2"/>
  <c r="DH53" i="2"/>
  <c r="DH54" i="2" s="1"/>
  <c r="DI53" i="2"/>
  <c r="DI54" i="2" s="1"/>
  <c r="DG33" i="2"/>
  <c r="DH33" i="2"/>
  <c r="DH34" i="2" s="1"/>
  <c r="DI33" i="2"/>
  <c r="DI25" i="2"/>
  <c r="DI25" i="7" s="1"/>
  <c r="DH25" i="2"/>
  <c r="DG25" i="2"/>
  <c r="DI24" i="2"/>
  <c r="DI26" i="2" s="1"/>
  <c r="DH24" i="2"/>
  <c r="DH24" i="7" s="1"/>
  <c r="DG24" i="2"/>
  <c r="DI17" i="2"/>
  <c r="DI39" i="2" s="1"/>
  <c r="DH17" i="2"/>
  <c r="DG17" i="2"/>
  <c r="DG39" i="2" s="1"/>
  <c r="DH16" i="2"/>
  <c r="DG16" i="2"/>
  <c r="DG10" i="2"/>
  <c r="DG11" i="2" s="1"/>
  <c r="DH10" i="2"/>
  <c r="DH11" i="2" s="1"/>
  <c r="DI10" i="2"/>
  <c r="CU79" i="1"/>
  <c r="CU79" i="7" s="1"/>
  <c r="DC72" i="1"/>
  <c r="DB72" i="1"/>
  <c r="DA72" i="1"/>
  <c r="CZ72" i="1"/>
  <c r="CY72" i="1"/>
  <c r="CX72" i="1"/>
  <c r="CX73" i="1" s="1"/>
  <c r="CX74" i="1" s="1"/>
  <c r="CW72" i="1"/>
  <c r="CV72" i="1"/>
  <c r="CV86" i="1" s="1"/>
  <c r="CU72" i="1"/>
  <c r="DC71" i="1"/>
  <c r="DB71" i="1"/>
  <c r="DA71" i="1"/>
  <c r="CZ71" i="1"/>
  <c r="CY71" i="1"/>
  <c r="CX71" i="1"/>
  <c r="CW71" i="1"/>
  <c r="CV71" i="1"/>
  <c r="CU71" i="1"/>
  <c r="DC62" i="1"/>
  <c r="DB62" i="1"/>
  <c r="DB86" i="1" s="1"/>
  <c r="DA62" i="1"/>
  <c r="CZ62" i="1"/>
  <c r="CZ86" i="1" s="1"/>
  <c r="CY62" i="1"/>
  <c r="CX62" i="1"/>
  <c r="CX63" i="1" s="1"/>
  <c r="CX64" i="1" s="1"/>
  <c r="CW62" i="1"/>
  <c r="CW86" i="1" s="1"/>
  <c r="CV62" i="1"/>
  <c r="CU62" i="1"/>
  <c r="CV61" i="1"/>
  <c r="DC61" i="1"/>
  <c r="DB61" i="1"/>
  <c r="DB63" i="1" s="1"/>
  <c r="DB64" i="1" s="1"/>
  <c r="DA61" i="1"/>
  <c r="CZ61" i="1"/>
  <c r="CY61" i="1"/>
  <c r="CX61" i="1"/>
  <c r="CW61" i="1"/>
  <c r="CU61" i="1"/>
  <c r="CU85" i="1" s="1"/>
  <c r="DF25" i="1"/>
  <c r="DE25" i="1"/>
  <c r="DD25" i="1"/>
  <c r="DC25" i="1"/>
  <c r="DB25" i="1"/>
  <c r="DA25" i="1"/>
  <c r="CZ25" i="1"/>
  <c r="CY25" i="1"/>
  <c r="CX25" i="1"/>
  <c r="CW25" i="1"/>
  <c r="CV25" i="1"/>
  <c r="CU25" i="1"/>
  <c r="DF24" i="1"/>
  <c r="DF26" i="1" s="1"/>
  <c r="DF27" i="1" s="1"/>
  <c r="DE24" i="1"/>
  <c r="DD24" i="1"/>
  <c r="DD26" i="1" s="1"/>
  <c r="DD27" i="1" s="1"/>
  <c r="DC24" i="1"/>
  <c r="DB24" i="1"/>
  <c r="DA24" i="1"/>
  <c r="DA26" i="1" s="1"/>
  <c r="DA28" i="1" s="1"/>
  <c r="CZ24" i="1"/>
  <c r="CZ26" i="1" s="1"/>
  <c r="CY24" i="1"/>
  <c r="CX24" i="1"/>
  <c r="CX26" i="1" s="1"/>
  <c r="CX27" i="1" s="1"/>
  <c r="CW24" i="1"/>
  <c r="CV24" i="1"/>
  <c r="CV26" i="1" s="1"/>
  <c r="CU24" i="1"/>
  <c r="DF17" i="1"/>
  <c r="DE17" i="1"/>
  <c r="DD17" i="1"/>
  <c r="DC17" i="1"/>
  <c r="DC39" i="1" s="1"/>
  <c r="DB17" i="1"/>
  <c r="DA17" i="1"/>
  <c r="DA39" i="1" s="1"/>
  <c r="CZ17" i="1"/>
  <c r="CY17" i="1"/>
  <c r="CY39" i="1" s="1"/>
  <c r="CX17" i="1"/>
  <c r="CX39" i="1" s="1"/>
  <c r="CW17" i="1"/>
  <c r="CW39" i="1" s="1"/>
  <c r="CV17" i="1"/>
  <c r="CU17" i="1"/>
  <c r="CU39" i="1" s="1"/>
  <c r="DF16" i="1"/>
  <c r="DF38" i="1" s="1"/>
  <c r="DE16" i="1"/>
  <c r="DE38" i="1" s="1"/>
  <c r="DD16" i="1"/>
  <c r="DD38" i="1" s="1"/>
  <c r="DC16" i="1"/>
  <c r="DB16" i="1"/>
  <c r="DA16" i="1"/>
  <c r="DA38" i="1" s="1"/>
  <c r="CZ16" i="1"/>
  <c r="CZ38" i="1" s="1"/>
  <c r="CY16" i="1"/>
  <c r="CY18" i="1" s="1"/>
  <c r="CY19" i="1" s="1"/>
  <c r="CX16" i="1"/>
  <c r="CW16" i="1"/>
  <c r="CV16" i="1"/>
  <c r="CV38" i="1" s="1"/>
  <c r="CU16" i="1"/>
  <c r="CU38" i="1" s="1"/>
  <c r="DD51" i="7"/>
  <c r="DE51" i="7"/>
  <c r="DF51" i="7"/>
  <c r="DD52" i="7"/>
  <c r="DE52" i="7"/>
  <c r="DF52" i="7"/>
  <c r="DD78" i="7"/>
  <c r="DE78" i="7"/>
  <c r="DF78" i="7"/>
  <c r="DD79" i="7"/>
  <c r="DE79" i="7"/>
  <c r="DF79" i="7"/>
  <c r="DD8" i="7"/>
  <c r="DE8" i="7"/>
  <c r="DF8" i="7"/>
  <c r="DD9" i="7"/>
  <c r="DE9" i="7"/>
  <c r="DF9" i="7"/>
  <c r="DD31" i="7"/>
  <c r="DE31" i="7"/>
  <c r="DF31" i="7"/>
  <c r="DD32" i="7"/>
  <c r="DE32" i="7"/>
  <c r="DF32" i="7"/>
  <c r="DD80" i="1"/>
  <c r="DD81" i="1" s="1"/>
  <c r="DE80" i="1"/>
  <c r="DE81" i="1" s="1"/>
  <c r="DF80" i="1"/>
  <c r="DF81" i="1" s="1"/>
  <c r="DF72" i="1"/>
  <c r="DE72" i="1"/>
  <c r="DD72" i="1"/>
  <c r="DF71" i="1"/>
  <c r="DE71" i="1"/>
  <c r="DD71" i="1"/>
  <c r="DF62" i="1"/>
  <c r="DE62" i="1"/>
  <c r="DD62" i="1"/>
  <c r="DF61" i="1"/>
  <c r="DF85" i="1" s="1"/>
  <c r="DE61" i="1"/>
  <c r="DD61" i="1"/>
  <c r="DD53" i="1"/>
  <c r="DD54" i="1" s="1"/>
  <c r="DE53" i="1"/>
  <c r="DE54" i="1" s="1"/>
  <c r="DF53" i="1"/>
  <c r="DD39" i="1"/>
  <c r="DD33" i="1"/>
  <c r="DD34" i="1" s="1"/>
  <c r="DE33" i="1"/>
  <c r="DE35" i="1" s="1"/>
  <c r="DF33" i="1"/>
  <c r="DF34" i="1" s="1"/>
  <c r="DE18" i="1"/>
  <c r="DE19" i="1" s="1"/>
  <c r="DD10" i="1"/>
  <c r="DD11" i="1" s="1"/>
  <c r="DE10" i="1"/>
  <c r="DE12" i="1" s="1"/>
  <c r="DD5" i="8" s="1"/>
  <c r="DF10" i="1"/>
  <c r="DF12" i="1" s="1"/>
  <c r="DE5" i="8" s="1"/>
  <c r="DD80" i="6"/>
  <c r="DD82" i="6" s="1"/>
  <c r="DE80" i="6"/>
  <c r="DF80" i="6"/>
  <c r="DF81" i="6" s="1"/>
  <c r="DF72" i="6"/>
  <c r="DE72" i="6"/>
  <c r="DD72" i="6"/>
  <c r="DC72" i="6"/>
  <c r="CX72" i="6"/>
  <c r="CU72" i="6"/>
  <c r="DF71" i="6"/>
  <c r="DE71" i="6"/>
  <c r="DD71" i="6"/>
  <c r="DF62" i="6"/>
  <c r="DF86" i="6" s="1"/>
  <c r="DE62" i="6"/>
  <c r="DD62" i="6"/>
  <c r="DC62" i="6"/>
  <c r="DB62" i="6"/>
  <c r="DA62" i="6"/>
  <c r="CZ62" i="6"/>
  <c r="CY62" i="6"/>
  <c r="CX62" i="6"/>
  <c r="CW62" i="6"/>
  <c r="CV62" i="6"/>
  <c r="CU62" i="6"/>
  <c r="DF61" i="6"/>
  <c r="DF63" i="6" s="1"/>
  <c r="DF64" i="6" s="1"/>
  <c r="DE61" i="6"/>
  <c r="DE63" i="6" s="1"/>
  <c r="DE64" i="6" s="1"/>
  <c r="DD61" i="6"/>
  <c r="DC61" i="6"/>
  <c r="DB61" i="6"/>
  <c r="DA61" i="6"/>
  <c r="CZ61" i="6"/>
  <c r="CY61" i="6"/>
  <c r="CY63" i="6" s="1"/>
  <c r="CY64" i="6" s="1"/>
  <c r="CX61" i="6"/>
  <c r="CW61" i="6"/>
  <c r="CV61" i="6"/>
  <c r="CU61" i="6"/>
  <c r="DD53" i="6"/>
  <c r="DE53" i="6"/>
  <c r="DE54" i="6" s="1"/>
  <c r="DF53" i="6"/>
  <c r="DE55" i="6"/>
  <c r="DD8" i="15" s="1"/>
  <c r="DD33" i="6"/>
  <c r="DE33" i="6"/>
  <c r="DF33" i="6"/>
  <c r="DF35" i="6" s="1"/>
  <c r="DD26" i="6"/>
  <c r="DD27" i="6" s="1"/>
  <c r="DE26" i="6"/>
  <c r="DE27" i="6" s="1"/>
  <c r="DF26" i="6"/>
  <c r="DF27" i="6" s="1"/>
  <c r="DF17" i="6"/>
  <c r="DF39" i="6" s="1"/>
  <c r="DE17" i="6"/>
  <c r="DD17" i="6"/>
  <c r="DD39" i="6" s="1"/>
  <c r="DC17" i="6"/>
  <c r="DC39" i="6" s="1"/>
  <c r="DB17" i="6"/>
  <c r="DA17" i="6"/>
  <c r="CZ17" i="6"/>
  <c r="CZ39" i="6" s="1"/>
  <c r="CY17" i="6"/>
  <c r="CX17" i="6"/>
  <c r="CW17" i="6"/>
  <c r="CW39" i="6" s="1"/>
  <c r="CV17" i="6"/>
  <c r="CV39" i="6" s="1"/>
  <c r="CU17" i="6"/>
  <c r="DF16" i="6"/>
  <c r="DF18" i="6" s="1"/>
  <c r="DE16" i="6"/>
  <c r="DE38" i="6" s="1"/>
  <c r="DD16" i="6"/>
  <c r="DD38" i="6" s="1"/>
  <c r="DC16" i="6"/>
  <c r="DC38" i="6" s="1"/>
  <c r="DB16" i="6"/>
  <c r="DB38" i="6" s="1"/>
  <c r="DA16" i="6"/>
  <c r="CZ16" i="6"/>
  <c r="CY16" i="6"/>
  <c r="CY18" i="6" s="1"/>
  <c r="CX16" i="6"/>
  <c r="CX18" i="6" s="1"/>
  <c r="CW16" i="6"/>
  <c r="CV16" i="6"/>
  <c r="CV38" i="6" s="1"/>
  <c r="CU16" i="6"/>
  <c r="CU38" i="6" s="1"/>
  <c r="DF10" i="6"/>
  <c r="DF12" i="6" s="1"/>
  <c r="DE8" i="8" s="1"/>
  <c r="DE10" i="6"/>
  <c r="DE12" i="6" s="1"/>
  <c r="DD8" i="8" s="1"/>
  <c r="DD10" i="6"/>
  <c r="DD12" i="6" s="1"/>
  <c r="DC8" i="8" s="1"/>
  <c r="DD80" i="4"/>
  <c r="DE80" i="4"/>
  <c r="DE81" i="4" s="1"/>
  <c r="DF80" i="4"/>
  <c r="DF72" i="4"/>
  <c r="DE72" i="4"/>
  <c r="DE73" i="4" s="1"/>
  <c r="DD72" i="4"/>
  <c r="DD73" i="4" s="1"/>
  <c r="DD74" i="4" s="1"/>
  <c r="CX72" i="4"/>
  <c r="CX73" i="4" s="1"/>
  <c r="CX74" i="4" s="1"/>
  <c r="CW72" i="4"/>
  <c r="CW73" i="4" s="1"/>
  <c r="CW74" i="4" s="1"/>
  <c r="CU72" i="4"/>
  <c r="DF62" i="4"/>
  <c r="DE62" i="4"/>
  <c r="DE86" i="4" s="1"/>
  <c r="DD62" i="4"/>
  <c r="DC62" i="4"/>
  <c r="DB62" i="4"/>
  <c r="DA62" i="4"/>
  <c r="CZ62" i="4"/>
  <c r="CY62" i="4"/>
  <c r="CX62" i="4"/>
  <c r="CW62" i="4"/>
  <c r="CV62" i="4"/>
  <c r="CU62" i="4"/>
  <c r="DF61" i="4"/>
  <c r="DF85" i="4" s="1"/>
  <c r="DE61" i="4"/>
  <c r="DE85" i="4" s="1"/>
  <c r="DD61" i="4"/>
  <c r="DD63" i="4" s="1"/>
  <c r="DD64" i="4" s="1"/>
  <c r="DC61" i="4"/>
  <c r="DB61" i="4"/>
  <c r="DB63" i="4" s="1"/>
  <c r="DB64" i="4" s="1"/>
  <c r="DA61" i="4"/>
  <c r="CZ61" i="4"/>
  <c r="CZ63" i="4" s="1"/>
  <c r="CY61" i="4"/>
  <c r="CX61" i="4"/>
  <c r="CW61" i="4"/>
  <c r="CV61" i="4"/>
  <c r="CV85" i="4" s="1"/>
  <c r="CU61" i="4"/>
  <c r="CU85" i="4" s="1"/>
  <c r="DD53" i="4"/>
  <c r="DD54" i="4" s="1"/>
  <c r="DE53" i="4"/>
  <c r="DF53" i="4"/>
  <c r="DC51" i="4"/>
  <c r="DB51" i="4"/>
  <c r="DB51" i="7" s="1"/>
  <c r="DA51" i="4"/>
  <c r="DD33" i="4"/>
  <c r="DD34" i="4" s="1"/>
  <c r="DE33" i="4"/>
  <c r="DF33" i="4"/>
  <c r="DF25" i="4"/>
  <c r="DF26" i="4" s="1"/>
  <c r="DF27" i="4" s="1"/>
  <c r="DE25" i="4"/>
  <c r="DD25" i="4"/>
  <c r="DD26" i="4" s="1"/>
  <c r="DD27" i="4" s="1"/>
  <c r="CX25" i="4"/>
  <c r="CW25" i="4"/>
  <c r="CU25" i="4"/>
  <c r="CU39" i="4" s="1"/>
  <c r="DF17" i="4"/>
  <c r="DF39" i="4" s="1"/>
  <c r="DE17" i="4"/>
  <c r="DD17" i="4"/>
  <c r="DC17" i="4"/>
  <c r="DB17" i="4"/>
  <c r="DA17" i="4"/>
  <c r="CZ17" i="4"/>
  <c r="CY17" i="4"/>
  <c r="CX17" i="4"/>
  <c r="CW17" i="4"/>
  <c r="CV17" i="4"/>
  <c r="CU17" i="4"/>
  <c r="DF16" i="4"/>
  <c r="DF38" i="4" s="1"/>
  <c r="DE16" i="4"/>
  <c r="DE18" i="4" s="1"/>
  <c r="DE19" i="4" s="1"/>
  <c r="DD16" i="4"/>
  <c r="DD18" i="4" s="1"/>
  <c r="DD67" i="4" s="1"/>
  <c r="DC16" i="4"/>
  <c r="DC38" i="4" s="1"/>
  <c r="DB16" i="4"/>
  <c r="DB38" i="4" s="1"/>
  <c r="DA16" i="4"/>
  <c r="CZ16" i="4"/>
  <c r="CZ38" i="4" s="1"/>
  <c r="CY16" i="4"/>
  <c r="CX16" i="4"/>
  <c r="CX18" i="4" s="1"/>
  <c r="CW16" i="4"/>
  <c r="CV16" i="4"/>
  <c r="CU16" i="4"/>
  <c r="CU18" i="4" s="1"/>
  <c r="DD10" i="4"/>
  <c r="DD11" i="4" s="1"/>
  <c r="DE10" i="4"/>
  <c r="DE11" i="4" s="1"/>
  <c r="DF10" i="4"/>
  <c r="DF11" i="4" s="1"/>
  <c r="DE12" i="4"/>
  <c r="DD7" i="8" s="1"/>
  <c r="DE62" i="2"/>
  <c r="DD80" i="2"/>
  <c r="DD81" i="2" s="1"/>
  <c r="DE80" i="2"/>
  <c r="DE81" i="2" s="1"/>
  <c r="DF80" i="2"/>
  <c r="DF81" i="2" s="1"/>
  <c r="DF72" i="2"/>
  <c r="DE72" i="2"/>
  <c r="DD72" i="2"/>
  <c r="DF71" i="2"/>
  <c r="DF73" i="2" s="1"/>
  <c r="DF74" i="2" s="1"/>
  <c r="DE71" i="2"/>
  <c r="DE73" i="2" s="1"/>
  <c r="DE74" i="2" s="1"/>
  <c r="DD71" i="2"/>
  <c r="DD63" i="2"/>
  <c r="DF62" i="2"/>
  <c r="DD62" i="2"/>
  <c r="DF61" i="2"/>
  <c r="DE61" i="2"/>
  <c r="DD61" i="2"/>
  <c r="DD85" i="2" s="1"/>
  <c r="DD53" i="2"/>
  <c r="DD54" i="2" s="1"/>
  <c r="DE53" i="2"/>
  <c r="DF53" i="2"/>
  <c r="DF54" i="2" s="1"/>
  <c r="DD33" i="2"/>
  <c r="DD34" i="2" s="1"/>
  <c r="DE33" i="2"/>
  <c r="DE34" i="2" s="1"/>
  <c r="DF33" i="2"/>
  <c r="DF34" i="2" s="1"/>
  <c r="DF24" i="2"/>
  <c r="DE24" i="2"/>
  <c r="DE26" i="2" s="1"/>
  <c r="DD24" i="2"/>
  <c r="DF25" i="2"/>
  <c r="DE25" i="2"/>
  <c r="DD25" i="2"/>
  <c r="DF17" i="2"/>
  <c r="DE17" i="2"/>
  <c r="DD17" i="2"/>
  <c r="DD39" i="2" s="1"/>
  <c r="DF16" i="2"/>
  <c r="DF38" i="2" s="1"/>
  <c r="DE16" i="2"/>
  <c r="DE18" i="2" s="1"/>
  <c r="DE19" i="2" s="1"/>
  <c r="DD16" i="2"/>
  <c r="DD10" i="2"/>
  <c r="DD11" i="2" s="1"/>
  <c r="DE10" i="2"/>
  <c r="DF10" i="2"/>
  <c r="DF11" i="2" s="1"/>
  <c r="DE11" i="2"/>
  <c r="DD12" i="2"/>
  <c r="DC6" i="8" s="1"/>
  <c r="DE12" i="2"/>
  <c r="DD6" i="8" s="1"/>
  <c r="DF12" i="2"/>
  <c r="DE6" i="8" s="1"/>
  <c r="DD80" i="5"/>
  <c r="DD81" i="5" s="1"/>
  <c r="DE80" i="5"/>
  <c r="DE82" i="5" s="1"/>
  <c r="DF80" i="5"/>
  <c r="DF81" i="5" s="1"/>
  <c r="DF72" i="5"/>
  <c r="DE72" i="5"/>
  <c r="DD72" i="5"/>
  <c r="DF71" i="5"/>
  <c r="DE71" i="5"/>
  <c r="DD71" i="5"/>
  <c r="DF62" i="5"/>
  <c r="DE62" i="5"/>
  <c r="DD62" i="5"/>
  <c r="DD86" i="5" s="1"/>
  <c r="DF61" i="5"/>
  <c r="DE61" i="5"/>
  <c r="DD61" i="5"/>
  <c r="DE57" i="5"/>
  <c r="DD53" i="5"/>
  <c r="DD54" i="5" s="1"/>
  <c r="DE53" i="5"/>
  <c r="DE54" i="5" s="1"/>
  <c r="DF53" i="5"/>
  <c r="DD55" i="5"/>
  <c r="DC9" i="15" s="1"/>
  <c r="DE55" i="5"/>
  <c r="DD9" i="15" s="1"/>
  <c r="DF55" i="5"/>
  <c r="DE9" i="15" s="1"/>
  <c r="DD33" i="5"/>
  <c r="DD34" i="5" s="1"/>
  <c r="DE33" i="5"/>
  <c r="DE34" i="5" s="1"/>
  <c r="DF33" i="5"/>
  <c r="DD26" i="5"/>
  <c r="DD27" i="5" s="1"/>
  <c r="DE26" i="5"/>
  <c r="DF26" i="5"/>
  <c r="DF27" i="5" s="1"/>
  <c r="DF17" i="5"/>
  <c r="DF39" i="5" s="1"/>
  <c r="DE17" i="5"/>
  <c r="DE39" i="5" s="1"/>
  <c r="DD17" i="5"/>
  <c r="DD39" i="5" s="1"/>
  <c r="DF16" i="5"/>
  <c r="DF18" i="5" s="1"/>
  <c r="DF19" i="5" s="1"/>
  <c r="DE16" i="5"/>
  <c r="DE38" i="5" s="1"/>
  <c r="DD16" i="5"/>
  <c r="DD10" i="5"/>
  <c r="DE10" i="5"/>
  <c r="DE11" i="5" s="1"/>
  <c r="DF10" i="5"/>
  <c r="DF11" i="5" s="1"/>
  <c r="DD11" i="5"/>
  <c r="DD12" i="5"/>
  <c r="DC9" i="8" s="1"/>
  <c r="DE12" i="5"/>
  <c r="DD9" i="8" s="1"/>
  <c r="DA78" i="7"/>
  <c r="DB78" i="7"/>
  <c r="DC78" i="7"/>
  <c r="DA79" i="7"/>
  <c r="DB79" i="7"/>
  <c r="DC79" i="7"/>
  <c r="DA51" i="7"/>
  <c r="DC51" i="7"/>
  <c r="DA52" i="7"/>
  <c r="DB52" i="7"/>
  <c r="DC52" i="7"/>
  <c r="DA31" i="7"/>
  <c r="DB31" i="7"/>
  <c r="DC31" i="7"/>
  <c r="DA32" i="7"/>
  <c r="DB32" i="7"/>
  <c r="DC32" i="7"/>
  <c r="DA8" i="7"/>
  <c r="DB8" i="7"/>
  <c r="DC8" i="7"/>
  <c r="DA9" i="7"/>
  <c r="DB9" i="7"/>
  <c r="DC9" i="7"/>
  <c r="DA80" i="5"/>
  <c r="DA81" i="5" s="1"/>
  <c r="DB80" i="5"/>
  <c r="DB81" i="5" s="1"/>
  <c r="DC80" i="5"/>
  <c r="DC81" i="5" s="1"/>
  <c r="DC72" i="5"/>
  <c r="DB72" i="5"/>
  <c r="DA72" i="5"/>
  <c r="DC71" i="5"/>
  <c r="DB71" i="5"/>
  <c r="DA71" i="5"/>
  <c r="DA62" i="5"/>
  <c r="DB62" i="5"/>
  <c r="DB86" i="5" s="1"/>
  <c r="DC62" i="5"/>
  <c r="DC86" i="5" s="1"/>
  <c r="DC61" i="5"/>
  <c r="DC85" i="5" s="1"/>
  <c r="DB61" i="5"/>
  <c r="DA61" i="5"/>
  <c r="DA53" i="5"/>
  <c r="DA54" i="5" s="1"/>
  <c r="DB53" i="5"/>
  <c r="DB54" i="5" s="1"/>
  <c r="DC53" i="5"/>
  <c r="DA55" i="5"/>
  <c r="CZ9" i="15" s="1"/>
  <c r="DB55" i="5"/>
  <c r="DA9" i="15" s="1"/>
  <c r="DB38" i="5"/>
  <c r="DA33" i="5"/>
  <c r="DA34" i="5" s="1"/>
  <c r="DB33" i="5"/>
  <c r="DB34" i="5" s="1"/>
  <c r="DC33" i="5"/>
  <c r="DC34" i="5" s="1"/>
  <c r="DA26" i="5"/>
  <c r="DA27" i="5" s="1"/>
  <c r="DB26" i="5"/>
  <c r="DB27" i="5" s="1"/>
  <c r="DC26" i="5"/>
  <c r="DC27" i="5" s="1"/>
  <c r="DC17" i="5"/>
  <c r="DC39" i="5" s="1"/>
  <c r="DB17" i="5"/>
  <c r="DB39" i="5" s="1"/>
  <c r="DA17" i="5"/>
  <c r="DA39" i="5" s="1"/>
  <c r="DC16" i="5"/>
  <c r="DB16" i="5"/>
  <c r="DA16" i="5"/>
  <c r="DA10" i="5"/>
  <c r="DB10" i="5"/>
  <c r="DC10" i="5"/>
  <c r="DC11" i="5" s="1"/>
  <c r="DC86" i="6"/>
  <c r="DA80" i="6"/>
  <c r="DB80" i="6"/>
  <c r="DB81" i="6" s="1"/>
  <c r="DC80" i="6"/>
  <c r="DC82" i="6" s="1"/>
  <c r="DB72" i="6"/>
  <c r="DA72" i="6"/>
  <c r="DA86" i="6" s="1"/>
  <c r="DC71" i="6"/>
  <c r="DC73" i="6" s="1"/>
  <c r="DB71" i="6"/>
  <c r="DA71" i="6"/>
  <c r="DA85" i="6" s="1"/>
  <c r="DA63" i="6"/>
  <c r="DA64" i="6" s="1"/>
  <c r="DA53" i="6"/>
  <c r="DB53" i="6"/>
  <c r="DB54" i="6" s="1"/>
  <c r="DC53" i="6"/>
  <c r="DC54" i="6" s="1"/>
  <c r="DB55" i="6"/>
  <c r="DA8" i="15" s="1"/>
  <c r="DB39" i="6"/>
  <c r="DA33" i="6"/>
  <c r="DA34" i="6" s="1"/>
  <c r="DB33" i="6"/>
  <c r="DB34" i="6" s="1"/>
  <c r="DC33" i="6"/>
  <c r="DC34" i="6" s="1"/>
  <c r="DA26" i="6"/>
  <c r="DA27" i="6" s="1"/>
  <c r="DB26" i="6"/>
  <c r="DB27" i="6" s="1"/>
  <c r="DC26" i="6"/>
  <c r="DC27" i="6" s="1"/>
  <c r="DC18" i="6"/>
  <c r="DA10" i="6"/>
  <c r="DA11" i="6" s="1"/>
  <c r="DB10" i="6"/>
  <c r="DB57" i="6" s="1"/>
  <c r="DC10" i="6"/>
  <c r="DC11" i="6" s="1"/>
  <c r="DA80" i="4"/>
  <c r="DA81" i="4" s="1"/>
  <c r="DB80" i="4"/>
  <c r="DB81" i="4" s="1"/>
  <c r="DC80" i="4"/>
  <c r="DC72" i="4"/>
  <c r="DC73" i="4" s="1"/>
  <c r="DC74" i="4" s="1"/>
  <c r="DB72" i="4"/>
  <c r="DA72" i="4"/>
  <c r="DA53" i="4"/>
  <c r="DA54" i="4" s="1"/>
  <c r="DC53" i="4"/>
  <c r="DC54" i="4" s="1"/>
  <c r="DA38" i="4"/>
  <c r="DA33" i="4"/>
  <c r="DA34" i="4" s="1"/>
  <c r="DB33" i="4"/>
  <c r="DB34" i="4" s="1"/>
  <c r="DC33" i="4"/>
  <c r="DC34" i="4" s="1"/>
  <c r="DC25" i="4"/>
  <c r="DB25" i="4"/>
  <c r="DB26" i="4" s="1"/>
  <c r="DA25" i="4"/>
  <c r="DA39" i="4" s="1"/>
  <c r="DA18" i="4"/>
  <c r="DA10" i="4"/>
  <c r="DA57" i="4" s="1"/>
  <c r="DB10" i="4"/>
  <c r="DC10" i="4"/>
  <c r="DC11" i="4" s="1"/>
  <c r="DA80" i="2"/>
  <c r="DB80" i="2"/>
  <c r="DB81" i="2" s="1"/>
  <c r="DC80" i="2"/>
  <c r="DC72" i="2"/>
  <c r="DB72" i="2"/>
  <c r="DA72" i="2"/>
  <c r="DC71" i="2"/>
  <c r="DC71" i="7" s="1"/>
  <c r="DB71" i="2"/>
  <c r="DA71" i="2"/>
  <c r="DC62" i="2"/>
  <c r="DB62" i="2"/>
  <c r="DB86" i="2" s="1"/>
  <c r="DA62" i="2"/>
  <c r="DC61" i="2"/>
  <c r="DB61" i="2"/>
  <c r="DA61" i="2"/>
  <c r="DA53" i="2"/>
  <c r="DB53" i="2"/>
  <c r="DB57" i="2" s="1"/>
  <c r="DC53" i="2"/>
  <c r="DC54" i="2" s="1"/>
  <c r="DB54" i="2"/>
  <c r="DA55" i="2"/>
  <c r="CZ6" i="15" s="1"/>
  <c r="DB55" i="2"/>
  <c r="DA6" i="15" s="1"/>
  <c r="DC55" i="2"/>
  <c r="DB6" i="15" s="1"/>
  <c r="DA33" i="2"/>
  <c r="DA34" i="2" s="1"/>
  <c r="DB33" i="2"/>
  <c r="DC33" i="2"/>
  <c r="DC25" i="2"/>
  <c r="DB25" i="2"/>
  <c r="DA25" i="2"/>
  <c r="DC24" i="2"/>
  <c r="DB24" i="2"/>
  <c r="DB26" i="2" s="1"/>
  <c r="DB27" i="2" s="1"/>
  <c r="DA24" i="2"/>
  <c r="DC17" i="2"/>
  <c r="DB17" i="2"/>
  <c r="DA17" i="2"/>
  <c r="DC16" i="2"/>
  <c r="DA16" i="2"/>
  <c r="DB16" i="2"/>
  <c r="DB18" i="2" s="1"/>
  <c r="DB12" i="2"/>
  <c r="DA6" i="8" s="1"/>
  <c r="DA10" i="2"/>
  <c r="DB10" i="2"/>
  <c r="DB11" i="2" s="1"/>
  <c r="DC10" i="2"/>
  <c r="DC12" i="2" s="1"/>
  <c r="DB6" i="8" s="1"/>
  <c r="DA80" i="1"/>
  <c r="DB80" i="1"/>
  <c r="DB81" i="1" s="1"/>
  <c r="DC80" i="1"/>
  <c r="DC81" i="1" s="1"/>
  <c r="DA53" i="1"/>
  <c r="DA54" i="1" s="1"/>
  <c r="DB53" i="1"/>
  <c r="DC53" i="1"/>
  <c r="DC54" i="1" s="1"/>
  <c r="DC38" i="1"/>
  <c r="DA33" i="1"/>
  <c r="DA34" i="1" s="1"/>
  <c r="DB33" i="1"/>
  <c r="DB34" i="1" s="1"/>
  <c r="DC33" i="1"/>
  <c r="DC34" i="1" s="1"/>
  <c r="DC26" i="1"/>
  <c r="DC27" i="1" s="1"/>
  <c r="DA10" i="1"/>
  <c r="DA11" i="1" s="1"/>
  <c r="DB10" i="1"/>
  <c r="DB12" i="1" s="1"/>
  <c r="DA5" i="8" s="1"/>
  <c r="DC10" i="1"/>
  <c r="DC11" i="1" s="1"/>
  <c r="CX78" i="7"/>
  <c r="CY78" i="7"/>
  <c r="CZ78" i="7"/>
  <c r="CX79" i="7"/>
  <c r="CY79" i="7"/>
  <c r="CZ79" i="7"/>
  <c r="CX51" i="7"/>
  <c r="CY51" i="7"/>
  <c r="CZ51" i="7"/>
  <c r="CX52" i="7"/>
  <c r="CY52" i="7"/>
  <c r="CZ52" i="7"/>
  <c r="CX31" i="7"/>
  <c r="CY31" i="7"/>
  <c r="CZ31" i="7"/>
  <c r="CX32" i="7"/>
  <c r="CY32" i="7"/>
  <c r="CZ32" i="7"/>
  <c r="CX8" i="7"/>
  <c r="CY8" i="7"/>
  <c r="CZ8" i="7"/>
  <c r="CX9" i="7"/>
  <c r="CY9" i="7"/>
  <c r="CZ9" i="7"/>
  <c r="CX80" i="5"/>
  <c r="CX81" i="5" s="1"/>
  <c r="CY80" i="5"/>
  <c r="CY82" i="5" s="1"/>
  <c r="CZ80" i="5"/>
  <c r="CZ81" i="5" s="1"/>
  <c r="CZ72" i="5"/>
  <c r="CY72" i="5"/>
  <c r="CX72" i="5"/>
  <c r="CZ71" i="5"/>
  <c r="CY71" i="5"/>
  <c r="CY73" i="5" s="1"/>
  <c r="CY74" i="5" s="1"/>
  <c r="CX71" i="5"/>
  <c r="CZ62" i="5"/>
  <c r="CY62" i="5"/>
  <c r="CY86" i="5" s="1"/>
  <c r="CX62" i="5"/>
  <c r="CZ61" i="5"/>
  <c r="CZ85" i="5" s="1"/>
  <c r="CY61" i="5"/>
  <c r="CX61" i="5"/>
  <c r="CX63" i="5" s="1"/>
  <c r="CX57" i="5"/>
  <c r="CX53" i="5"/>
  <c r="CX54" i="5" s="1"/>
  <c r="CY53" i="5"/>
  <c r="CY55" i="5" s="1"/>
  <c r="CX9" i="15" s="1"/>
  <c r="CZ53" i="5"/>
  <c r="CZ54" i="5" s="1"/>
  <c r="CZ55" i="5"/>
  <c r="CY9" i="15" s="1"/>
  <c r="CX39" i="5"/>
  <c r="CX33" i="5"/>
  <c r="CY33" i="5"/>
  <c r="CZ33" i="5"/>
  <c r="CZ34" i="5" s="1"/>
  <c r="CX26" i="5"/>
  <c r="CX27" i="5" s="1"/>
  <c r="CY26" i="5"/>
  <c r="CY27" i="5" s="1"/>
  <c r="CZ26" i="5"/>
  <c r="CZ27" i="5" s="1"/>
  <c r="CZ17" i="5"/>
  <c r="CZ39" i="5" s="1"/>
  <c r="CY17" i="5"/>
  <c r="CY18" i="5" s="1"/>
  <c r="CY19" i="5" s="1"/>
  <c r="CX17" i="5"/>
  <c r="CZ16" i="5"/>
  <c r="CZ18" i="5" s="1"/>
  <c r="CZ19" i="5" s="1"/>
  <c r="CY16" i="5"/>
  <c r="CY38" i="5" s="1"/>
  <c r="CX16" i="5"/>
  <c r="CX18" i="5" s="1"/>
  <c r="CX19" i="5" s="1"/>
  <c r="CX10" i="5"/>
  <c r="CX11" i="5" s="1"/>
  <c r="CY10" i="5"/>
  <c r="CY11" i="5" s="1"/>
  <c r="CZ10" i="5"/>
  <c r="CZ11" i="5" s="1"/>
  <c r="CX12" i="5"/>
  <c r="CW9" i="8" s="1"/>
  <c r="CY12" i="5"/>
  <c r="CX9" i="8" s="1"/>
  <c r="CX80" i="6"/>
  <c r="CX81" i="6" s="1"/>
  <c r="CY80" i="6"/>
  <c r="CY81" i="6" s="1"/>
  <c r="CZ80" i="6"/>
  <c r="CZ81" i="6" s="1"/>
  <c r="CZ72" i="6"/>
  <c r="CY72" i="6"/>
  <c r="CY86" i="6" s="1"/>
  <c r="CZ71" i="6"/>
  <c r="CY71" i="6"/>
  <c r="CX71" i="6"/>
  <c r="CX73" i="6" s="1"/>
  <c r="CX74" i="6" s="1"/>
  <c r="CX63" i="6"/>
  <c r="CX64" i="6" s="1"/>
  <c r="CX53" i="6"/>
  <c r="CX54" i="6" s="1"/>
  <c r="CY53" i="6"/>
  <c r="CY54" i="6" s="1"/>
  <c r="CZ53" i="6"/>
  <c r="CZ54" i="6" s="1"/>
  <c r="CX55" i="6"/>
  <c r="CW8" i="15" s="1"/>
  <c r="CY38" i="6"/>
  <c r="CX39" i="6"/>
  <c r="CY39" i="6"/>
  <c r="CX33" i="6"/>
  <c r="CX34" i="6" s="1"/>
  <c r="CY33" i="6"/>
  <c r="CY34" i="6" s="1"/>
  <c r="CZ33" i="6"/>
  <c r="CZ34" i="6" s="1"/>
  <c r="CX26" i="6"/>
  <c r="CX27" i="6" s="1"/>
  <c r="CY26" i="6"/>
  <c r="CY27" i="6" s="1"/>
  <c r="CZ26" i="6"/>
  <c r="CZ27" i="6" s="1"/>
  <c r="CX10" i="6"/>
  <c r="CY10" i="6"/>
  <c r="CY11" i="6" s="1"/>
  <c r="CZ10" i="6"/>
  <c r="CZ11" i="6" s="1"/>
  <c r="CX85" i="4"/>
  <c r="CY85" i="4"/>
  <c r="CZ85" i="4"/>
  <c r="CX80" i="4"/>
  <c r="CX81" i="4" s="1"/>
  <c r="CY80" i="4"/>
  <c r="CY81" i="4" s="1"/>
  <c r="CZ80" i="4"/>
  <c r="CZ81" i="4" s="1"/>
  <c r="CZ72" i="4"/>
  <c r="CZ73" i="4" s="1"/>
  <c r="CZ74" i="4" s="1"/>
  <c r="CY72" i="4"/>
  <c r="CY86" i="4" s="1"/>
  <c r="CY63" i="4"/>
  <c r="CY64" i="4" s="1"/>
  <c r="CX53" i="4"/>
  <c r="CX54" i="4" s="1"/>
  <c r="CY53" i="4"/>
  <c r="CY54" i="4" s="1"/>
  <c r="CZ53" i="4"/>
  <c r="CZ54" i="4" s="1"/>
  <c r="CY55" i="4"/>
  <c r="CX7" i="15" s="1"/>
  <c r="CZ55" i="4"/>
  <c r="CY7" i="15" s="1"/>
  <c r="CX38" i="4"/>
  <c r="CY38" i="4"/>
  <c r="CX33" i="4"/>
  <c r="CX34" i="4" s="1"/>
  <c r="CY33" i="4"/>
  <c r="CY35" i="4" s="1"/>
  <c r="CZ33" i="4"/>
  <c r="CX26" i="4"/>
  <c r="CZ25" i="4"/>
  <c r="CZ39" i="4" s="1"/>
  <c r="CY25" i="4"/>
  <c r="CY26" i="4" s="1"/>
  <c r="CY18" i="4"/>
  <c r="CY19" i="4" s="1"/>
  <c r="CX10" i="4"/>
  <c r="CX11" i="4" s="1"/>
  <c r="CY10" i="4"/>
  <c r="CZ10" i="4"/>
  <c r="CZ11" i="4" s="1"/>
  <c r="CY12" i="4"/>
  <c r="CX7" i="8" s="1"/>
  <c r="CX86" i="1"/>
  <c r="CX80" i="1"/>
  <c r="CX81" i="1" s="1"/>
  <c r="CY80" i="1"/>
  <c r="CY81" i="1" s="1"/>
  <c r="CZ80" i="1"/>
  <c r="CZ81" i="1" s="1"/>
  <c r="CZ63" i="1"/>
  <c r="CZ64" i="1" s="1"/>
  <c r="CX53" i="1"/>
  <c r="CX54" i="1" s="1"/>
  <c r="CY53" i="1"/>
  <c r="CZ53" i="1"/>
  <c r="CZ54" i="1" s="1"/>
  <c r="CY54" i="1"/>
  <c r="CX55" i="1"/>
  <c r="CW5" i="15" s="1"/>
  <c r="CY55" i="1"/>
  <c r="CX5" i="15" s="1"/>
  <c r="CZ55" i="1"/>
  <c r="CY5" i="15" s="1"/>
  <c r="CY38" i="1"/>
  <c r="CZ39" i="1"/>
  <c r="CX33" i="1"/>
  <c r="CX34" i="1" s="1"/>
  <c r="CY33" i="1"/>
  <c r="CZ33" i="1"/>
  <c r="CZ34" i="1" s="1"/>
  <c r="CW33" i="1"/>
  <c r="CW34" i="1" s="1"/>
  <c r="CY26" i="1"/>
  <c r="CY28" i="1" s="1"/>
  <c r="CX10" i="1"/>
  <c r="CX11" i="1" s="1"/>
  <c r="CY10" i="1"/>
  <c r="CY12" i="1" s="1"/>
  <c r="CX5" i="8" s="1"/>
  <c r="CZ10" i="1"/>
  <c r="CZ11" i="1" s="1"/>
  <c r="CX80" i="2"/>
  <c r="CX81" i="2" s="1"/>
  <c r="CY80" i="2"/>
  <c r="CY81" i="2" s="1"/>
  <c r="CZ80" i="2"/>
  <c r="CZ72" i="2"/>
  <c r="CY72" i="2"/>
  <c r="CX72" i="2"/>
  <c r="CZ71" i="2"/>
  <c r="CZ73" i="2" s="1"/>
  <c r="CZ74" i="2" s="1"/>
  <c r="CY71" i="2"/>
  <c r="CX71" i="2"/>
  <c r="CZ62" i="2"/>
  <c r="CZ86" i="2" s="1"/>
  <c r="CY62" i="2"/>
  <c r="CX62" i="2"/>
  <c r="CZ61" i="2"/>
  <c r="CY61" i="2"/>
  <c r="CX61" i="2"/>
  <c r="CX53" i="2"/>
  <c r="CY53" i="2"/>
  <c r="CY55" i="2" s="1"/>
  <c r="CX6" i="15" s="1"/>
  <c r="CZ53" i="2"/>
  <c r="CZ54" i="2" s="1"/>
  <c r="CX33" i="2"/>
  <c r="CX34" i="2" s="1"/>
  <c r="CY33" i="2"/>
  <c r="CY35" i="2" s="1"/>
  <c r="CZ33" i="2"/>
  <c r="CZ34" i="2" s="1"/>
  <c r="CZ25" i="2"/>
  <c r="CY25" i="2"/>
  <c r="CX25" i="2"/>
  <c r="CZ24" i="2"/>
  <c r="CY24" i="2"/>
  <c r="CY26" i="2" s="1"/>
  <c r="CX24" i="2"/>
  <c r="CX26" i="2" s="1"/>
  <c r="CX27" i="2" s="1"/>
  <c r="CZ17" i="2"/>
  <c r="CY17" i="2"/>
  <c r="CX17" i="2"/>
  <c r="CX39" i="2" s="1"/>
  <c r="CZ16" i="2"/>
  <c r="CY16" i="2"/>
  <c r="CX16" i="2"/>
  <c r="CX10" i="2"/>
  <c r="CX12" i="2" s="1"/>
  <c r="CW6" i="8" s="1"/>
  <c r="CY10" i="2"/>
  <c r="CY11" i="2" s="1"/>
  <c r="CZ10" i="2"/>
  <c r="CZ11" i="2" s="1"/>
  <c r="CY12" i="2"/>
  <c r="CX6" i="8" s="1"/>
  <c r="CZ12" i="2"/>
  <c r="CY6" i="8" s="1"/>
  <c r="CU78" i="7"/>
  <c r="CV78" i="7"/>
  <c r="CW78" i="7"/>
  <c r="CV79" i="7"/>
  <c r="CW79" i="7"/>
  <c r="CU51" i="7"/>
  <c r="CV51" i="7"/>
  <c r="CW51" i="7"/>
  <c r="CU52" i="7"/>
  <c r="CV52" i="7"/>
  <c r="CW52" i="7"/>
  <c r="CU31" i="7"/>
  <c r="CV31" i="7"/>
  <c r="CW31" i="7"/>
  <c r="CU32" i="7"/>
  <c r="CV32" i="7"/>
  <c r="CW32" i="7"/>
  <c r="CU8" i="7"/>
  <c r="CV8" i="7"/>
  <c r="CW8" i="7"/>
  <c r="CU9" i="7"/>
  <c r="CV9" i="7"/>
  <c r="CW9" i="7"/>
  <c r="CV80" i="1"/>
  <c r="CV81" i="1" s="1"/>
  <c r="CW80" i="1"/>
  <c r="CW81" i="1" s="1"/>
  <c r="CV63" i="1"/>
  <c r="CV64" i="1" s="1"/>
  <c r="CU53" i="1"/>
  <c r="CV53" i="1"/>
  <c r="CV54" i="1" s="1"/>
  <c r="CW53" i="1"/>
  <c r="CW54" i="1" s="1"/>
  <c r="CV55" i="1"/>
  <c r="CU5" i="15" s="1"/>
  <c r="CW38" i="1"/>
  <c r="CV39" i="1"/>
  <c r="CU33" i="1"/>
  <c r="CU34" i="1" s="1"/>
  <c r="CV33" i="1"/>
  <c r="CU26" i="1"/>
  <c r="CU27" i="1" s="1"/>
  <c r="CU18" i="1"/>
  <c r="CU10" i="1"/>
  <c r="CU11" i="1" s="1"/>
  <c r="CV10" i="1"/>
  <c r="CW10" i="1"/>
  <c r="CW11" i="1" s="1"/>
  <c r="CU86" i="6"/>
  <c r="CU80" i="6"/>
  <c r="CU81" i="6" s="1"/>
  <c r="CV80" i="6"/>
  <c r="CV81" i="6" s="1"/>
  <c r="CW80" i="6"/>
  <c r="CW81" i="6" s="1"/>
  <c r="CW72" i="6"/>
  <c r="CW86" i="6" s="1"/>
  <c r="CV72" i="6"/>
  <c r="CW71" i="6"/>
  <c r="CV71" i="6"/>
  <c r="CV73" i="6" s="1"/>
  <c r="CU71" i="6"/>
  <c r="CU73" i="6" s="1"/>
  <c r="CW63" i="6"/>
  <c r="CW65" i="6" s="1"/>
  <c r="CV8" i="14" s="1"/>
  <c r="CU53" i="6"/>
  <c r="CU54" i="6" s="1"/>
  <c r="CV53" i="6"/>
  <c r="CV54" i="6" s="1"/>
  <c r="CW53" i="6"/>
  <c r="CW54" i="6" s="1"/>
  <c r="CU39" i="6"/>
  <c r="CU33" i="6"/>
  <c r="CU34" i="6" s="1"/>
  <c r="CV33" i="6"/>
  <c r="CV34" i="6" s="1"/>
  <c r="CW33" i="6"/>
  <c r="CW34" i="6" s="1"/>
  <c r="CU26" i="6"/>
  <c r="CV26" i="6"/>
  <c r="CV27" i="6" s="1"/>
  <c r="CW26" i="6"/>
  <c r="CW27" i="6" s="1"/>
  <c r="CU18" i="6"/>
  <c r="CU10" i="6"/>
  <c r="CU11" i="6" s="1"/>
  <c r="CV10" i="6"/>
  <c r="CV12" i="6" s="1"/>
  <c r="CU8" i="8" s="1"/>
  <c r="CW10" i="6"/>
  <c r="CW11" i="6" s="1"/>
  <c r="CW85" i="4"/>
  <c r="CU86" i="4"/>
  <c r="CW86" i="4"/>
  <c r="CU80" i="4"/>
  <c r="CU81" i="4" s="1"/>
  <c r="CV80" i="4"/>
  <c r="CV82" i="4" s="1"/>
  <c r="CW80" i="4"/>
  <c r="CW81" i="4" s="1"/>
  <c r="CU73" i="4"/>
  <c r="CU74" i="4" s="1"/>
  <c r="CV72" i="4"/>
  <c r="CW63" i="4"/>
  <c r="CW64" i="4" s="1"/>
  <c r="CU53" i="4"/>
  <c r="CU54" i="4" s="1"/>
  <c r="CV53" i="4"/>
  <c r="CV55" i="4" s="1"/>
  <c r="CU7" i="15" s="1"/>
  <c r="CW53" i="4"/>
  <c r="CV38" i="4"/>
  <c r="CU33" i="4"/>
  <c r="CU34" i="4" s="1"/>
  <c r="CV33" i="4"/>
  <c r="CV34" i="4" s="1"/>
  <c r="CW33" i="4"/>
  <c r="CW34" i="4" s="1"/>
  <c r="CW26" i="4"/>
  <c r="CW28" i="4" s="1"/>
  <c r="CV25" i="4"/>
  <c r="CV26" i="4" s="1"/>
  <c r="CV27" i="4" s="1"/>
  <c r="CU10" i="4"/>
  <c r="CU11" i="4" s="1"/>
  <c r="CV10" i="4"/>
  <c r="CV12" i="4" s="1"/>
  <c r="CU7" i="8" s="1"/>
  <c r="CW10" i="4"/>
  <c r="CW11" i="4" s="1"/>
  <c r="CU80" i="2"/>
  <c r="CU81" i="2" s="1"/>
  <c r="CV80" i="2"/>
  <c r="CV81" i="2" s="1"/>
  <c r="CW80" i="2"/>
  <c r="CW81" i="2" s="1"/>
  <c r="CW72" i="2"/>
  <c r="CV72" i="2"/>
  <c r="CU72" i="2"/>
  <c r="CW71" i="2"/>
  <c r="CW73" i="2" s="1"/>
  <c r="CW74" i="2" s="1"/>
  <c r="CV71" i="2"/>
  <c r="CU71" i="2"/>
  <c r="CW62" i="2"/>
  <c r="CV62" i="2"/>
  <c r="CU62" i="2"/>
  <c r="CW61" i="2"/>
  <c r="CV61" i="2"/>
  <c r="CU61" i="2"/>
  <c r="CU85" i="2" s="1"/>
  <c r="CU53" i="2"/>
  <c r="CU54" i="2" s="1"/>
  <c r="CV53" i="2"/>
  <c r="CV57" i="2" s="1"/>
  <c r="CW53" i="2"/>
  <c r="CW54" i="2" s="1"/>
  <c r="CU55" i="2"/>
  <c r="CT6" i="15" s="1"/>
  <c r="CU33" i="2"/>
  <c r="CU34" i="2" s="1"/>
  <c r="CV33" i="2"/>
  <c r="CV34" i="2" s="1"/>
  <c r="CW33" i="2"/>
  <c r="CW34" i="2" s="1"/>
  <c r="CW25" i="2"/>
  <c r="CV25" i="2"/>
  <c r="CU25" i="2"/>
  <c r="CW24" i="2"/>
  <c r="CW24" i="7" s="1"/>
  <c r="CV24" i="2"/>
  <c r="CU24" i="2"/>
  <c r="CW17" i="2"/>
  <c r="CV17" i="2"/>
  <c r="CU17" i="2"/>
  <c r="CW16" i="2"/>
  <c r="CV16" i="2"/>
  <c r="CU16" i="2"/>
  <c r="CV12" i="2"/>
  <c r="CU6" i="8" s="1"/>
  <c r="CU10" i="2"/>
  <c r="CU12" i="2" s="1"/>
  <c r="CT6" i="8" s="1"/>
  <c r="CV10" i="2"/>
  <c r="CV11" i="2" s="1"/>
  <c r="CW10" i="2"/>
  <c r="CW11" i="2" s="1"/>
  <c r="CT10" i="1"/>
  <c r="CT11" i="1" s="1"/>
  <c r="CT16" i="1"/>
  <c r="CT17" i="1"/>
  <c r="CU80" i="5"/>
  <c r="CU81" i="5" s="1"/>
  <c r="CV80" i="5"/>
  <c r="CV81" i="5" s="1"/>
  <c r="CW80" i="5"/>
  <c r="CW81" i="5" s="1"/>
  <c r="CW72" i="5"/>
  <c r="CV72" i="5"/>
  <c r="CU72" i="5"/>
  <c r="CW71" i="5"/>
  <c r="CW73" i="5" s="1"/>
  <c r="CV71" i="5"/>
  <c r="CU71" i="5"/>
  <c r="CU73" i="2" l="1"/>
  <c r="CW12" i="6"/>
  <c r="CV8" i="8" s="1"/>
  <c r="CY65" i="4"/>
  <c r="CX7" i="14" s="1"/>
  <c r="CX38" i="6"/>
  <c r="CX40" i="6" s="1"/>
  <c r="CX41" i="6" s="1"/>
  <c r="DB18" i="6"/>
  <c r="DB19" i="6" s="1"/>
  <c r="DC12" i="5"/>
  <c r="DB9" i="8" s="1"/>
  <c r="DG12" i="4"/>
  <c r="DF7" i="8" s="1"/>
  <c r="CW57" i="2"/>
  <c r="CY86" i="2"/>
  <c r="CZ57" i="5"/>
  <c r="DA18" i="2"/>
  <c r="DA19" i="2" s="1"/>
  <c r="DC18" i="4"/>
  <c r="DC20" i="4" s="1"/>
  <c r="DB7" i="13" s="1"/>
  <c r="DC55" i="6"/>
  <c r="DB8" i="15" s="1"/>
  <c r="DE85" i="5"/>
  <c r="DE38" i="4"/>
  <c r="CX85" i="6"/>
  <c r="CW12" i="2"/>
  <c r="CV6" i="8" s="1"/>
  <c r="DB39" i="4"/>
  <c r="DE20" i="1"/>
  <c r="DD5" i="13" s="1"/>
  <c r="DI86" i="2"/>
  <c r="CU38" i="4"/>
  <c r="DB85" i="4"/>
  <c r="CX63" i="4"/>
  <c r="CX64" i="4" s="1"/>
  <c r="DB26" i="1"/>
  <c r="DB28" i="1" s="1"/>
  <c r="CV55" i="2"/>
  <c r="CU6" i="15" s="1"/>
  <c r="CX11" i="2"/>
  <c r="CY71" i="7"/>
  <c r="CX55" i="5"/>
  <c r="CW9" i="15" s="1"/>
  <c r="CZ73" i="5"/>
  <c r="CZ75" i="5" s="1"/>
  <c r="DD39" i="4"/>
  <c r="DD39" i="7" s="1"/>
  <c r="DC18" i="1"/>
  <c r="DA73" i="1"/>
  <c r="DA74" i="1" s="1"/>
  <c r="DI39" i="1"/>
  <c r="CU86" i="2"/>
  <c r="CY54" i="5"/>
  <c r="DC39" i="2"/>
  <c r="DB73" i="5"/>
  <c r="DB74" i="5" s="1"/>
  <c r="DD18" i="5"/>
  <c r="DF55" i="2"/>
  <c r="DE6" i="15" s="1"/>
  <c r="DD65" i="2"/>
  <c r="DC6" i="14" s="1"/>
  <c r="CX86" i="6"/>
  <c r="DH38" i="2"/>
  <c r="DI73" i="2"/>
  <c r="CX55" i="4"/>
  <c r="CW7" i="15" s="1"/>
  <c r="CV18" i="2"/>
  <c r="CY61" i="7"/>
  <c r="CZ12" i="5"/>
  <c r="CY9" i="8" s="1"/>
  <c r="DF12" i="5"/>
  <c r="DE9" i="8" s="1"/>
  <c r="DD38" i="2"/>
  <c r="DD40" i="2" s="1"/>
  <c r="DD41" i="2" s="1"/>
  <c r="DD55" i="2"/>
  <c r="DC6" i="15" s="1"/>
  <c r="CX39" i="4"/>
  <c r="CW18" i="6"/>
  <c r="CW20" i="6" s="1"/>
  <c r="CV8" i="13" s="1"/>
  <c r="CU63" i="6"/>
  <c r="CU64" i="6" s="1"/>
  <c r="DC63" i="6"/>
  <c r="DC64" i="6" s="1"/>
  <c r="CW18" i="1"/>
  <c r="CW26" i="1"/>
  <c r="CW27" i="1" s="1"/>
  <c r="DH63" i="2"/>
  <c r="DI86" i="1"/>
  <c r="CT18" i="1"/>
  <c r="CW25" i="7"/>
  <c r="CW26" i="7" s="1"/>
  <c r="CW28" i="7" s="1"/>
  <c r="CV7" i="26" s="1"/>
  <c r="CW55" i="1"/>
  <c r="CV5" i="15" s="1"/>
  <c r="CU80" i="1"/>
  <c r="CU81" i="1" s="1"/>
  <c r="CX61" i="7"/>
  <c r="DF11" i="1"/>
  <c r="CY85" i="1"/>
  <c r="DC85" i="1"/>
  <c r="CV85" i="1"/>
  <c r="CV87" i="1" s="1"/>
  <c r="CV89" i="1" s="1"/>
  <c r="CZ73" i="1"/>
  <c r="CZ75" i="1" s="1"/>
  <c r="DC86" i="1"/>
  <c r="CU12" i="1"/>
  <c r="CT5" i="8" s="1"/>
  <c r="DA18" i="1"/>
  <c r="DA19" i="1" s="1"/>
  <c r="DC24" i="7"/>
  <c r="DA85" i="1"/>
  <c r="DH38" i="1"/>
  <c r="CW12" i="4"/>
  <c r="CV7" i="8" s="1"/>
  <c r="DD57" i="4"/>
  <c r="DF86" i="4"/>
  <c r="DF87" i="4" s="1"/>
  <c r="DF88" i="4" s="1"/>
  <c r="CU12" i="4"/>
  <c r="CT7" i="8" s="1"/>
  <c r="CU26" i="4"/>
  <c r="CU27" i="4" s="1"/>
  <c r="CV63" i="4"/>
  <c r="CV64" i="4" s="1"/>
  <c r="CX12" i="4"/>
  <c r="CW7" i="8" s="1"/>
  <c r="DB18" i="4"/>
  <c r="DB19" i="4" s="1"/>
  <c r="DA55" i="4"/>
  <c r="CZ7" i="15" s="1"/>
  <c r="DD12" i="4"/>
  <c r="DC7" i="8" s="1"/>
  <c r="DF18" i="4"/>
  <c r="DF19" i="4" s="1"/>
  <c r="DD55" i="4"/>
  <c r="DC7" i="15" s="1"/>
  <c r="DC85" i="4"/>
  <c r="CV72" i="7"/>
  <c r="DB53" i="4"/>
  <c r="DB54" i="4" s="1"/>
  <c r="DB86" i="4"/>
  <c r="CW39" i="4"/>
  <c r="DD85" i="4"/>
  <c r="CY63" i="1"/>
  <c r="CY64" i="1" s="1"/>
  <c r="CU63" i="1"/>
  <c r="CU64" i="1" s="1"/>
  <c r="DH39" i="1"/>
  <c r="CU25" i="7"/>
  <c r="DH55" i="1"/>
  <c r="DG5" i="15" s="1"/>
  <c r="DC82" i="5"/>
  <c r="CX82" i="1"/>
  <c r="DF28" i="6"/>
  <c r="DF34" i="6"/>
  <c r="DG73" i="6"/>
  <c r="DG74" i="6" s="1"/>
  <c r="CV18" i="6"/>
  <c r="CV19" i="6" s="1"/>
  <c r="CV55" i="6"/>
  <c r="CU8" i="15" s="1"/>
  <c r="CW73" i="6"/>
  <c r="CW74" i="6" s="1"/>
  <c r="CZ55" i="6"/>
  <c r="CY8" i="15" s="1"/>
  <c r="CY85" i="6"/>
  <c r="CY87" i="6" s="1"/>
  <c r="CY88" i="6" s="1"/>
  <c r="DB12" i="6"/>
  <c r="DA8" i="8" s="1"/>
  <c r="DC67" i="6"/>
  <c r="DB73" i="6"/>
  <c r="DB75" i="6" s="1"/>
  <c r="DC85" i="6"/>
  <c r="DC87" i="6" s="1"/>
  <c r="DC88" i="6" s="1"/>
  <c r="DD11" i="6"/>
  <c r="CZ85" i="6"/>
  <c r="DE73" i="6"/>
  <c r="DE74" i="6" s="1"/>
  <c r="DH55" i="6"/>
  <c r="DG8" i="15" s="1"/>
  <c r="DH73" i="6"/>
  <c r="DH74" i="6" s="1"/>
  <c r="CU12" i="6"/>
  <c r="CT8" i="8" s="1"/>
  <c r="CU72" i="7"/>
  <c r="CU67" i="6"/>
  <c r="DD18" i="6"/>
  <c r="DD19" i="6" s="1"/>
  <c r="DE86" i="6"/>
  <c r="DF73" i="6"/>
  <c r="DF74" i="6" s="1"/>
  <c r="DH86" i="6"/>
  <c r="DI71" i="7"/>
  <c r="DI81" i="5"/>
  <c r="CZ82" i="5"/>
  <c r="DE81" i="5"/>
  <c r="DB28" i="5"/>
  <c r="DI28" i="5"/>
  <c r="CY82" i="6"/>
  <c r="DD28" i="6"/>
  <c r="CU82" i="4"/>
  <c r="DC87" i="5"/>
  <c r="DC88" i="5" s="1"/>
  <c r="DA28" i="5"/>
  <c r="DE28" i="6"/>
  <c r="CW27" i="4"/>
  <c r="CU82" i="2"/>
  <c r="CZ82" i="1"/>
  <c r="CZ35" i="2"/>
  <c r="DF35" i="1"/>
  <c r="DG28" i="5"/>
  <c r="CZ28" i="5"/>
  <c r="CZ28" i="6"/>
  <c r="CZ82" i="4"/>
  <c r="CX35" i="4"/>
  <c r="DH35" i="4"/>
  <c r="CV82" i="2"/>
  <c r="CY82" i="1"/>
  <c r="CW82" i="5"/>
  <c r="DD82" i="5"/>
  <c r="DH28" i="5"/>
  <c r="DB35" i="5"/>
  <c r="DF28" i="5"/>
  <c r="DI35" i="5"/>
  <c r="DI82" i="6"/>
  <c r="CV82" i="6"/>
  <c r="CZ82" i="6"/>
  <c r="DB82" i="6"/>
  <c r="DG28" i="6"/>
  <c r="DC28" i="6"/>
  <c r="CW82" i="2"/>
  <c r="DD82" i="2"/>
  <c r="DI82" i="1"/>
  <c r="DF82" i="1"/>
  <c r="CZ35" i="1"/>
  <c r="DI82" i="4"/>
  <c r="DC35" i="4"/>
  <c r="CY34" i="2"/>
  <c r="CX35" i="2"/>
  <c r="DF35" i="2"/>
  <c r="CU35" i="2"/>
  <c r="CW35" i="1"/>
  <c r="DI35" i="1"/>
  <c r="DH35" i="1"/>
  <c r="CU28" i="1"/>
  <c r="DE34" i="1"/>
  <c r="DG35" i="1"/>
  <c r="CY40" i="1"/>
  <c r="CY41" i="1" s="1"/>
  <c r="DG81" i="5"/>
  <c r="DA82" i="5"/>
  <c r="DF82" i="5"/>
  <c r="DC28" i="5"/>
  <c r="DD35" i="5"/>
  <c r="CX28" i="5"/>
  <c r="DG35" i="5"/>
  <c r="CY28" i="5"/>
  <c r="CX82" i="6"/>
  <c r="DH82" i="6"/>
  <c r="DI28" i="6"/>
  <c r="CX28" i="6"/>
  <c r="CY35" i="6"/>
  <c r="DA28" i="6"/>
  <c r="DH28" i="6"/>
  <c r="CY28" i="6"/>
  <c r="CV28" i="6"/>
  <c r="DH35" i="6"/>
  <c r="CW82" i="4"/>
  <c r="CY82" i="4"/>
  <c r="DE82" i="4"/>
  <c r="DG82" i="4"/>
  <c r="DH82" i="4"/>
  <c r="DD35" i="4"/>
  <c r="CY34" i="4"/>
  <c r="DB82" i="2"/>
  <c r="DF82" i="2"/>
  <c r="DI82" i="2"/>
  <c r="CX82" i="2"/>
  <c r="DE75" i="2"/>
  <c r="CW35" i="2"/>
  <c r="DE35" i="2"/>
  <c r="DD35" i="2"/>
  <c r="DH35" i="2"/>
  <c r="DG82" i="1"/>
  <c r="DB82" i="1"/>
  <c r="DK89" i="7"/>
  <c r="DD82" i="1"/>
  <c r="DD35" i="1"/>
  <c r="CU35" i="1"/>
  <c r="DH33" i="7"/>
  <c r="DH34" i="7" s="1"/>
  <c r="CU27" i="6"/>
  <c r="CU28" i="6"/>
  <c r="CU54" i="1"/>
  <c r="CU55" i="1"/>
  <c r="CT5" i="15" s="1"/>
  <c r="CY38" i="2"/>
  <c r="CY38" i="7" s="1"/>
  <c r="CY16" i="7"/>
  <c r="CX54" i="2"/>
  <c r="CX57" i="2"/>
  <c r="CX55" i="2"/>
  <c r="CW6" i="15" s="1"/>
  <c r="CX38" i="5"/>
  <c r="CX40" i="5" s="1"/>
  <c r="CX41" i="5" s="1"/>
  <c r="CV54" i="2"/>
  <c r="CW85" i="2"/>
  <c r="CV11" i="4"/>
  <c r="CW54" i="4"/>
  <c r="CW55" i="4"/>
  <c r="CV7" i="15" s="1"/>
  <c r="CV11" i="6"/>
  <c r="CW85" i="6"/>
  <c r="CW87" i="6" s="1"/>
  <c r="CV11" i="1"/>
  <c r="CV12" i="1"/>
  <c r="CU5" i="8" s="1"/>
  <c r="CZ12" i="1"/>
  <c r="CY5" i="8" s="1"/>
  <c r="CZ18" i="4"/>
  <c r="CZ67" i="4" s="1"/>
  <c r="CX11" i="6"/>
  <c r="CX12" i="6"/>
  <c r="CW8" i="8" s="1"/>
  <c r="CZ35" i="5"/>
  <c r="CY81" i="5"/>
  <c r="DC38" i="2"/>
  <c r="DB34" i="2"/>
  <c r="DB35" i="2"/>
  <c r="DD19" i="5"/>
  <c r="DD20" i="5"/>
  <c r="DC9" i="13" s="1"/>
  <c r="DE28" i="5"/>
  <c r="DE27" i="5"/>
  <c r="DE54" i="4"/>
  <c r="DE55" i="4"/>
  <c r="DD7" i="15" s="1"/>
  <c r="DA85" i="4"/>
  <c r="DA63" i="4"/>
  <c r="DA64" i="4" s="1"/>
  <c r="CW67" i="6"/>
  <c r="DA38" i="6"/>
  <c r="DA18" i="6"/>
  <c r="DA67" i="6" s="1"/>
  <c r="CW63" i="1"/>
  <c r="CW65" i="1" s="1"/>
  <c r="CV5" i="14" s="1"/>
  <c r="DB71" i="7"/>
  <c r="DI11" i="2"/>
  <c r="DI12" i="2"/>
  <c r="DH6" i="8" s="1"/>
  <c r="DG86" i="5"/>
  <c r="CU82" i="5"/>
  <c r="CU38" i="2"/>
  <c r="CV39" i="2"/>
  <c r="CV71" i="7"/>
  <c r="CV39" i="4"/>
  <c r="CV40" i="4" s="1"/>
  <c r="CV86" i="4"/>
  <c r="CV87" i="4" s="1"/>
  <c r="CV73" i="4"/>
  <c r="CW38" i="6"/>
  <c r="CW40" i="6" s="1"/>
  <c r="CW12" i="1"/>
  <c r="CV5" i="8" s="1"/>
  <c r="CV73" i="1"/>
  <c r="CV75" i="1" s="1"/>
  <c r="CY57" i="2"/>
  <c r="CZ85" i="2"/>
  <c r="CZ87" i="2" s="1"/>
  <c r="CY63" i="2"/>
  <c r="CY11" i="1"/>
  <c r="CX82" i="4"/>
  <c r="CX86" i="4"/>
  <c r="CX87" i="4" s="1"/>
  <c r="CX88" i="4" s="1"/>
  <c r="CY12" i="6"/>
  <c r="CX8" i="8" s="1"/>
  <c r="CZ35" i="6"/>
  <c r="CY55" i="6"/>
  <c r="CX8" i="15" s="1"/>
  <c r="DA81" i="1"/>
  <c r="DA82" i="1"/>
  <c r="DC11" i="2"/>
  <c r="DB73" i="2"/>
  <c r="DB74" i="2" s="1"/>
  <c r="DB28" i="6"/>
  <c r="DF54" i="5"/>
  <c r="DF57" i="5"/>
  <c r="DD28" i="4"/>
  <c r="DE34" i="6"/>
  <c r="DE35" i="6"/>
  <c r="DF82" i="6"/>
  <c r="DF54" i="1"/>
  <c r="DF55" i="1"/>
  <c r="DE5" i="15" s="1"/>
  <c r="DE82" i="1"/>
  <c r="DG81" i="2"/>
  <c r="DG82" i="2"/>
  <c r="DG11" i="5"/>
  <c r="DG12" i="5"/>
  <c r="DF9" i="8" s="1"/>
  <c r="DH12" i="4"/>
  <c r="DG7" i="8" s="1"/>
  <c r="DI34" i="4"/>
  <c r="DI35" i="4"/>
  <c r="DG82" i="6"/>
  <c r="DI11" i="1"/>
  <c r="DI12" i="1"/>
  <c r="DH5" i="8" s="1"/>
  <c r="CV24" i="7"/>
  <c r="CV26" i="2"/>
  <c r="CY73" i="4"/>
  <c r="CY74" i="4" s="1"/>
  <c r="DC26" i="2"/>
  <c r="DC27" i="2" s="1"/>
  <c r="DB38" i="2"/>
  <c r="DA81" i="2"/>
  <c r="DA82" i="2"/>
  <c r="DC81" i="4"/>
  <c r="DC82" i="4"/>
  <c r="DA11" i="5"/>
  <c r="DA12" i="5"/>
  <c r="CZ9" i="8" s="1"/>
  <c r="DE54" i="2"/>
  <c r="DE55" i="2"/>
  <c r="DD6" i="15" s="1"/>
  <c r="DF63" i="2"/>
  <c r="DF85" i="2"/>
  <c r="DF35" i="4"/>
  <c r="DF34" i="4"/>
  <c r="DF82" i="4"/>
  <c r="DF81" i="4"/>
  <c r="DD20" i="6"/>
  <c r="DC8" i="13" s="1"/>
  <c r="DB18" i="1"/>
  <c r="DB38" i="1"/>
  <c r="DF28" i="1"/>
  <c r="DG34" i="2"/>
  <c r="DG35" i="2"/>
  <c r="DI54" i="5"/>
  <c r="DI55" i="5"/>
  <c r="DH9" i="15" s="1"/>
  <c r="DI34" i="6"/>
  <c r="DI35" i="6"/>
  <c r="DI73" i="1"/>
  <c r="DI75" i="1" s="1"/>
  <c r="DI12" i="8"/>
  <c r="DI5" i="26"/>
  <c r="CT12" i="1"/>
  <c r="CU18" i="2"/>
  <c r="CU19" i="2" s="1"/>
  <c r="CU55" i="4"/>
  <c r="CT7" i="15" s="1"/>
  <c r="CW64" i="6"/>
  <c r="CV34" i="1"/>
  <c r="CV35" i="1"/>
  <c r="CZ38" i="2"/>
  <c r="CZ18" i="2"/>
  <c r="CZ19" i="2" s="1"/>
  <c r="CX25" i="7"/>
  <c r="CZ81" i="2"/>
  <c r="CZ82" i="2"/>
  <c r="CY85" i="2"/>
  <c r="CZ34" i="4"/>
  <c r="CZ35" i="4"/>
  <c r="CY39" i="4"/>
  <c r="CY40" i="4" s="1"/>
  <c r="CX35" i="6"/>
  <c r="CY34" i="5"/>
  <c r="CY35" i="5"/>
  <c r="CX65" i="5"/>
  <c r="CW9" i="14" s="1"/>
  <c r="CX73" i="5"/>
  <c r="CX74" i="5" s="1"/>
  <c r="DC55" i="5"/>
  <c r="DB9" i="15" s="1"/>
  <c r="DC57" i="5"/>
  <c r="DB82" i="5"/>
  <c r="DF63" i="5"/>
  <c r="DF64" i="5" s="1"/>
  <c r="DF85" i="5"/>
  <c r="DE27" i="2"/>
  <c r="DE28" i="2"/>
  <c r="DF12" i="4"/>
  <c r="DE7" i="8" s="1"/>
  <c r="DD54" i="6"/>
  <c r="DD55" i="6"/>
  <c r="DC8" i="15" s="1"/>
  <c r="DB85" i="6"/>
  <c r="DB63" i="6"/>
  <c r="DB67" i="6" s="1"/>
  <c r="DG63" i="4"/>
  <c r="DG65" i="4" s="1"/>
  <c r="DF7" i="14" s="1"/>
  <c r="DG85" i="4"/>
  <c r="DG73" i="4"/>
  <c r="DG74" i="4" s="1"/>
  <c r="DI57" i="1"/>
  <c r="DI55" i="1"/>
  <c r="DH5" i="15" s="1"/>
  <c r="DI54" i="1"/>
  <c r="DH63" i="1"/>
  <c r="DH65" i="1" s="1"/>
  <c r="DG5" i="14" s="1"/>
  <c r="DH85" i="1"/>
  <c r="DB85" i="2"/>
  <c r="DB87" i="2" s="1"/>
  <c r="DC86" i="2"/>
  <c r="DD85" i="5"/>
  <c r="DD87" i="5" s="1"/>
  <c r="DD88" i="5" s="1"/>
  <c r="DF25" i="7"/>
  <c r="CV85" i="6"/>
  <c r="CV86" i="6"/>
  <c r="CZ86" i="6"/>
  <c r="DD73" i="6"/>
  <c r="DD74" i="6" s="1"/>
  <c r="DA63" i="1"/>
  <c r="DA64" i="1" s="1"/>
  <c r="DH85" i="2"/>
  <c r="DH85" i="5"/>
  <c r="DI24" i="7"/>
  <c r="DI26" i="7" s="1"/>
  <c r="DI28" i="7" s="1"/>
  <c r="DG62" i="7"/>
  <c r="CU73" i="5"/>
  <c r="CU74" i="5" s="1"/>
  <c r="CV73" i="5"/>
  <c r="CV74" i="5" s="1"/>
  <c r="CV85" i="2"/>
  <c r="CV57" i="4"/>
  <c r="CU63" i="4"/>
  <c r="CU64" i="4" s="1"/>
  <c r="CY25" i="7"/>
  <c r="CY73" i="2"/>
  <c r="CY57" i="4"/>
  <c r="CZ73" i="6"/>
  <c r="CZ74" i="6" s="1"/>
  <c r="CY57" i="5"/>
  <c r="DA20" i="2"/>
  <c r="CZ6" i="13" s="1"/>
  <c r="DB25" i="7"/>
  <c r="DA35" i="2"/>
  <c r="DC61" i="7"/>
  <c r="DB63" i="2"/>
  <c r="DB67" i="2" s="1"/>
  <c r="DC73" i="2"/>
  <c r="DC74" i="2" s="1"/>
  <c r="DC63" i="4"/>
  <c r="DA82" i="4"/>
  <c r="DA12" i="6"/>
  <c r="CZ8" i="8" s="1"/>
  <c r="DB20" i="6"/>
  <c r="DA8" i="13" s="1"/>
  <c r="DC18" i="5"/>
  <c r="DC19" i="5" s="1"/>
  <c r="DA35" i="5"/>
  <c r="DC63" i="5"/>
  <c r="DC67" i="5" s="1"/>
  <c r="DA73" i="5"/>
  <c r="DA74" i="5" s="1"/>
  <c r="DE18" i="5"/>
  <c r="DE19" i="5" s="1"/>
  <c r="DE73" i="5"/>
  <c r="DE74" i="5" s="1"/>
  <c r="DD24" i="7"/>
  <c r="DE85" i="2"/>
  <c r="DD81" i="6"/>
  <c r="DD55" i="1"/>
  <c r="DC5" i="15" s="1"/>
  <c r="DG12" i="2"/>
  <c r="DF6" i="8" s="1"/>
  <c r="DG18" i="2"/>
  <c r="DG19" i="2" s="1"/>
  <c r="DI85" i="2"/>
  <c r="DI87" i="2" s="1"/>
  <c r="DI12" i="5"/>
  <c r="DH9" i="8" s="1"/>
  <c r="DH20" i="5"/>
  <c r="DG9" i="13" s="1"/>
  <c r="DI73" i="5"/>
  <c r="DI74" i="5" s="1"/>
  <c r="DH28" i="4"/>
  <c r="DG35" i="4"/>
  <c r="DH55" i="4"/>
  <c r="DG7" i="15" s="1"/>
  <c r="DH57" i="4"/>
  <c r="DI18" i="6"/>
  <c r="DI19" i="6" s="1"/>
  <c r="DH57" i="6"/>
  <c r="DG12" i="1"/>
  <c r="DF5" i="8" s="1"/>
  <c r="DI80" i="7"/>
  <c r="DI82" i="7" s="1"/>
  <c r="DA26" i="4"/>
  <c r="DA27" i="4" s="1"/>
  <c r="DC65" i="6"/>
  <c r="DB8" i="14" s="1"/>
  <c r="DB86" i="6"/>
  <c r="DC81" i="6"/>
  <c r="DA18" i="5"/>
  <c r="DA19" i="5" s="1"/>
  <c r="DB40" i="5"/>
  <c r="DB41" i="5" s="1"/>
  <c r="DB85" i="5"/>
  <c r="DB87" i="5" s="1"/>
  <c r="DB88" i="5" s="1"/>
  <c r="DC73" i="5"/>
  <c r="DC74" i="5" s="1"/>
  <c r="DA17" i="7"/>
  <c r="DD57" i="5"/>
  <c r="DE63" i="5"/>
  <c r="DD73" i="5"/>
  <c r="DF24" i="7"/>
  <c r="DF11" i="6"/>
  <c r="DH55" i="2"/>
  <c r="DG6" i="15" s="1"/>
  <c r="DH73" i="2"/>
  <c r="DH74" i="2" s="1"/>
  <c r="DH38" i="5"/>
  <c r="DH40" i="5" s="1"/>
  <c r="DH42" i="5" s="1"/>
  <c r="DH57" i="5"/>
  <c r="DH86" i="4"/>
  <c r="DH87" i="4" s="1"/>
  <c r="DH88" i="4" s="1"/>
  <c r="DH18" i="6"/>
  <c r="DH19" i="6" s="1"/>
  <c r="DI73" i="6"/>
  <c r="DI74" i="6" s="1"/>
  <c r="DI85" i="1"/>
  <c r="DI9" i="26"/>
  <c r="DI7" i="26"/>
  <c r="DI5" i="24"/>
  <c r="DH53" i="7"/>
  <c r="DH55" i="7" s="1"/>
  <c r="DG12" i="15" s="1"/>
  <c r="DI6" i="26"/>
  <c r="DI12" i="13"/>
  <c r="DI55" i="6"/>
  <c r="DH8" i="15" s="1"/>
  <c r="DG55" i="6"/>
  <c r="DF8" i="15" s="1"/>
  <c r="DI33" i="7"/>
  <c r="DI35" i="7" s="1"/>
  <c r="DH8" i="26" s="1"/>
  <c r="DG20" i="6"/>
  <c r="DF8" i="13" s="1"/>
  <c r="DI12" i="6"/>
  <c r="DH8" i="8" s="1"/>
  <c r="DI57" i="6"/>
  <c r="DG12" i="6"/>
  <c r="DF8" i="8" s="1"/>
  <c r="DG55" i="4"/>
  <c r="DF7" i="15" s="1"/>
  <c r="DG10" i="7"/>
  <c r="DG12" i="7" s="1"/>
  <c r="DI10" i="7"/>
  <c r="DI11" i="7" s="1"/>
  <c r="DH10" i="7"/>
  <c r="DH11" i="7" s="1"/>
  <c r="DH80" i="7"/>
  <c r="DH81" i="7" s="1"/>
  <c r="DG53" i="7"/>
  <c r="DG55" i="7" s="1"/>
  <c r="DF12" i="15" s="1"/>
  <c r="DJ89" i="5"/>
  <c r="DJ42" i="7"/>
  <c r="DJ88" i="7"/>
  <c r="DJ89" i="7"/>
  <c r="DI57" i="2"/>
  <c r="CU74" i="2"/>
  <c r="CU75" i="2"/>
  <c r="CV74" i="6"/>
  <c r="CV75" i="6"/>
  <c r="CU75" i="6"/>
  <c r="CU74" i="6"/>
  <c r="CW74" i="5"/>
  <c r="CW75" i="5"/>
  <c r="CV20" i="2"/>
  <c r="CU6" i="13" s="1"/>
  <c r="CV19" i="2"/>
  <c r="CX12" i="1"/>
  <c r="CW5" i="8" s="1"/>
  <c r="DA25" i="7"/>
  <c r="DA73" i="4"/>
  <c r="DF55" i="6"/>
  <c r="DE8" i="15" s="1"/>
  <c r="DF54" i="6"/>
  <c r="DF57" i="6"/>
  <c r="DH26" i="2"/>
  <c r="DH27" i="2" s="1"/>
  <c r="DH39" i="2"/>
  <c r="CW18" i="2"/>
  <c r="CW19" i="2" s="1"/>
  <c r="CU87" i="2"/>
  <c r="CU88" i="2" s="1"/>
  <c r="CV57" i="6"/>
  <c r="CW71" i="7"/>
  <c r="CX38" i="2"/>
  <c r="CX40" i="2" s="1"/>
  <c r="CX41" i="2" s="1"/>
  <c r="CX18" i="2"/>
  <c r="CY17" i="7"/>
  <c r="CY39" i="2"/>
  <c r="CY35" i="1"/>
  <c r="CY34" i="1"/>
  <c r="CZ12" i="4"/>
  <c r="CY7" i="8" s="1"/>
  <c r="CX28" i="4"/>
  <c r="CX27" i="4"/>
  <c r="CZ12" i="6"/>
  <c r="CY8" i="8" s="1"/>
  <c r="CY20" i="5"/>
  <c r="CX9" i="13" s="1"/>
  <c r="CX35" i="5"/>
  <c r="CX34" i="5"/>
  <c r="CX67" i="5"/>
  <c r="CX64" i="5"/>
  <c r="CX72" i="7"/>
  <c r="DA12" i="2"/>
  <c r="CZ6" i="8" s="1"/>
  <c r="DA11" i="2"/>
  <c r="DB19" i="2"/>
  <c r="DB20" i="2"/>
  <c r="DA6" i="13" s="1"/>
  <c r="DA26" i="2"/>
  <c r="DA27" i="2" s="1"/>
  <c r="DB64" i="2"/>
  <c r="DC82" i="2"/>
  <c r="DC81" i="2"/>
  <c r="DB11" i="4"/>
  <c r="DC26" i="4"/>
  <c r="DC27" i="4" s="1"/>
  <c r="DC39" i="4"/>
  <c r="DC40" i="4" s="1"/>
  <c r="DC41" i="4" s="1"/>
  <c r="DC74" i="6"/>
  <c r="DC75" i="6"/>
  <c r="DB61" i="7"/>
  <c r="DE26" i="4"/>
  <c r="DE27" i="4" s="1"/>
  <c r="DA39" i="6"/>
  <c r="DE39" i="6"/>
  <c r="DE18" i="6"/>
  <c r="DE19" i="6" s="1"/>
  <c r="CV86" i="2"/>
  <c r="CW28" i="6"/>
  <c r="CW64" i="1"/>
  <c r="CX62" i="7"/>
  <c r="CX86" i="2"/>
  <c r="DA54" i="2"/>
  <c r="DA57" i="2"/>
  <c r="DB27" i="4"/>
  <c r="DB28" i="4"/>
  <c r="DE87" i="4"/>
  <c r="DE88" i="4" s="1"/>
  <c r="DD85" i="6"/>
  <c r="DD63" i="6"/>
  <c r="DD86" i="6"/>
  <c r="DG26" i="2"/>
  <c r="DG38" i="2"/>
  <c r="DG40" i="2" s="1"/>
  <c r="CU26" i="2"/>
  <c r="CU27" i="2" s="1"/>
  <c r="CU11" i="2"/>
  <c r="CW63" i="2"/>
  <c r="CW65" i="2" s="1"/>
  <c r="CV6" i="14" s="1"/>
  <c r="CV54" i="4"/>
  <c r="CV63" i="6"/>
  <c r="CV64" i="6" s="1"/>
  <c r="CU85" i="6"/>
  <c r="CU87" i="6" s="1"/>
  <c r="CU88" i="6" s="1"/>
  <c r="CV28" i="1"/>
  <c r="CV27" i="1"/>
  <c r="CU24" i="7"/>
  <c r="CU71" i="7"/>
  <c r="CZ20" i="2"/>
  <c r="CY6" i="13" s="1"/>
  <c r="CY27" i="2"/>
  <c r="CY28" i="2"/>
  <c r="CZ25" i="7"/>
  <c r="CZ55" i="2"/>
  <c r="CY6" i="15" s="1"/>
  <c r="CX73" i="2"/>
  <c r="CZ28" i="1"/>
  <c r="CZ27" i="1"/>
  <c r="CY27" i="4"/>
  <c r="CY28" i="4"/>
  <c r="CZ64" i="4"/>
  <c r="CZ65" i="4"/>
  <c r="CY7" i="14" s="1"/>
  <c r="CZ86" i="4"/>
  <c r="CZ87" i="4" s="1"/>
  <c r="CZ88" i="4" s="1"/>
  <c r="CZ75" i="4"/>
  <c r="CY39" i="5"/>
  <c r="CY75" i="5"/>
  <c r="CX85" i="5"/>
  <c r="CY24" i="7"/>
  <c r="CZ61" i="7"/>
  <c r="DC82" i="1"/>
  <c r="DA16" i="7"/>
  <c r="DA38" i="2"/>
  <c r="DC17" i="7"/>
  <c r="DA61" i="7"/>
  <c r="DA63" i="2"/>
  <c r="DB62" i="7"/>
  <c r="DA72" i="7"/>
  <c r="DA86" i="2"/>
  <c r="DA85" i="2"/>
  <c r="DC75" i="4"/>
  <c r="DB82" i="4"/>
  <c r="DA54" i="6"/>
  <c r="DA55" i="6"/>
  <c r="CZ8" i="15" s="1"/>
  <c r="DA82" i="6"/>
  <c r="DA81" i="6"/>
  <c r="DB11" i="5"/>
  <c r="DB57" i="5"/>
  <c r="DA86" i="5"/>
  <c r="DA63" i="5"/>
  <c r="DA65" i="5" s="1"/>
  <c r="CZ9" i="14" s="1"/>
  <c r="DE20" i="5"/>
  <c r="DD9" i="13" s="1"/>
  <c r="DF35" i="5"/>
  <c r="DF34" i="5"/>
  <c r="DF26" i="2"/>
  <c r="DF27" i="2" s="1"/>
  <c r="DD75" i="4"/>
  <c r="CW39" i="2"/>
  <c r="CV38" i="2"/>
  <c r="CU63" i="2"/>
  <c r="CV73" i="2"/>
  <c r="CY64" i="2"/>
  <c r="CZ74" i="5"/>
  <c r="CX82" i="5"/>
  <c r="DD28" i="5"/>
  <c r="DF67" i="5"/>
  <c r="CV82" i="5"/>
  <c r="CW72" i="7"/>
  <c r="CU39" i="2"/>
  <c r="CW55" i="2"/>
  <c r="CV6" i="15" s="1"/>
  <c r="CW75" i="2"/>
  <c r="CV35" i="4"/>
  <c r="CW65" i="4"/>
  <c r="CV7" i="14" s="1"/>
  <c r="CW26" i="2"/>
  <c r="CW27" i="2" s="1"/>
  <c r="CV35" i="2"/>
  <c r="CW38" i="2"/>
  <c r="CU57" i="2"/>
  <c r="CV63" i="2"/>
  <c r="CW86" i="2"/>
  <c r="CV28" i="4"/>
  <c r="CV81" i="4"/>
  <c r="CV35" i="6"/>
  <c r="CV65" i="1"/>
  <c r="CU5" i="14" s="1"/>
  <c r="CZ26" i="2"/>
  <c r="CY65" i="2"/>
  <c r="CX6" i="14" s="1"/>
  <c r="CZ72" i="7"/>
  <c r="CY82" i="2"/>
  <c r="CZ20" i="4"/>
  <c r="CY7" i="13" s="1"/>
  <c r="CZ26" i="4"/>
  <c r="CZ27" i="4" s="1"/>
  <c r="CY19" i="6"/>
  <c r="CY20" i="6"/>
  <c r="CX8" i="13" s="1"/>
  <c r="CX20" i="5"/>
  <c r="CW9" i="13" s="1"/>
  <c r="CY85" i="5"/>
  <c r="CY87" i="5" s="1"/>
  <c r="CY88" i="5" s="1"/>
  <c r="CY63" i="5"/>
  <c r="CZ86" i="5"/>
  <c r="CZ87" i="5" s="1"/>
  <c r="CZ88" i="5" s="1"/>
  <c r="DB28" i="2"/>
  <c r="DC35" i="2"/>
  <c r="DC34" i="2"/>
  <c r="DA73" i="2"/>
  <c r="DA86" i="4"/>
  <c r="DC12" i="6"/>
  <c r="DB8" i="8" s="1"/>
  <c r="DB12" i="5"/>
  <c r="DA9" i="8" s="1"/>
  <c r="DC35" i="5"/>
  <c r="DC38" i="5"/>
  <c r="DC40" i="5" s="1"/>
  <c r="DB75" i="5"/>
  <c r="DA85" i="5"/>
  <c r="DE40" i="5"/>
  <c r="DD38" i="5"/>
  <c r="DD40" i="5" s="1"/>
  <c r="DD41" i="5" s="1"/>
  <c r="DF86" i="5"/>
  <c r="DF39" i="2"/>
  <c r="DF40" i="2" s="1"/>
  <c r="DF41" i="2" s="1"/>
  <c r="DI54" i="4"/>
  <c r="DI57" i="4"/>
  <c r="DI55" i="4"/>
  <c r="DH7" i="15" s="1"/>
  <c r="DG64" i="4"/>
  <c r="CY18" i="2"/>
  <c r="CY19" i="2" s="1"/>
  <c r="CX63" i="2"/>
  <c r="CX85" i="2"/>
  <c r="CX86" i="5"/>
  <c r="DC12" i="1"/>
  <c r="DB5" i="8" s="1"/>
  <c r="DB39" i="2"/>
  <c r="DC57" i="2"/>
  <c r="DB73" i="4"/>
  <c r="DA73" i="6"/>
  <c r="DA74" i="6" s="1"/>
  <c r="DC16" i="7"/>
  <c r="DC25" i="7"/>
  <c r="DA24" i="7"/>
  <c r="DA71" i="7"/>
  <c r="DE39" i="2"/>
  <c r="DE20" i="2"/>
  <c r="DD6" i="13" s="1"/>
  <c r="DD18" i="2"/>
  <c r="DD26" i="2"/>
  <c r="DD27" i="2" s="1"/>
  <c r="DF64" i="2"/>
  <c r="DD64" i="2"/>
  <c r="DD67" i="2"/>
  <c r="DE34" i="4"/>
  <c r="DE35" i="4"/>
  <c r="DE74" i="4"/>
  <c r="DE75" i="4"/>
  <c r="DF20" i="6"/>
  <c r="DE8" i="13" s="1"/>
  <c r="DF19" i="6"/>
  <c r="DH81" i="2"/>
  <c r="DH82" i="2"/>
  <c r="CZ39" i="2"/>
  <c r="CZ20" i="5"/>
  <c r="CY9" i="13" s="1"/>
  <c r="CZ38" i="5"/>
  <c r="CZ40" i="5" s="1"/>
  <c r="CZ63" i="5"/>
  <c r="CZ62" i="7"/>
  <c r="DC18" i="2"/>
  <c r="DC19" i="2" s="1"/>
  <c r="DA39" i="2"/>
  <c r="DC85" i="2"/>
  <c r="DC86" i="4"/>
  <c r="DA20" i="5"/>
  <c r="CZ9" i="13" s="1"/>
  <c r="DB18" i="5"/>
  <c r="DA38" i="5"/>
  <c r="DA40" i="5" s="1"/>
  <c r="DC54" i="5"/>
  <c r="DA57" i="5"/>
  <c r="DB16" i="7"/>
  <c r="DF20" i="5"/>
  <c r="DE9" i="13" s="1"/>
  <c r="DF38" i="5"/>
  <c r="DF40" i="5" s="1"/>
  <c r="DF41" i="5" s="1"/>
  <c r="DE86" i="5"/>
  <c r="DE16" i="7"/>
  <c r="DE38" i="2"/>
  <c r="DD86" i="2"/>
  <c r="DD87" i="2" s="1"/>
  <c r="DD88" i="2" s="1"/>
  <c r="DD73" i="2"/>
  <c r="DD19" i="4"/>
  <c r="DF73" i="4"/>
  <c r="DF74" i="4" s="1"/>
  <c r="DD82" i="4"/>
  <c r="DD81" i="4"/>
  <c r="DD35" i="6"/>
  <c r="DD34" i="6"/>
  <c r="DF67" i="6"/>
  <c r="DE81" i="6"/>
  <c r="DE82" i="6"/>
  <c r="DE55" i="1"/>
  <c r="DD5" i="15" s="1"/>
  <c r="DE17" i="7"/>
  <c r="DG20" i="2"/>
  <c r="DF6" i="13" s="1"/>
  <c r="DI35" i="2"/>
  <c r="DI34" i="2"/>
  <c r="CX28" i="2"/>
  <c r="CY54" i="2"/>
  <c r="CZ63" i="2"/>
  <c r="CZ75" i="2"/>
  <c r="CY27" i="1"/>
  <c r="CY11" i="4"/>
  <c r="CX65" i="4"/>
  <c r="CW7" i="14" s="1"/>
  <c r="CY73" i="6"/>
  <c r="DC63" i="2"/>
  <c r="DC65" i="2" s="1"/>
  <c r="DB6" i="14" s="1"/>
  <c r="DC57" i="4"/>
  <c r="DC67" i="4"/>
  <c r="DC55" i="4"/>
  <c r="DB7" i="15" s="1"/>
  <c r="DB11" i="6"/>
  <c r="DC20" i="6"/>
  <c r="DB8" i="13" s="1"/>
  <c r="DB63" i="5"/>
  <c r="DD63" i="5"/>
  <c r="DF73" i="5"/>
  <c r="DF74" i="5" s="1"/>
  <c r="DF16" i="7"/>
  <c r="DF18" i="2"/>
  <c r="DF19" i="2" s="1"/>
  <c r="DE57" i="2"/>
  <c r="DF65" i="2"/>
  <c r="DE6" i="14" s="1"/>
  <c r="DF86" i="2"/>
  <c r="DF75" i="2"/>
  <c r="DE82" i="2"/>
  <c r="DE39" i="4"/>
  <c r="DF40" i="4"/>
  <c r="DF55" i="4"/>
  <c r="DE7" i="15" s="1"/>
  <c r="DF54" i="4"/>
  <c r="DF57" i="4"/>
  <c r="DD65" i="4"/>
  <c r="DC7" i="14" s="1"/>
  <c r="DD86" i="4"/>
  <c r="DE20" i="4"/>
  <c r="DD7" i="13" s="1"/>
  <c r="DD38" i="4"/>
  <c r="DE63" i="4"/>
  <c r="DD40" i="6"/>
  <c r="DD41" i="6" s="1"/>
  <c r="DF65" i="6"/>
  <c r="DE8" i="14" s="1"/>
  <c r="DF85" i="6"/>
  <c r="DD62" i="7"/>
  <c r="DE71" i="7"/>
  <c r="DF72" i="7"/>
  <c r="DG18" i="5"/>
  <c r="DG19" i="5" s="1"/>
  <c r="DG39" i="5"/>
  <c r="DG40" i="5" s="1"/>
  <c r="DG41" i="5" s="1"/>
  <c r="DG20" i="5"/>
  <c r="DF9" i="13" s="1"/>
  <c r="DI65" i="5"/>
  <c r="DH9" i="14" s="1"/>
  <c r="DI64" i="5"/>
  <c r="DH38" i="4"/>
  <c r="DH18" i="4"/>
  <c r="DH19" i="4" s="1"/>
  <c r="DI39" i="4"/>
  <c r="DH11" i="1"/>
  <c r="DH12" i="1"/>
  <c r="DG5" i="8" s="1"/>
  <c r="DI16" i="7"/>
  <c r="DI38" i="1"/>
  <c r="DI40" i="1" s="1"/>
  <c r="DI41" i="1" s="1"/>
  <c r="DI18" i="1"/>
  <c r="DG57" i="1"/>
  <c r="DG55" i="1"/>
  <c r="DF5" i="15" s="1"/>
  <c r="DG54" i="1"/>
  <c r="DD20" i="4"/>
  <c r="DC7" i="13" s="1"/>
  <c r="DF28" i="4"/>
  <c r="DF63" i="4"/>
  <c r="DF38" i="6"/>
  <c r="DD57" i="6"/>
  <c r="DE65" i="6"/>
  <c r="DD8" i="14" s="1"/>
  <c r="DE85" i="6"/>
  <c r="DD85" i="1"/>
  <c r="DE86" i="1"/>
  <c r="DE24" i="7"/>
  <c r="CV40" i="1"/>
  <c r="CV41" i="1" s="1"/>
  <c r="CZ17" i="7"/>
  <c r="DI38" i="2"/>
  <c r="DI40" i="2" s="1"/>
  <c r="DI41" i="2" s="1"/>
  <c r="DI18" i="2"/>
  <c r="DI28" i="2"/>
  <c r="DI27" i="2"/>
  <c r="DG57" i="2"/>
  <c r="DG55" i="2"/>
  <c r="DF6" i="15" s="1"/>
  <c r="DG54" i="2"/>
  <c r="DH64" i="2"/>
  <c r="DH35" i="5"/>
  <c r="DG54" i="5"/>
  <c r="DG57" i="5"/>
  <c r="DH64" i="5"/>
  <c r="DH67" i="5"/>
  <c r="DG26" i="4"/>
  <c r="DG27" i="4" s="1"/>
  <c r="DI28" i="4"/>
  <c r="DI27" i="4"/>
  <c r="DE86" i="2"/>
  <c r="CZ16" i="7"/>
  <c r="DE57" i="1"/>
  <c r="DE61" i="7"/>
  <c r="DF62" i="7"/>
  <c r="DD72" i="7"/>
  <c r="DD16" i="7"/>
  <c r="DE25" i="7"/>
  <c r="DB72" i="7"/>
  <c r="DH12" i="2"/>
  <c r="DG6" i="8" s="1"/>
  <c r="DG85" i="2"/>
  <c r="DG87" i="2" s="1"/>
  <c r="DG63" i="2"/>
  <c r="DH65" i="2"/>
  <c r="DG6" i="14" s="1"/>
  <c r="DH86" i="2"/>
  <c r="DG73" i="2"/>
  <c r="DG74" i="2" s="1"/>
  <c r="DI75" i="2"/>
  <c r="DI74" i="2"/>
  <c r="DI40" i="5"/>
  <c r="DI41" i="5" s="1"/>
  <c r="DG55" i="5"/>
  <c r="DF9" i="15" s="1"/>
  <c r="DG85" i="5"/>
  <c r="DG63" i="5"/>
  <c r="DH86" i="5"/>
  <c r="DH65" i="5"/>
  <c r="DG9" i="14" s="1"/>
  <c r="DG73" i="5"/>
  <c r="DG74" i="5" s="1"/>
  <c r="CX16" i="7"/>
  <c r="DB67" i="1"/>
  <c r="CX17" i="7"/>
  <c r="DB17" i="7"/>
  <c r="DF17" i="7"/>
  <c r="CX24" i="7"/>
  <c r="DB24" i="7"/>
  <c r="DC63" i="1"/>
  <c r="DC64" i="1" s="1"/>
  <c r="DA62" i="7"/>
  <c r="CZ71" i="7"/>
  <c r="CU73" i="1"/>
  <c r="CU74" i="1" s="1"/>
  <c r="CY72" i="7"/>
  <c r="CY73" i="7" s="1"/>
  <c r="CY74" i="7" s="1"/>
  <c r="DC72" i="7"/>
  <c r="DC73" i="7" s="1"/>
  <c r="DC74" i="7" s="1"/>
  <c r="DI55" i="2"/>
  <c r="DH6" i="15" s="1"/>
  <c r="DI18" i="5"/>
  <c r="DI19" i="5" s="1"/>
  <c r="DH54" i="5"/>
  <c r="DI57" i="5"/>
  <c r="DH82" i="5"/>
  <c r="DI85" i="5"/>
  <c r="DI38" i="4"/>
  <c r="DI18" i="4"/>
  <c r="DH73" i="4"/>
  <c r="DH74" i="4" s="1"/>
  <c r="DG40" i="6"/>
  <c r="DG64" i="6"/>
  <c r="DG67" i="6"/>
  <c r="DG17" i="7"/>
  <c r="DG25" i="7"/>
  <c r="DH26" i="1"/>
  <c r="DH27" i="1" s="1"/>
  <c r="DG61" i="7"/>
  <c r="DG85" i="1"/>
  <c r="DG63" i="1"/>
  <c r="DH62" i="7"/>
  <c r="DH86" i="1"/>
  <c r="DG33" i="7"/>
  <c r="DI17" i="7"/>
  <c r="DI61" i="7"/>
  <c r="DH18" i="2"/>
  <c r="DH19" i="2" s="1"/>
  <c r="DH57" i="2"/>
  <c r="DH73" i="5"/>
  <c r="DI86" i="5"/>
  <c r="DI85" i="4"/>
  <c r="DI63" i="4"/>
  <c r="DH20" i="6"/>
  <c r="DG8" i="13" s="1"/>
  <c r="DG35" i="6"/>
  <c r="DG34" i="6"/>
  <c r="DH63" i="6"/>
  <c r="DH85" i="6"/>
  <c r="DI86" i="6"/>
  <c r="DI87" i="6" s="1"/>
  <c r="DI88" i="6" s="1"/>
  <c r="DH17" i="7"/>
  <c r="DG24" i="7"/>
  <c r="DG26" i="1"/>
  <c r="DH25" i="7"/>
  <c r="DH26" i="7" s="1"/>
  <c r="DG38" i="1"/>
  <c r="DH61" i="7"/>
  <c r="DG71" i="7"/>
  <c r="DH72" i="7"/>
  <c r="DH16" i="7"/>
  <c r="DG80" i="7"/>
  <c r="DG82" i="7" s="1"/>
  <c r="DD17" i="7"/>
  <c r="CZ24" i="7"/>
  <c r="CV25" i="7"/>
  <c r="DD25" i="7"/>
  <c r="CY62" i="7"/>
  <c r="CY63" i="7" s="1"/>
  <c r="CY64" i="7" s="1"/>
  <c r="DC62" i="7"/>
  <c r="CX71" i="7"/>
  <c r="DB85" i="1"/>
  <c r="DB87" i="1" s="1"/>
  <c r="CW73" i="1"/>
  <c r="DI63" i="2"/>
  <c r="DG38" i="4"/>
  <c r="DG40" i="4" s="1"/>
  <c r="DG41" i="4" s="1"/>
  <c r="DG18" i="4"/>
  <c r="DG19" i="4" s="1"/>
  <c r="DH39" i="4"/>
  <c r="DH39" i="6"/>
  <c r="DH40" i="6" s="1"/>
  <c r="DH41" i="6" s="1"/>
  <c r="DI63" i="6"/>
  <c r="DI65" i="6" s="1"/>
  <c r="DH8" i="14" s="1"/>
  <c r="DH71" i="7"/>
  <c r="DI72" i="7"/>
  <c r="DH82" i="1"/>
  <c r="DG72" i="7"/>
  <c r="DG57" i="4"/>
  <c r="DG86" i="4"/>
  <c r="DG39" i="1"/>
  <c r="DH73" i="1"/>
  <c r="DG16" i="7"/>
  <c r="DI62" i="7"/>
  <c r="DI53" i="7"/>
  <c r="DI55" i="7" s="1"/>
  <c r="DH12" i="15" s="1"/>
  <c r="DH63" i="4"/>
  <c r="DH65" i="4" s="1"/>
  <c r="DG7" i="14" s="1"/>
  <c r="DI75" i="4"/>
  <c r="DI20" i="6"/>
  <c r="DH8" i="13" s="1"/>
  <c r="DI38" i="6"/>
  <c r="DI40" i="6" s="1"/>
  <c r="DG57" i="6"/>
  <c r="DG85" i="6"/>
  <c r="DG87" i="6" s="1"/>
  <c r="DG88" i="6" s="1"/>
  <c r="DG20" i="1"/>
  <c r="DF5" i="13" s="1"/>
  <c r="DH18" i="1"/>
  <c r="DH19" i="1" s="1"/>
  <c r="DH57" i="1"/>
  <c r="DG73" i="1"/>
  <c r="DG74" i="1" s="1"/>
  <c r="DG86" i="1"/>
  <c r="DG65" i="6"/>
  <c r="DF8" i="14" s="1"/>
  <c r="DI26" i="1"/>
  <c r="DI27" i="1" s="1"/>
  <c r="DI63" i="1"/>
  <c r="DC10" i="7"/>
  <c r="DC11" i="7" s="1"/>
  <c r="DA10" i="7"/>
  <c r="DB10" i="7"/>
  <c r="DB11" i="7" s="1"/>
  <c r="DD33" i="7"/>
  <c r="DD34" i="7" s="1"/>
  <c r="DE35" i="5"/>
  <c r="CV57" i="1"/>
  <c r="CV18" i="1"/>
  <c r="CV19" i="1" s="1"/>
  <c r="CW85" i="1"/>
  <c r="CW87" i="1" s="1"/>
  <c r="CW89" i="1" s="1"/>
  <c r="CZ18" i="1"/>
  <c r="CZ67" i="1" s="1"/>
  <c r="CX18" i="1"/>
  <c r="CX67" i="1" s="1"/>
  <c r="CX35" i="1"/>
  <c r="CX38" i="1"/>
  <c r="CY57" i="1"/>
  <c r="CY73" i="1"/>
  <c r="CY74" i="1" s="1"/>
  <c r="CY86" i="1"/>
  <c r="CY86" i="7" s="1"/>
  <c r="CZ85" i="1"/>
  <c r="CZ87" i="1" s="1"/>
  <c r="CZ88" i="1" s="1"/>
  <c r="CX85" i="1"/>
  <c r="CX87" i="1" s="1"/>
  <c r="DA12" i="1"/>
  <c r="CZ5" i="8" s="1"/>
  <c r="DB39" i="1"/>
  <c r="DB57" i="1"/>
  <c r="DC73" i="1"/>
  <c r="DA86" i="1"/>
  <c r="DD12" i="1"/>
  <c r="DC5" i="8" s="1"/>
  <c r="DF18" i="1"/>
  <c r="DF19" i="1" s="1"/>
  <c r="DD18" i="1"/>
  <c r="DD19" i="1" s="1"/>
  <c r="DD28" i="1"/>
  <c r="DF39" i="1"/>
  <c r="DD73" i="1"/>
  <c r="DD74" i="1" s="1"/>
  <c r="DF73" i="1"/>
  <c r="DF74" i="1" s="1"/>
  <c r="DE33" i="7"/>
  <c r="DE34" i="7" s="1"/>
  <c r="DF10" i="7"/>
  <c r="DF11" i="7" s="1"/>
  <c r="DD10" i="7"/>
  <c r="DD11" i="7" s="1"/>
  <c r="DF80" i="7"/>
  <c r="DF81" i="7" s="1"/>
  <c r="DD80" i="7"/>
  <c r="DD81" i="7" s="1"/>
  <c r="DF53" i="7"/>
  <c r="DF55" i="7" s="1"/>
  <c r="DE12" i="15" s="1"/>
  <c r="DD53" i="7"/>
  <c r="DD54" i="7" s="1"/>
  <c r="CW57" i="1"/>
  <c r="CU57" i="1"/>
  <c r="CZ65" i="1"/>
  <c r="CY5" i="14" s="1"/>
  <c r="DB11" i="1"/>
  <c r="DC55" i="1"/>
  <c r="DB5" i="15" s="1"/>
  <c r="DA55" i="1"/>
  <c r="CZ5" i="15" s="1"/>
  <c r="DB54" i="1"/>
  <c r="DC57" i="1"/>
  <c r="DA57" i="1"/>
  <c r="DE11" i="1"/>
  <c r="DE63" i="1"/>
  <c r="DE64" i="1" s="1"/>
  <c r="DE73" i="1"/>
  <c r="DE74" i="1" s="1"/>
  <c r="DF86" i="1"/>
  <c r="DD86" i="1"/>
  <c r="DE85" i="1"/>
  <c r="DE72" i="7"/>
  <c r="DF71" i="7"/>
  <c r="DD71" i="7"/>
  <c r="DE62" i="7"/>
  <c r="DF61" i="7"/>
  <c r="DD61" i="7"/>
  <c r="CZ57" i="1"/>
  <c r="CX57" i="1"/>
  <c r="DB55" i="1"/>
  <c r="DA5" i="15" s="1"/>
  <c r="DF63" i="1"/>
  <c r="DF64" i="1" s="1"/>
  <c r="DD63" i="1"/>
  <c r="DD64" i="1" s="1"/>
  <c r="DF33" i="7"/>
  <c r="DF34" i="7" s="1"/>
  <c r="DE10" i="7"/>
  <c r="DE11" i="7" s="1"/>
  <c r="DE80" i="7"/>
  <c r="CZ53" i="7"/>
  <c r="CZ80" i="7"/>
  <c r="CZ81" i="7" s="1"/>
  <c r="DC53" i="7"/>
  <c r="DE53" i="7"/>
  <c r="CY80" i="7"/>
  <c r="CY81" i="7" s="1"/>
  <c r="CW82" i="1"/>
  <c r="CU86" i="1"/>
  <c r="CX80" i="7"/>
  <c r="CV82" i="1"/>
  <c r="CU82" i="1"/>
  <c r="DB73" i="1"/>
  <c r="DB74" i="1" s="1"/>
  <c r="CZ74" i="1"/>
  <c r="CX75" i="1"/>
  <c r="CY65" i="1"/>
  <c r="CX5" i="14" s="1"/>
  <c r="CX65" i="1"/>
  <c r="CW5" i="14" s="1"/>
  <c r="DB65" i="1"/>
  <c r="DA5" i="14" s="1"/>
  <c r="DA65" i="1"/>
  <c r="CZ5" i="14" s="1"/>
  <c r="DC35" i="1"/>
  <c r="DB35" i="1"/>
  <c r="DA35" i="1"/>
  <c r="DE26" i="1"/>
  <c r="DE27" i="1" s="1"/>
  <c r="DE39" i="1"/>
  <c r="CX28" i="1"/>
  <c r="DC28" i="1"/>
  <c r="DC40" i="1"/>
  <c r="DC41" i="1" s="1"/>
  <c r="DA27" i="1"/>
  <c r="DB20" i="1"/>
  <c r="DA5" i="13" s="1"/>
  <c r="DB19" i="1"/>
  <c r="CW20" i="1"/>
  <c r="CV5" i="13" s="1"/>
  <c r="DD40" i="1"/>
  <c r="DD41" i="1" s="1"/>
  <c r="DC20" i="1"/>
  <c r="DB5" i="13" s="1"/>
  <c r="DC19" i="1"/>
  <c r="DA40" i="1"/>
  <c r="DA41" i="1" s="1"/>
  <c r="CZ40" i="1"/>
  <c r="CZ41" i="1" s="1"/>
  <c r="CY67" i="1"/>
  <c r="CY20" i="1"/>
  <c r="CX5" i="13" s="1"/>
  <c r="CW19" i="1"/>
  <c r="CW40" i="1"/>
  <c r="CV20" i="1"/>
  <c r="CU5" i="13" s="1"/>
  <c r="CV67" i="1"/>
  <c r="CU20" i="1"/>
  <c r="CT5" i="13" s="1"/>
  <c r="CU19" i="1"/>
  <c r="CU40" i="1"/>
  <c r="CU41" i="1" s="1"/>
  <c r="DF57" i="1"/>
  <c r="DD57" i="1"/>
  <c r="CW82" i="6"/>
  <c r="CU82" i="6"/>
  <c r="CU80" i="7"/>
  <c r="CU81" i="7" s="1"/>
  <c r="CX75" i="6"/>
  <c r="DA65" i="6"/>
  <c r="CZ8" i="14" s="1"/>
  <c r="CZ63" i="6"/>
  <c r="CZ64" i="6" s="1"/>
  <c r="DA87" i="6"/>
  <c r="DA88" i="6" s="1"/>
  <c r="CY65" i="6"/>
  <c r="CX8" i="14" s="1"/>
  <c r="CX67" i="6"/>
  <c r="CX65" i="6"/>
  <c r="CW8" i="14" s="1"/>
  <c r="CU65" i="6"/>
  <c r="CT8" i="14" s="1"/>
  <c r="DE57" i="6"/>
  <c r="DB53" i="7"/>
  <c r="CY53" i="7"/>
  <c r="CY55" i="7" s="1"/>
  <c r="CX12" i="15" s="1"/>
  <c r="DA53" i="7"/>
  <c r="CY57" i="6"/>
  <c r="CX53" i="7"/>
  <c r="CW55" i="6"/>
  <c r="CV8" i="15" s="1"/>
  <c r="CU55" i="6"/>
  <c r="CT8" i="15" s="1"/>
  <c r="DC35" i="6"/>
  <c r="CY33" i="7"/>
  <c r="CY34" i="7" s="1"/>
  <c r="DB35" i="6"/>
  <c r="DA33" i="7"/>
  <c r="DA35" i="6"/>
  <c r="CZ33" i="7"/>
  <c r="CZ35" i="7" s="1"/>
  <c r="CY8" i="26" s="1"/>
  <c r="CX33" i="7"/>
  <c r="CX34" i="7" s="1"/>
  <c r="CW35" i="6"/>
  <c r="CU35" i="6"/>
  <c r="CU33" i="7"/>
  <c r="CU34" i="7" s="1"/>
  <c r="DC19" i="6"/>
  <c r="DB40" i="6"/>
  <c r="DB41" i="6" s="1"/>
  <c r="CY67" i="6"/>
  <c r="CY40" i="6"/>
  <c r="CY41" i="6" s="1"/>
  <c r="CW19" i="6"/>
  <c r="CV40" i="6"/>
  <c r="CV42" i="6" s="1"/>
  <c r="CU20" i="6"/>
  <c r="CT8" i="13" s="1"/>
  <c r="CU19" i="6"/>
  <c r="DA19" i="6"/>
  <c r="CZ18" i="6"/>
  <c r="CZ38" i="6"/>
  <c r="CZ40" i="6" s="1"/>
  <c r="CX20" i="6"/>
  <c r="CW8" i="13" s="1"/>
  <c r="CX19" i="6"/>
  <c r="CU40" i="6"/>
  <c r="DE11" i="6"/>
  <c r="DA57" i="6"/>
  <c r="CZ57" i="6"/>
  <c r="DC57" i="6"/>
  <c r="DC40" i="6"/>
  <c r="DC41" i="6" s="1"/>
  <c r="CX57" i="6"/>
  <c r="CW57" i="6"/>
  <c r="CW10" i="7"/>
  <c r="CU57" i="6"/>
  <c r="DB80" i="7"/>
  <c r="DB81" i="7" s="1"/>
  <c r="CW80" i="7"/>
  <c r="CW82" i="7" s="1"/>
  <c r="DC80" i="7"/>
  <c r="DC82" i="7" s="1"/>
  <c r="DA80" i="7"/>
  <c r="CV80" i="7"/>
  <c r="CV82" i="7" s="1"/>
  <c r="CX75" i="4"/>
  <c r="CW75" i="4"/>
  <c r="CU75" i="4"/>
  <c r="CV65" i="4"/>
  <c r="CU7" i="14" s="1"/>
  <c r="CU67" i="4"/>
  <c r="CU87" i="4"/>
  <c r="CU88" i="4" s="1"/>
  <c r="DB65" i="4"/>
  <c r="DA7" i="14" s="1"/>
  <c r="CY87" i="4"/>
  <c r="DE57" i="4"/>
  <c r="DB87" i="4"/>
  <c r="DB89" i="4" s="1"/>
  <c r="CW87" i="4"/>
  <c r="CW89" i="4" s="1"/>
  <c r="CV53" i="7"/>
  <c r="CV54" i="7" s="1"/>
  <c r="CW53" i="7"/>
  <c r="CW54" i="7" s="1"/>
  <c r="CU53" i="7"/>
  <c r="CU55" i="7" s="1"/>
  <c r="CT12" i="15" s="1"/>
  <c r="DC33" i="7"/>
  <c r="DC34" i="7" s="1"/>
  <c r="CW33" i="7"/>
  <c r="CW34" i="7" s="1"/>
  <c r="DB33" i="7"/>
  <c r="DB34" i="7" s="1"/>
  <c r="DB35" i="4"/>
  <c r="DA35" i="4"/>
  <c r="CW35" i="4"/>
  <c r="CV33" i="7"/>
  <c r="CV35" i="7" s="1"/>
  <c r="CU8" i="26" s="1"/>
  <c r="CU35" i="4"/>
  <c r="DC19" i="4"/>
  <c r="DB20" i="4"/>
  <c r="DA7" i="13" s="1"/>
  <c r="DA20" i="4"/>
  <c r="CZ7" i="13" s="1"/>
  <c r="DA19" i="4"/>
  <c r="CU20" i="4"/>
  <c r="CT7" i="13" s="1"/>
  <c r="CU19" i="4"/>
  <c r="DB67" i="4"/>
  <c r="CY20" i="4"/>
  <c r="CX7" i="13" s="1"/>
  <c r="CY67" i="4"/>
  <c r="CX20" i="4"/>
  <c r="CW7" i="13" s="1"/>
  <c r="CX19" i="4"/>
  <c r="CX40" i="4"/>
  <c r="CX41" i="4" s="1"/>
  <c r="CW18" i="4"/>
  <c r="CW38" i="4"/>
  <c r="CV18" i="4"/>
  <c r="DC12" i="4"/>
  <c r="DB7" i="8" s="1"/>
  <c r="DA12" i="4"/>
  <c r="CZ7" i="8" s="1"/>
  <c r="CY10" i="7"/>
  <c r="CY11" i="7" s="1"/>
  <c r="CX39" i="7"/>
  <c r="CW57" i="4"/>
  <c r="CU57" i="4"/>
  <c r="DB12" i="4"/>
  <c r="DA7" i="8" s="1"/>
  <c r="DB40" i="4"/>
  <c r="DB12" i="7"/>
  <c r="DA5" i="26" s="1"/>
  <c r="DA40" i="4"/>
  <c r="DA41" i="4" s="1"/>
  <c r="DA11" i="4"/>
  <c r="CZ40" i="4"/>
  <c r="CZ10" i="7"/>
  <c r="CZ57" i="4"/>
  <c r="CX57" i="4"/>
  <c r="CX10" i="7"/>
  <c r="CX11" i="7" s="1"/>
  <c r="CV10" i="7"/>
  <c r="CU40" i="4"/>
  <c r="CU42" i="4" s="1"/>
  <c r="DE63" i="2"/>
  <c r="DE67" i="2" s="1"/>
  <c r="DF57" i="2"/>
  <c r="DD57" i="2"/>
  <c r="CU10" i="7"/>
  <c r="CU11" i="7" s="1"/>
  <c r="CZ57" i="2"/>
  <c r="CW62" i="5"/>
  <c r="CW86" i="5" s="1"/>
  <c r="CV62" i="5"/>
  <c r="CU62" i="5"/>
  <c r="CW61" i="5"/>
  <c r="CW61" i="7" s="1"/>
  <c r="CV61" i="5"/>
  <c r="CV85" i="5" s="1"/>
  <c r="CU61" i="5"/>
  <c r="CU85" i="5" s="1"/>
  <c r="CU53" i="5"/>
  <c r="CU54" i="5" s="1"/>
  <c r="CV53" i="5"/>
  <c r="CV57" i="5" s="1"/>
  <c r="CW53" i="5"/>
  <c r="CW54" i="5" s="1"/>
  <c r="CU33" i="5"/>
  <c r="CV33" i="5"/>
  <c r="CV34" i="5" s="1"/>
  <c r="CW33" i="5"/>
  <c r="CW35" i="5" s="1"/>
  <c r="CU26" i="5"/>
  <c r="CU27" i="5" s="1"/>
  <c r="CV26" i="5"/>
  <c r="CV27" i="5" s="1"/>
  <c r="CW26" i="5"/>
  <c r="CW27" i="5" s="1"/>
  <c r="CW17" i="5"/>
  <c r="CW39" i="5" s="1"/>
  <c r="CV17" i="5"/>
  <c r="CV39" i="5" s="1"/>
  <c r="CU17" i="5"/>
  <c r="CW16" i="5"/>
  <c r="CW38" i="5" s="1"/>
  <c r="CV16" i="5"/>
  <c r="CV38" i="5" s="1"/>
  <c r="CU16" i="5"/>
  <c r="CU38" i="5" s="1"/>
  <c r="CU10" i="5"/>
  <c r="CU11" i="5" s="1"/>
  <c r="CV10" i="5"/>
  <c r="CV11" i="5" s="1"/>
  <c r="CW10" i="5"/>
  <c r="CW11" i="5" s="1"/>
  <c r="CR78" i="7"/>
  <c r="CS78" i="7"/>
  <c r="CT78" i="7"/>
  <c r="CR79" i="7"/>
  <c r="CS79" i="7"/>
  <c r="CT79" i="7"/>
  <c r="CR51" i="7"/>
  <c r="CS51" i="7"/>
  <c r="CT51" i="7"/>
  <c r="CR52" i="7"/>
  <c r="CS52" i="7"/>
  <c r="CT52" i="7"/>
  <c r="CR31" i="7"/>
  <c r="CS31" i="7"/>
  <c r="CT31" i="7"/>
  <c r="CR32" i="7"/>
  <c r="CS32" i="7"/>
  <c r="CT32" i="7"/>
  <c r="CR8" i="7"/>
  <c r="CS8" i="7"/>
  <c r="CT8" i="7"/>
  <c r="CR9" i="7"/>
  <c r="CS9" i="7"/>
  <c r="CT9" i="7"/>
  <c r="CR80" i="5"/>
  <c r="CR81" i="5" s="1"/>
  <c r="CS80" i="5"/>
  <c r="CS81" i="5" s="1"/>
  <c r="CT80" i="5"/>
  <c r="CT81" i="5" s="1"/>
  <c r="CT72" i="5"/>
  <c r="CS72" i="5"/>
  <c r="CR72" i="5"/>
  <c r="CT71" i="5"/>
  <c r="CS71" i="5"/>
  <c r="CR71" i="5"/>
  <c r="CT62" i="5"/>
  <c r="CS62" i="5"/>
  <c r="CR62" i="5"/>
  <c r="CT61" i="5"/>
  <c r="CS61" i="5"/>
  <c r="CR61" i="5"/>
  <c r="CR53" i="5"/>
  <c r="CR54" i="5" s="1"/>
  <c r="CS53" i="5"/>
  <c r="CS54" i="5" s="1"/>
  <c r="CT53" i="5"/>
  <c r="CT54" i="5" s="1"/>
  <c r="CR55" i="5"/>
  <c r="CQ9" i="15" s="1"/>
  <c r="CS55" i="5"/>
  <c r="CR9" i="15" s="1"/>
  <c r="CT55" i="5"/>
  <c r="CS9" i="15" s="1"/>
  <c r="CR33" i="5"/>
  <c r="CR34" i="5" s="1"/>
  <c r="CS33" i="5"/>
  <c r="CS34" i="5" s="1"/>
  <c r="CT33" i="5"/>
  <c r="CT34" i="5" s="1"/>
  <c r="CR26" i="5"/>
  <c r="CR27" i="5" s="1"/>
  <c r="CS26" i="5"/>
  <c r="CS27" i="5" s="1"/>
  <c r="CT26" i="5"/>
  <c r="CT27" i="5" s="1"/>
  <c r="CT17" i="5"/>
  <c r="CT39" i="5" s="1"/>
  <c r="CS17" i="5"/>
  <c r="CS39" i="5" s="1"/>
  <c r="CR17" i="5"/>
  <c r="CT16" i="5"/>
  <c r="CT38" i="5" s="1"/>
  <c r="CS16" i="5"/>
  <c r="CR16" i="5"/>
  <c r="CR38" i="5" s="1"/>
  <c r="CR10" i="5"/>
  <c r="CR11" i="5" s="1"/>
  <c r="CS10" i="5"/>
  <c r="CS11" i="5" s="1"/>
  <c r="CT10" i="5"/>
  <c r="CT11" i="5" s="1"/>
  <c r="CR12" i="5"/>
  <c r="CQ9" i="8" s="1"/>
  <c r="CT12" i="5"/>
  <c r="CS9" i="8" s="1"/>
  <c r="CR80" i="6"/>
  <c r="CR81" i="6" s="1"/>
  <c r="CS80" i="6"/>
  <c r="CS81" i="6" s="1"/>
  <c r="CT80" i="6"/>
  <c r="CT81" i="6" s="1"/>
  <c r="CT72" i="6"/>
  <c r="CS72" i="6"/>
  <c r="CR72" i="6"/>
  <c r="CT71" i="6"/>
  <c r="CS71" i="6"/>
  <c r="CR71" i="6"/>
  <c r="CT62" i="6"/>
  <c r="CS62" i="6"/>
  <c r="CR62" i="6"/>
  <c r="CT61" i="6"/>
  <c r="CT63" i="6" s="1"/>
  <c r="CS61" i="6"/>
  <c r="CR61" i="6"/>
  <c r="CR57" i="6"/>
  <c r="CR53" i="6"/>
  <c r="CR54" i="6" s="1"/>
  <c r="CS53" i="6"/>
  <c r="CT53" i="6"/>
  <c r="CT54" i="6" s="1"/>
  <c r="CR55" i="6"/>
  <c r="CQ8" i="15" s="1"/>
  <c r="CR33" i="6"/>
  <c r="CR34" i="6" s="1"/>
  <c r="CS33" i="6"/>
  <c r="CS34" i="6" s="1"/>
  <c r="CT33" i="6"/>
  <c r="CT34" i="6" s="1"/>
  <c r="CR26" i="6"/>
  <c r="CR27" i="6" s="1"/>
  <c r="CS26" i="6"/>
  <c r="CS27" i="6" s="1"/>
  <c r="CT26" i="6"/>
  <c r="CT27" i="6" s="1"/>
  <c r="CT17" i="6"/>
  <c r="CT39" i="6" s="1"/>
  <c r="CS17" i="6"/>
  <c r="CR17" i="6"/>
  <c r="CR39" i="6" s="1"/>
  <c r="CI17" i="6"/>
  <c r="CT16" i="6"/>
  <c r="CT38" i="6" s="1"/>
  <c r="CS16" i="6"/>
  <c r="CR16" i="6"/>
  <c r="CN16" i="6"/>
  <c r="CR10" i="6"/>
  <c r="CS10" i="6"/>
  <c r="CS12" i="6" s="1"/>
  <c r="CR8" i="8" s="1"/>
  <c r="CT10" i="6"/>
  <c r="CT57" i="6" s="1"/>
  <c r="CR80" i="4"/>
  <c r="CR81" i="4" s="1"/>
  <c r="CS80" i="4"/>
  <c r="CS81" i="4" s="1"/>
  <c r="CT80" i="4"/>
  <c r="CT81" i="4" s="1"/>
  <c r="CT72" i="4"/>
  <c r="CT73" i="4" s="1"/>
  <c r="CT74" i="4" s="1"/>
  <c r="CS72" i="4"/>
  <c r="CR72" i="4"/>
  <c r="CN72" i="4"/>
  <c r="CM72" i="4"/>
  <c r="CL72" i="4"/>
  <c r="CS63" i="4"/>
  <c r="CS64" i="4" s="1"/>
  <c r="CT62" i="4"/>
  <c r="CT86" i="4" s="1"/>
  <c r="CS62" i="4"/>
  <c r="CR62" i="4"/>
  <c r="CN62" i="4"/>
  <c r="CT61" i="4"/>
  <c r="CS61" i="4"/>
  <c r="CS85" i="4" s="1"/>
  <c r="CR61" i="4"/>
  <c r="CR63" i="4" s="1"/>
  <c r="CN61" i="4"/>
  <c r="CR53" i="4"/>
  <c r="CS53" i="4"/>
  <c r="CT53" i="4"/>
  <c r="CT54" i="4" s="1"/>
  <c r="CR33" i="4"/>
  <c r="CR35" i="4" s="1"/>
  <c r="CS33" i="4"/>
  <c r="CS34" i="4" s="1"/>
  <c r="CT33" i="4"/>
  <c r="CS26" i="4"/>
  <c r="CS27" i="4" s="1"/>
  <c r="CT25" i="4"/>
  <c r="CT26" i="4" s="1"/>
  <c r="CT27" i="4" s="1"/>
  <c r="CS25" i="4"/>
  <c r="CR25" i="4"/>
  <c r="CR26" i="4" s="1"/>
  <c r="CR27" i="4" s="1"/>
  <c r="CN25" i="4"/>
  <c r="CL25" i="4"/>
  <c r="CK25" i="4"/>
  <c r="CI25" i="4"/>
  <c r="CS18" i="4"/>
  <c r="CS19" i="4" s="1"/>
  <c r="CT17" i="4"/>
  <c r="CT39" i="4" s="1"/>
  <c r="CS17" i="4"/>
  <c r="CR17" i="4"/>
  <c r="CN17" i="4"/>
  <c r="CK17" i="4"/>
  <c r="CT16" i="4"/>
  <c r="CS16" i="4"/>
  <c r="CS38" i="4" s="1"/>
  <c r="CR16" i="4"/>
  <c r="CR38" i="4" s="1"/>
  <c r="CN16" i="4"/>
  <c r="CR10" i="4"/>
  <c r="CR11" i="4" s="1"/>
  <c r="CS10" i="4"/>
  <c r="CS12" i="4" s="1"/>
  <c r="CR7" i="8" s="1"/>
  <c r="CT10" i="4"/>
  <c r="CT11" i="4" s="1"/>
  <c r="CR80" i="2"/>
  <c r="CR81" i="2" s="1"/>
  <c r="CS80" i="2"/>
  <c r="CS82" i="2" s="1"/>
  <c r="CT80" i="2"/>
  <c r="CT81" i="2" s="1"/>
  <c r="CT72" i="2"/>
  <c r="CS72" i="2"/>
  <c r="CR72" i="2"/>
  <c r="CT71" i="2"/>
  <c r="CS71" i="2"/>
  <c r="CR71" i="2"/>
  <c r="CT62" i="2"/>
  <c r="CS62" i="2"/>
  <c r="CR62" i="2"/>
  <c r="CR86" i="2" s="1"/>
  <c r="CT61" i="2"/>
  <c r="CT63" i="2" s="1"/>
  <c r="CT64" i="2" s="1"/>
  <c r="CS61" i="2"/>
  <c r="CR61" i="2"/>
  <c r="CR85" i="2" s="1"/>
  <c r="CR53" i="2"/>
  <c r="CR54" i="2" s="1"/>
  <c r="CS53" i="2"/>
  <c r="CS54" i="2" s="1"/>
  <c r="CT53" i="2"/>
  <c r="CR33" i="2"/>
  <c r="CR35" i="2" s="1"/>
  <c r="CS33" i="2"/>
  <c r="CS35" i="2" s="1"/>
  <c r="CT33" i="2"/>
  <c r="CT34" i="2" s="1"/>
  <c r="CL32" i="2"/>
  <c r="CT25" i="2"/>
  <c r="CS25" i="2"/>
  <c r="CR25" i="2"/>
  <c r="CL25" i="2"/>
  <c r="CT24" i="2"/>
  <c r="CT26" i="2" s="1"/>
  <c r="CT27" i="2" s="1"/>
  <c r="CS24" i="2"/>
  <c r="CS26" i="2" s="1"/>
  <c r="CS27" i="2" s="1"/>
  <c r="CR24" i="2"/>
  <c r="CT17" i="2"/>
  <c r="CS17" i="2"/>
  <c r="CR17" i="2"/>
  <c r="CL17" i="2"/>
  <c r="CT16" i="2"/>
  <c r="CT18" i="2" s="1"/>
  <c r="CT19" i="2" s="1"/>
  <c r="CS16" i="2"/>
  <c r="CS38" i="2" s="1"/>
  <c r="CR16" i="2"/>
  <c r="CM17" i="2"/>
  <c r="CM16" i="2"/>
  <c r="CR12" i="2"/>
  <c r="CQ6" i="8" s="1"/>
  <c r="CR10" i="2"/>
  <c r="CR11" i="2" s="1"/>
  <c r="CS10" i="2"/>
  <c r="CS12" i="2" s="1"/>
  <c r="CR6" i="8" s="1"/>
  <c r="CT10" i="2"/>
  <c r="CT11" i="2" s="1"/>
  <c r="CR80" i="1"/>
  <c r="CR81" i="1" s="1"/>
  <c r="CS80" i="1"/>
  <c r="CS82" i="1" s="1"/>
  <c r="CT80" i="1"/>
  <c r="CT81" i="1" s="1"/>
  <c r="CT72" i="1"/>
  <c r="CS72" i="1"/>
  <c r="CR72" i="1"/>
  <c r="CT71" i="1"/>
  <c r="CS71" i="1"/>
  <c r="CR71" i="1"/>
  <c r="CT62" i="1"/>
  <c r="CS62" i="1"/>
  <c r="CR62" i="1"/>
  <c r="CT61" i="1"/>
  <c r="CS61" i="1"/>
  <c r="CR61" i="1"/>
  <c r="CR53" i="1"/>
  <c r="CS53" i="1"/>
  <c r="CS54" i="1" s="1"/>
  <c r="CT53" i="1"/>
  <c r="CQ10" i="1"/>
  <c r="CQ11" i="1" s="1"/>
  <c r="CR33" i="1"/>
  <c r="CR35" i="1" s="1"/>
  <c r="CS33" i="1"/>
  <c r="CS34" i="1" s="1"/>
  <c r="CT33" i="1"/>
  <c r="CT35" i="1" s="1"/>
  <c r="CT25" i="1"/>
  <c r="CS25" i="1"/>
  <c r="CR25" i="1"/>
  <c r="CT24" i="1"/>
  <c r="CT38" i="1" s="1"/>
  <c r="CS24" i="1"/>
  <c r="CR24" i="1"/>
  <c r="CS17" i="1"/>
  <c r="CR17" i="1"/>
  <c r="CS16" i="1"/>
  <c r="CR16" i="1"/>
  <c r="CS10" i="1"/>
  <c r="CS11" i="1" s="1"/>
  <c r="CR10" i="1"/>
  <c r="CR11" i="1" s="1"/>
  <c r="CO8" i="7"/>
  <c r="CP8" i="7"/>
  <c r="CQ8" i="7"/>
  <c r="CO80" i="1"/>
  <c r="CO81" i="1" s="1"/>
  <c r="CP80" i="1"/>
  <c r="CP82" i="1" s="1"/>
  <c r="CQ80" i="1"/>
  <c r="CQ81" i="1" s="1"/>
  <c r="CQ72" i="1"/>
  <c r="CP72" i="1"/>
  <c r="CO72" i="1"/>
  <c r="CQ71" i="1"/>
  <c r="CP71" i="1"/>
  <c r="CO71" i="1"/>
  <c r="CO85" i="1" s="1"/>
  <c r="CQ62" i="1"/>
  <c r="CP62" i="1"/>
  <c r="CO62" i="1"/>
  <c r="CQ61" i="1"/>
  <c r="CQ85" i="1" s="1"/>
  <c r="CP61" i="1"/>
  <c r="CO61" i="1"/>
  <c r="CO53" i="1"/>
  <c r="CO54" i="1" s="1"/>
  <c r="CP53" i="1"/>
  <c r="CQ53" i="1"/>
  <c r="CQ54" i="1" s="1"/>
  <c r="CO33" i="1"/>
  <c r="CO34" i="1" s="1"/>
  <c r="CP33" i="1"/>
  <c r="CP35" i="1" s="1"/>
  <c r="CQ33" i="1"/>
  <c r="CQ34" i="1" s="1"/>
  <c r="CQ25" i="1"/>
  <c r="CP25" i="1"/>
  <c r="CO25" i="1"/>
  <c r="CQ24" i="1"/>
  <c r="CP24" i="1"/>
  <c r="CO24" i="1"/>
  <c r="CQ17" i="1"/>
  <c r="CP17" i="1"/>
  <c r="CO17" i="1"/>
  <c r="CQ16" i="1"/>
  <c r="CP16" i="1"/>
  <c r="CO16" i="1"/>
  <c r="CO10" i="1"/>
  <c r="CO12" i="1" s="1"/>
  <c r="CN5" i="8" s="1"/>
  <c r="CP10" i="1"/>
  <c r="CP12" i="1" s="1"/>
  <c r="CO5" i="8" s="1"/>
  <c r="CO80" i="6"/>
  <c r="CO81" i="6" s="1"/>
  <c r="CP80" i="6"/>
  <c r="CP81" i="6" s="1"/>
  <c r="CQ80" i="6"/>
  <c r="CQ72" i="6"/>
  <c r="CP72" i="6"/>
  <c r="CO72" i="6"/>
  <c r="CQ71" i="6"/>
  <c r="CP71" i="6"/>
  <c r="CO71" i="6"/>
  <c r="CQ62" i="6"/>
  <c r="CP62" i="6"/>
  <c r="CO62" i="6"/>
  <c r="CQ61" i="6"/>
  <c r="CQ85" i="6" s="1"/>
  <c r="CP61" i="6"/>
  <c r="CO61" i="6"/>
  <c r="CO53" i="6"/>
  <c r="CP53" i="6"/>
  <c r="CP54" i="6" s="1"/>
  <c r="CQ53" i="6"/>
  <c r="CQ55" i="6" s="1"/>
  <c r="CP8" i="15" s="1"/>
  <c r="CO38" i="6"/>
  <c r="CO33" i="6"/>
  <c r="CP33" i="6"/>
  <c r="CP34" i="6" s="1"/>
  <c r="CQ33" i="6"/>
  <c r="CQ34" i="6" s="1"/>
  <c r="CO26" i="6"/>
  <c r="CP26" i="6"/>
  <c r="CP27" i="6" s="1"/>
  <c r="CQ26" i="6"/>
  <c r="CQ27" i="6" s="1"/>
  <c r="CQ17" i="6"/>
  <c r="CP17" i="6"/>
  <c r="CP39" i="6" s="1"/>
  <c r="CO17" i="6"/>
  <c r="CO39" i="6" s="1"/>
  <c r="CQ16" i="6"/>
  <c r="CQ38" i="6" s="1"/>
  <c r="CP16" i="6"/>
  <c r="CO16" i="6"/>
  <c r="CO10" i="6"/>
  <c r="CO11" i="6" s="1"/>
  <c r="CP10" i="6"/>
  <c r="CP11" i="6" s="1"/>
  <c r="CQ10" i="6"/>
  <c r="CO80" i="4"/>
  <c r="CO81" i="4" s="1"/>
  <c r="CP80" i="4"/>
  <c r="CP81" i="4" s="1"/>
  <c r="CQ80" i="4"/>
  <c r="CQ72" i="4"/>
  <c r="CQ73" i="4" s="1"/>
  <c r="CQ74" i="4" s="1"/>
  <c r="CP72" i="4"/>
  <c r="CO72" i="4"/>
  <c r="CQ62" i="4"/>
  <c r="CP62" i="4"/>
  <c r="CO62" i="4"/>
  <c r="CQ61" i="4"/>
  <c r="CP61" i="4"/>
  <c r="CO61" i="4"/>
  <c r="CO85" i="4" s="1"/>
  <c r="CO53" i="4"/>
  <c r="CO54" i="4" s="1"/>
  <c r="CP53" i="4"/>
  <c r="CP54" i="4" s="1"/>
  <c r="CQ53" i="4"/>
  <c r="CQ54" i="4" s="1"/>
  <c r="CQ55" i="4"/>
  <c r="CP7" i="15" s="1"/>
  <c r="CO33" i="4"/>
  <c r="CO34" i="4" s="1"/>
  <c r="CP33" i="4"/>
  <c r="CP34" i="4" s="1"/>
  <c r="CQ33" i="4"/>
  <c r="CQ34" i="4" s="1"/>
  <c r="CQ25" i="4"/>
  <c r="CQ26" i="4" s="1"/>
  <c r="CP25" i="4"/>
  <c r="CP26" i="4" s="1"/>
  <c r="CP27" i="4" s="1"/>
  <c r="CO25" i="4"/>
  <c r="CO26" i="4" s="1"/>
  <c r="CQ17" i="4"/>
  <c r="CP17" i="4"/>
  <c r="CP39" i="4" s="1"/>
  <c r="CO17" i="4"/>
  <c r="CQ16" i="4"/>
  <c r="CQ38" i="4" s="1"/>
  <c r="CP16" i="4"/>
  <c r="CO16" i="4"/>
  <c r="CO38" i="4" s="1"/>
  <c r="CO10" i="4"/>
  <c r="CO11" i="4" s="1"/>
  <c r="CP10" i="4"/>
  <c r="CP57" i="4" s="1"/>
  <c r="CQ10" i="4"/>
  <c r="CP85" i="5"/>
  <c r="CO80" i="5"/>
  <c r="CO81" i="5" s="1"/>
  <c r="CP80" i="5"/>
  <c r="CP81" i="5" s="1"/>
  <c r="CQ80" i="5"/>
  <c r="CQ81" i="5" s="1"/>
  <c r="CQ72" i="5"/>
  <c r="CP72" i="5"/>
  <c r="CO72" i="5"/>
  <c r="CQ71" i="5"/>
  <c r="CP71" i="5"/>
  <c r="CO71" i="5"/>
  <c r="CQ62" i="5"/>
  <c r="CQ86" i="5" s="1"/>
  <c r="CP62" i="5"/>
  <c r="CO62" i="5"/>
  <c r="CQ61" i="5"/>
  <c r="CP61" i="5"/>
  <c r="CO61" i="5"/>
  <c r="CO53" i="5"/>
  <c r="CP53" i="5"/>
  <c r="CQ53" i="5"/>
  <c r="CO38" i="5"/>
  <c r="CO33" i="5"/>
  <c r="CO34" i="5" s="1"/>
  <c r="CP33" i="5"/>
  <c r="CQ33" i="5"/>
  <c r="CO26" i="5"/>
  <c r="CO27" i="5" s="1"/>
  <c r="CP26" i="5"/>
  <c r="CP27" i="5" s="1"/>
  <c r="CQ26" i="5"/>
  <c r="CQ28" i="5" s="1"/>
  <c r="CQ17" i="5"/>
  <c r="CQ39" i="5" s="1"/>
  <c r="CP17" i="5"/>
  <c r="CP39" i="5" s="1"/>
  <c r="CO17" i="5"/>
  <c r="CO39" i="5" s="1"/>
  <c r="CQ16" i="5"/>
  <c r="CQ38" i="5" s="1"/>
  <c r="CP16" i="5"/>
  <c r="CP38" i="5" s="1"/>
  <c r="CO16" i="5"/>
  <c r="CO10" i="5"/>
  <c r="CO11" i="5" s="1"/>
  <c r="CP10" i="5"/>
  <c r="CP11" i="5" s="1"/>
  <c r="CQ10" i="5"/>
  <c r="CQ62" i="2"/>
  <c r="CO80" i="2"/>
  <c r="CO82" i="2" s="1"/>
  <c r="CP80" i="2"/>
  <c r="CP81" i="2" s="1"/>
  <c r="CQ80" i="2"/>
  <c r="CQ82" i="2" s="1"/>
  <c r="CQ72" i="2"/>
  <c r="CP72" i="2"/>
  <c r="CO72" i="2"/>
  <c r="CQ71" i="2"/>
  <c r="CP71" i="2"/>
  <c r="CO71" i="2"/>
  <c r="CP62" i="2"/>
  <c r="CO62" i="2"/>
  <c r="CQ61" i="2"/>
  <c r="CP61" i="2"/>
  <c r="CO61" i="2"/>
  <c r="CO85" i="2" s="1"/>
  <c r="CP55" i="2"/>
  <c r="CO6" i="15" s="1"/>
  <c r="CP54" i="2"/>
  <c r="CO53" i="2"/>
  <c r="CO54" i="2" s="1"/>
  <c r="CP53" i="2"/>
  <c r="CQ53" i="2"/>
  <c r="CQ54" i="2" s="1"/>
  <c r="CO33" i="2"/>
  <c r="CO34" i="2" s="1"/>
  <c r="CP33" i="2"/>
  <c r="CP34" i="2" s="1"/>
  <c r="CQ33" i="2"/>
  <c r="CQ34" i="2" s="1"/>
  <c r="CQ25" i="2"/>
  <c r="CP25" i="2"/>
  <c r="CO25" i="2"/>
  <c r="CQ24" i="2"/>
  <c r="CP24" i="2"/>
  <c r="CO24" i="2"/>
  <c r="CQ17" i="2"/>
  <c r="CP17" i="2"/>
  <c r="CO17" i="2"/>
  <c r="CQ16" i="2"/>
  <c r="CP16" i="2"/>
  <c r="CO16" i="2"/>
  <c r="CO38" i="2" s="1"/>
  <c r="CO10" i="2"/>
  <c r="CO12" i="2" s="1"/>
  <c r="CN6" i="8" s="1"/>
  <c r="CP10" i="2"/>
  <c r="CP11" i="2" s="1"/>
  <c r="CQ10" i="2"/>
  <c r="CQ12" i="2" s="1"/>
  <c r="CP6" i="8" s="1"/>
  <c r="CN72" i="1"/>
  <c r="CM72" i="1"/>
  <c r="CL72" i="1"/>
  <c r="CL86" i="1" s="1"/>
  <c r="CN71" i="1"/>
  <c r="CM71" i="1"/>
  <c r="CL71" i="1"/>
  <c r="CN62" i="1"/>
  <c r="CM62" i="1"/>
  <c r="CL62" i="1"/>
  <c r="CN61" i="1"/>
  <c r="CL61" i="1"/>
  <c r="CM61" i="1"/>
  <c r="CN25" i="1"/>
  <c r="CM25" i="1"/>
  <c r="CL25" i="1"/>
  <c r="CN24" i="1"/>
  <c r="CM24" i="1"/>
  <c r="CM38" i="1" s="1"/>
  <c r="CL24" i="1"/>
  <c r="CL26" i="1" s="1"/>
  <c r="CL27" i="1" s="1"/>
  <c r="CN17" i="1"/>
  <c r="CM17" i="1"/>
  <c r="CL17" i="1"/>
  <c r="CL39" i="1" s="1"/>
  <c r="CN16" i="1"/>
  <c r="CM16" i="1"/>
  <c r="CL16" i="1"/>
  <c r="CL80" i="1"/>
  <c r="CL81" i="1" s="1"/>
  <c r="CM80" i="1"/>
  <c r="CM81" i="1" s="1"/>
  <c r="CN80" i="1"/>
  <c r="CN81" i="1" s="1"/>
  <c r="CL53" i="1"/>
  <c r="CL54" i="1" s="1"/>
  <c r="CM53" i="1"/>
  <c r="CM54" i="1" s="1"/>
  <c r="CN53" i="1"/>
  <c r="CN54" i="1"/>
  <c r="CL55" i="1"/>
  <c r="CK5" i="15" s="1"/>
  <c r="CN55" i="1"/>
  <c r="CM5" i="15" s="1"/>
  <c r="CL33" i="1"/>
  <c r="CL34" i="1" s="1"/>
  <c r="CM33" i="1"/>
  <c r="CN33" i="1"/>
  <c r="CN34" i="1" s="1"/>
  <c r="CL10" i="1"/>
  <c r="CL12" i="1" s="1"/>
  <c r="CK5" i="8" s="1"/>
  <c r="CM10" i="1"/>
  <c r="CM11" i="1" s="1"/>
  <c r="CN10" i="1"/>
  <c r="CN57" i="1" s="1"/>
  <c r="DH40" i="1" l="1"/>
  <c r="DH41" i="1" s="1"/>
  <c r="DI87" i="1"/>
  <c r="CX87" i="6"/>
  <c r="CX88" i="6" s="1"/>
  <c r="DD40" i="4"/>
  <c r="CY87" i="2"/>
  <c r="DB27" i="1"/>
  <c r="DB65" i="2"/>
  <c r="DA6" i="14" s="1"/>
  <c r="CL63" i="1"/>
  <c r="CL64" i="1" s="1"/>
  <c r="DA75" i="1"/>
  <c r="CV16" i="7"/>
  <c r="CO86" i="6"/>
  <c r="CT18" i="4"/>
  <c r="CT19" i="4" s="1"/>
  <c r="CV65" i="6"/>
  <c r="CU8" i="14" s="1"/>
  <c r="CT25" i="7"/>
  <c r="CQ63" i="2"/>
  <c r="CQ64" i="2" s="1"/>
  <c r="CQ73" i="5"/>
  <c r="CP55" i="4"/>
  <c r="CO7" i="15" s="1"/>
  <c r="CP55" i="6"/>
  <c r="CO8" i="15" s="1"/>
  <c r="CR86" i="1"/>
  <c r="CW28" i="1"/>
  <c r="DC65" i="5"/>
  <c r="DB9" i="14" s="1"/>
  <c r="CX67" i="4"/>
  <c r="CN18" i="1"/>
  <c r="CM26" i="1"/>
  <c r="CM27" i="1" s="1"/>
  <c r="CL85" i="1"/>
  <c r="CL87" i="1" s="1"/>
  <c r="CL88" i="1" s="1"/>
  <c r="CS18" i="2"/>
  <c r="CS19" i="2" s="1"/>
  <c r="CS55" i="2"/>
  <c r="CR6" i="15" s="1"/>
  <c r="CW55" i="5"/>
  <c r="CV9" i="15" s="1"/>
  <c r="CV20" i="6"/>
  <c r="CU8" i="13" s="1"/>
  <c r="CN39" i="1"/>
  <c r="CP63" i="2"/>
  <c r="CO73" i="6"/>
  <c r="CO74" i="6" s="1"/>
  <c r="CR18" i="2"/>
  <c r="CR19" i="2" s="1"/>
  <c r="CR26" i="2"/>
  <c r="CR27" i="2" s="1"/>
  <c r="CV55" i="5"/>
  <c r="CU9" i="15" s="1"/>
  <c r="CM63" i="1"/>
  <c r="CM64" i="1" s="1"/>
  <c r="CO18" i="6"/>
  <c r="CO19" i="6" s="1"/>
  <c r="CS18" i="6"/>
  <c r="CS19" i="6" s="1"/>
  <c r="CR73" i="6"/>
  <c r="CR74" i="6" s="1"/>
  <c r="CU55" i="5"/>
  <c r="CT9" i="15" s="1"/>
  <c r="DA87" i="1"/>
  <c r="DA88" i="1" s="1"/>
  <c r="DC26" i="7"/>
  <c r="DC27" i="7" s="1"/>
  <c r="DB74" i="6"/>
  <c r="DA67" i="1"/>
  <c r="CW67" i="1"/>
  <c r="DH20" i="1"/>
  <c r="DG5" i="13" s="1"/>
  <c r="CU67" i="1"/>
  <c r="DA20" i="1"/>
  <c r="CZ5" i="13" s="1"/>
  <c r="CX19" i="1"/>
  <c r="CU65" i="1"/>
  <c r="CT5" i="14" s="1"/>
  <c r="CX63" i="7"/>
  <c r="CX64" i="7" s="1"/>
  <c r="DC87" i="1"/>
  <c r="DD87" i="4"/>
  <c r="DD88" i="4" s="1"/>
  <c r="DC87" i="4"/>
  <c r="DC88" i="4" s="1"/>
  <c r="CU28" i="4"/>
  <c r="CV73" i="7"/>
  <c r="CV75" i="7" s="1"/>
  <c r="CU6" i="24" s="1"/>
  <c r="DA65" i="4"/>
  <c r="CZ7" i="14" s="1"/>
  <c r="CR12" i="4"/>
  <c r="CQ7" i="8" s="1"/>
  <c r="CR57" i="4"/>
  <c r="CS65" i="4"/>
  <c r="CR7" i="14" s="1"/>
  <c r="DB55" i="4"/>
  <c r="DA7" i="15" s="1"/>
  <c r="DF20" i="4"/>
  <c r="DE7" i="13" s="1"/>
  <c r="CO55" i="4"/>
  <c r="CN7" i="15" s="1"/>
  <c r="CR86" i="4"/>
  <c r="DA67" i="4"/>
  <c r="CR55" i="4"/>
  <c r="CQ7" i="15" s="1"/>
  <c r="DB57" i="4"/>
  <c r="DE75" i="6"/>
  <c r="DE67" i="1"/>
  <c r="CN38" i="1"/>
  <c r="CN40" i="1" s="1"/>
  <c r="CN41" i="1" s="1"/>
  <c r="CN26" i="1"/>
  <c r="CN27" i="1" s="1"/>
  <c r="CQ38" i="1"/>
  <c r="CP86" i="1"/>
  <c r="DH64" i="1"/>
  <c r="CS38" i="1"/>
  <c r="CT39" i="1"/>
  <c r="CT40" i="1" s="1"/>
  <c r="CT85" i="1"/>
  <c r="CU26" i="7"/>
  <c r="CU27" i="7" s="1"/>
  <c r="DF75" i="6"/>
  <c r="CU85" i="7"/>
  <c r="DC89" i="5"/>
  <c r="DH87" i="6"/>
  <c r="DH88" i="6" s="1"/>
  <c r="DG75" i="6"/>
  <c r="DC85" i="7"/>
  <c r="CU73" i="7"/>
  <c r="CU74" i="7" s="1"/>
  <c r="CU57" i="7"/>
  <c r="CP85" i="6"/>
  <c r="CT55" i="6"/>
  <c r="CS8" i="15" s="1"/>
  <c r="CS85" i="6"/>
  <c r="DI73" i="7"/>
  <c r="DI74" i="7" s="1"/>
  <c r="DE87" i="6"/>
  <c r="DE88" i="6" s="1"/>
  <c r="CW75" i="6"/>
  <c r="CZ87" i="6"/>
  <c r="CZ88" i="6" s="1"/>
  <c r="CQ73" i="6"/>
  <c r="CQ74" i="6" s="1"/>
  <c r="CT73" i="6"/>
  <c r="CT74" i="6" s="1"/>
  <c r="CP12" i="6"/>
  <c r="CO8" i="8" s="1"/>
  <c r="CP73" i="6"/>
  <c r="CP74" i="6" s="1"/>
  <c r="CS73" i="6"/>
  <c r="CS74" i="6" s="1"/>
  <c r="DE67" i="6"/>
  <c r="DH75" i="6"/>
  <c r="DB65" i="6"/>
  <c r="DA8" i="14" s="1"/>
  <c r="CY75" i="1"/>
  <c r="CZ89" i="5"/>
  <c r="DD75" i="6"/>
  <c r="CV75" i="5"/>
  <c r="CR28" i="5"/>
  <c r="CO40" i="5"/>
  <c r="CO41" i="5" s="1"/>
  <c r="DG42" i="5"/>
  <c r="DE87" i="2"/>
  <c r="DE88" i="2" s="1"/>
  <c r="CW87" i="2"/>
  <c r="CW88" i="2" s="1"/>
  <c r="CR82" i="2"/>
  <c r="DD75" i="1"/>
  <c r="CU75" i="1"/>
  <c r="DF75" i="1"/>
  <c r="DI74" i="1"/>
  <c r="CX42" i="2"/>
  <c r="CV42" i="1"/>
  <c r="CS82" i="5"/>
  <c r="DH87" i="5"/>
  <c r="DH88" i="5" s="1"/>
  <c r="DI42" i="5"/>
  <c r="DB87" i="6"/>
  <c r="DB88" i="6" s="1"/>
  <c r="CR28" i="6"/>
  <c r="DC86" i="7"/>
  <c r="DG87" i="4"/>
  <c r="DG88" i="4" s="1"/>
  <c r="CO35" i="4"/>
  <c r="DE28" i="4"/>
  <c r="CS35" i="4"/>
  <c r="CU89" i="2"/>
  <c r="DD89" i="2"/>
  <c r="CV40" i="2"/>
  <c r="CV41" i="2" s="1"/>
  <c r="CY18" i="7"/>
  <c r="CY20" i="7" s="1"/>
  <c r="CX6" i="26" s="1"/>
  <c r="CO82" i="5"/>
  <c r="CR82" i="5"/>
  <c r="CY85" i="7"/>
  <c r="CY87" i="7" s="1"/>
  <c r="CY88" i="7" s="1"/>
  <c r="DE75" i="5"/>
  <c r="CX87" i="5"/>
  <c r="CX88" i="5" s="1"/>
  <c r="DA75" i="5"/>
  <c r="DI87" i="5"/>
  <c r="DI88" i="5" s="1"/>
  <c r="CT28" i="5"/>
  <c r="DC38" i="7"/>
  <c r="CP40" i="5"/>
  <c r="CP41" i="5" s="1"/>
  <c r="CO82" i="6"/>
  <c r="CQ28" i="6"/>
  <c r="CT28" i="6"/>
  <c r="CV41" i="6"/>
  <c r="DA40" i="6"/>
  <c r="DA41" i="6" s="1"/>
  <c r="DG75" i="2"/>
  <c r="CW28" i="2"/>
  <c r="DD42" i="2"/>
  <c r="DI88" i="1"/>
  <c r="DI89" i="1"/>
  <c r="DI85" i="7"/>
  <c r="DC42" i="1"/>
  <c r="CW88" i="4"/>
  <c r="CT82" i="4"/>
  <c r="DA87" i="4"/>
  <c r="DA88" i="4" s="1"/>
  <c r="CP82" i="4"/>
  <c r="CQ35" i="4"/>
  <c r="DC39" i="7"/>
  <c r="DE39" i="7"/>
  <c r="DC28" i="4"/>
  <c r="CP35" i="2"/>
  <c r="DC40" i="2"/>
  <c r="DC41" i="2" s="1"/>
  <c r="CU38" i="7"/>
  <c r="CY42" i="1"/>
  <c r="DB40" i="1"/>
  <c r="DB41" i="1" s="1"/>
  <c r="CU42" i="1"/>
  <c r="DI75" i="5"/>
  <c r="CT82" i="5"/>
  <c r="DD89" i="5"/>
  <c r="DG75" i="5"/>
  <c r="DF87" i="5"/>
  <c r="DF88" i="5" s="1"/>
  <c r="DD35" i="7"/>
  <c r="DC8" i="26" s="1"/>
  <c r="DE26" i="7"/>
  <c r="DE27" i="7" s="1"/>
  <c r="CT35" i="5"/>
  <c r="CX42" i="5"/>
  <c r="CR35" i="5"/>
  <c r="CW34" i="5"/>
  <c r="DD42" i="5"/>
  <c r="DH38" i="7"/>
  <c r="DB42" i="5"/>
  <c r="DA38" i="7"/>
  <c r="CR82" i="6"/>
  <c r="CX89" i="6"/>
  <c r="DB86" i="7"/>
  <c r="DA89" i="6"/>
  <c r="DI75" i="6"/>
  <c r="DD85" i="7"/>
  <c r="CW41" i="6"/>
  <c r="CW42" i="6"/>
  <c r="CS28" i="6"/>
  <c r="DA39" i="7"/>
  <c r="CQ35" i="6"/>
  <c r="CS35" i="6"/>
  <c r="DF89" i="4"/>
  <c r="DA85" i="7"/>
  <c r="CR82" i="4"/>
  <c r="CX86" i="7"/>
  <c r="CX73" i="7"/>
  <c r="CX74" i="7" s="1"/>
  <c r="CZ89" i="4"/>
  <c r="CV42" i="4"/>
  <c r="CV41" i="4"/>
  <c r="CR34" i="4"/>
  <c r="CP35" i="4"/>
  <c r="DG28" i="4"/>
  <c r="DG88" i="2"/>
  <c r="DG89" i="2"/>
  <c r="DB85" i="7"/>
  <c r="DE86" i="7"/>
  <c r="CP82" i="2"/>
  <c r="DC75" i="2"/>
  <c r="DH35" i="7"/>
  <c r="DG8" i="26" s="1"/>
  <c r="CV39" i="7"/>
  <c r="CZ40" i="2"/>
  <c r="CZ41" i="2" s="1"/>
  <c r="DB38" i="7"/>
  <c r="CW39" i="7"/>
  <c r="DE40" i="2"/>
  <c r="DE41" i="2" s="1"/>
  <c r="DF26" i="7"/>
  <c r="DF27" i="7" s="1"/>
  <c r="DH87" i="1"/>
  <c r="DH88" i="1" s="1"/>
  <c r="CN82" i="1"/>
  <c r="DI34" i="7"/>
  <c r="CY26" i="7"/>
  <c r="CY28" i="7" s="1"/>
  <c r="CX7" i="26" s="1"/>
  <c r="CV26" i="7"/>
  <c r="CV27" i="7" s="1"/>
  <c r="CN35" i="1"/>
  <c r="DD42" i="1"/>
  <c r="DC12" i="7"/>
  <c r="DB5" i="26" s="1"/>
  <c r="DI81" i="7"/>
  <c r="DG63" i="7"/>
  <c r="DG64" i="7" s="1"/>
  <c r="DB26" i="7"/>
  <c r="DB27" i="7" s="1"/>
  <c r="DC18" i="7"/>
  <c r="DC19" i="7" s="1"/>
  <c r="CX26" i="7"/>
  <c r="CX28" i="7" s="1"/>
  <c r="DC63" i="7"/>
  <c r="DC64" i="7" s="1"/>
  <c r="DA18" i="7"/>
  <c r="DA20" i="7" s="1"/>
  <c r="CZ6" i="26" s="1"/>
  <c r="DH12" i="7"/>
  <c r="DG9" i="26" s="1"/>
  <c r="DD26" i="7"/>
  <c r="DD27" i="7" s="1"/>
  <c r="CZ73" i="7"/>
  <c r="CZ75" i="7" s="1"/>
  <c r="CY6" i="24" s="1"/>
  <c r="CX57" i="7"/>
  <c r="DH63" i="7"/>
  <c r="DH65" i="7" s="1"/>
  <c r="DG12" i="14" s="1"/>
  <c r="DI18" i="7"/>
  <c r="DI19" i="7" s="1"/>
  <c r="DB88" i="2"/>
  <c r="DB89" i="2"/>
  <c r="DI88" i="2"/>
  <c r="DI89" i="2"/>
  <c r="CZ88" i="2"/>
  <c r="CZ89" i="2"/>
  <c r="CW88" i="6"/>
  <c r="CW89" i="6"/>
  <c r="CR34" i="2"/>
  <c r="CT11" i="6"/>
  <c r="CS20" i="6"/>
  <c r="CR8" i="13" s="1"/>
  <c r="CS38" i="6"/>
  <c r="DH67" i="2"/>
  <c r="DF67" i="2"/>
  <c r="DE20" i="6"/>
  <c r="DD8" i="13" s="1"/>
  <c r="DC64" i="4"/>
  <c r="DC65" i="4"/>
  <c r="DB7" i="14" s="1"/>
  <c r="CN11" i="1"/>
  <c r="CQ11" i="2"/>
  <c r="CQ38" i="2"/>
  <c r="CO18" i="2"/>
  <c r="CO19" i="2" s="1"/>
  <c r="CO39" i="2"/>
  <c r="CO40" i="2" s="1"/>
  <c r="CO41" i="2" s="1"/>
  <c r="CO57" i="2"/>
  <c r="CO86" i="2"/>
  <c r="CO87" i="2" s="1"/>
  <c r="CO88" i="2" s="1"/>
  <c r="CO73" i="2"/>
  <c r="CO74" i="2" s="1"/>
  <c r="CQ81" i="2"/>
  <c r="CO18" i="4"/>
  <c r="CO19" i="4" s="1"/>
  <c r="CO86" i="4"/>
  <c r="CO87" i="4" s="1"/>
  <c r="CO88" i="4" s="1"/>
  <c r="CO63" i="4"/>
  <c r="CO65" i="4" s="1"/>
  <c r="CN7" i="14" s="1"/>
  <c r="CO12" i="6"/>
  <c r="CN8" i="8" s="1"/>
  <c r="CP28" i="6"/>
  <c r="CQ54" i="6"/>
  <c r="CS24" i="7"/>
  <c r="CT73" i="1"/>
  <c r="CT74" i="1" s="1"/>
  <c r="CS11" i="2"/>
  <c r="CT35" i="2"/>
  <c r="CR73" i="2"/>
  <c r="CR74" i="2" s="1"/>
  <c r="CS73" i="2"/>
  <c r="CS74" i="2" s="1"/>
  <c r="CS81" i="2"/>
  <c r="CS11" i="4"/>
  <c r="CS57" i="4"/>
  <c r="CS54" i="4"/>
  <c r="CS11" i="6"/>
  <c r="CT40" i="6"/>
  <c r="CT41" i="6" s="1"/>
  <c r="CR85" i="6"/>
  <c r="CS86" i="6"/>
  <c r="CV38" i="7"/>
  <c r="CX42" i="6"/>
  <c r="CZ19" i="4"/>
  <c r="CX35" i="7"/>
  <c r="CW8" i="26" s="1"/>
  <c r="CZ86" i="7"/>
  <c r="CU65" i="4"/>
  <c r="CT7" i="14" s="1"/>
  <c r="CV67" i="6"/>
  <c r="CX85" i="7"/>
  <c r="DG81" i="7"/>
  <c r="DI28" i="1"/>
  <c r="DH85" i="7"/>
  <c r="DA63" i="7"/>
  <c r="DA64" i="7" s="1"/>
  <c r="DF18" i="7"/>
  <c r="DF20" i="7" s="1"/>
  <c r="DE6" i="26" s="1"/>
  <c r="DH42" i="1"/>
  <c r="DH41" i="5"/>
  <c r="DF20" i="2"/>
  <c r="DE6" i="13" s="1"/>
  <c r="DA28" i="4"/>
  <c r="DE18" i="7"/>
  <c r="DE19" i="7" s="1"/>
  <c r="DB18" i="7"/>
  <c r="DB19" i="7" s="1"/>
  <c r="DH67" i="1"/>
  <c r="DA26" i="7"/>
  <c r="DA28" i="7" s="1"/>
  <c r="CZ5" i="24" s="1"/>
  <c r="DF65" i="5"/>
  <c r="DE9" i="14" s="1"/>
  <c r="DC64" i="5"/>
  <c r="CU20" i="2"/>
  <c r="CT6" i="13" s="1"/>
  <c r="DA20" i="6"/>
  <c r="CZ8" i="13" s="1"/>
  <c r="DB63" i="7"/>
  <c r="DB64" i="7" s="1"/>
  <c r="DB64" i="6"/>
  <c r="CY89" i="5"/>
  <c r="CV87" i="6"/>
  <c r="CV74" i="4"/>
  <c r="CV75" i="4"/>
  <c r="DH75" i="2"/>
  <c r="CY75" i="4"/>
  <c r="CN85" i="1"/>
  <c r="CQ57" i="2"/>
  <c r="CO85" i="5"/>
  <c r="CP86" i="5"/>
  <c r="CP87" i="5" s="1"/>
  <c r="CP88" i="5" s="1"/>
  <c r="CQ65" i="6"/>
  <c r="CP8" i="14" s="1"/>
  <c r="CQ86" i="1"/>
  <c r="CQ87" i="1" s="1"/>
  <c r="CQ89" i="1" s="1"/>
  <c r="CS20" i="2"/>
  <c r="CR6" i="13" s="1"/>
  <c r="CS28" i="2"/>
  <c r="CR87" i="2"/>
  <c r="CR88" i="2" s="1"/>
  <c r="CS20" i="4"/>
  <c r="CR7" i="13" s="1"/>
  <c r="CS28" i="4"/>
  <c r="CS39" i="4"/>
  <c r="CS40" i="4" s="1"/>
  <c r="CS41" i="4" s="1"/>
  <c r="CR54" i="4"/>
  <c r="CS86" i="4"/>
  <c r="CS87" i="4" s="1"/>
  <c r="CS88" i="4" s="1"/>
  <c r="CW28" i="5"/>
  <c r="DE65" i="1"/>
  <c r="DD5" i="14" s="1"/>
  <c r="CY20" i="2"/>
  <c r="CX6" i="13" s="1"/>
  <c r="CU16" i="7"/>
  <c r="DD74" i="5"/>
  <c r="DD75" i="5"/>
  <c r="CY74" i="2"/>
  <c r="CY75" i="2"/>
  <c r="CV27" i="2"/>
  <c r="CV28" i="2"/>
  <c r="CZ75" i="6"/>
  <c r="CN12" i="1"/>
  <c r="CM5" i="8" s="1"/>
  <c r="CM85" i="1"/>
  <c r="CM73" i="1"/>
  <c r="CM74" i="1" s="1"/>
  <c r="CN86" i="1"/>
  <c r="CP39" i="2"/>
  <c r="CP26" i="2"/>
  <c r="CP27" i="2" s="1"/>
  <c r="CQ55" i="2"/>
  <c r="CP6" i="15" s="1"/>
  <c r="CP85" i="2"/>
  <c r="CQ73" i="2"/>
  <c r="CQ74" i="2" s="1"/>
  <c r="CQ27" i="5"/>
  <c r="CO86" i="5"/>
  <c r="CQ86" i="4"/>
  <c r="CO82" i="4"/>
  <c r="CP35" i="6"/>
  <c r="CQ63" i="6"/>
  <c r="CP63" i="6"/>
  <c r="CP64" i="6" s="1"/>
  <c r="CP82" i="6"/>
  <c r="CR73" i="1"/>
  <c r="CR74" i="1" s="1"/>
  <c r="CT12" i="2"/>
  <c r="CS6" i="8" s="1"/>
  <c r="CS34" i="2"/>
  <c r="CR57" i="2"/>
  <c r="CT86" i="2"/>
  <c r="CT73" i="2"/>
  <c r="CT74" i="2" s="1"/>
  <c r="CT82" i="2"/>
  <c r="CT12" i="4"/>
  <c r="CS7" i="8" s="1"/>
  <c r="CT55" i="4"/>
  <c r="CS7" i="15" s="1"/>
  <c r="CT75" i="4"/>
  <c r="CR35" i="6"/>
  <c r="CR75" i="6"/>
  <c r="CS82" i="6"/>
  <c r="CS35" i="5"/>
  <c r="CV12" i="5"/>
  <c r="CU9" i="8" s="1"/>
  <c r="CU28" i="5"/>
  <c r="CV54" i="5"/>
  <c r="CU89" i="6"/>
  <c r="DE67" i="5"/>
  <c r="DF42" i="2"/>
  <c r="CV57" i="7"/>
  <c r="DD42" i="6"/>
  <c r="CY89" i="6"/>
  <c r="CZ39" i="7"/>
  <c r="DE38" i="7"/>
  <c r="CY87" i="1"/>
  <c r="CY89" i="1" s="1"/>
  <c r="DC65" i="1"/>
  <c r="DB5" i="14" s="1"/>
  <c r="DI42" i="1"/>
  <c r="DG87" i="5"/>
  <c r="DG89" i="5" s="1"/>
  <c r="DB73" i="7"/>
  <c r="DB74" i="7" s="1"/>
  <c r="DD38" i="7"/>
  <c r="DD40" i="7" s="1"/>
  <c r="DD41" i="7" s="1"/>
  <c r="CW16" i="7"/>
  <c r="DH89" i="4"/>
  <c r="DE89" i="4"/>
  <c r="DF75" i="4"/>
  <c r="CV74" i="1"/>
  <c r="CU40" i="2"/>
  <c r="DB89" i="5"/>
  <c r="DC20" i="5"/>
  <c r="DB9" i="13" s="1"/>
  <c r="DC28" i="2"/>
  <c r="DF28" i="2"/>
  <c r="CU75" i="5"/>
  <c r="DE64" i="5"/>
  <c r="DE65" i="5"/>
  <c r="DD9" i="14" s="1"/>
  <c r="DG75" i="4"/>
  <c r="DC75" i="5"/>
  <c r="DB75" i="2"/>
  <c r="CX75" i="5"/>
  <c r="DI27" i="7"/>
  <c r="CU54" i="7"/>
  <c r="DI12" i="7"/>
  <c r="DH12" i="8" s="1"/>
  <c r="CV34" i="7"/>
  <c r="CZ34" i="7"/>
  <c r="DF73" i="7"/>
  <c r="DF74" i="7" s="1"/>
  <c r="CV5" i="24"/>
  <c r="CW35" i="7"/>
  <c r="CV8" i="26" s="1"/>
  <c r="DE63" i="7"/>
  <c r="DE64" i="7" s="1"/>
  <c r="DH57" i="7"/>
  <c r="DH18" i="7"/>
  <c r="DH19" i="7" s="1"/>
  <c r="DE57" i="7"/>
  <c r="DF63" i="7"/>
  <c r="DF64" i="7" s="1"/>
  <c r="DH54" i="7"/>
  <c r="CX18" i="7"/>
  <c r="CX19" i="7" s="1"/>
  <c r="DD18" i="7"/>
  <c r="DD19" i="7" s="1"/>
  <c r="DI63" i="7"/>
  <c r="DI64" i="7" s="1"/>
  <c r="DI57" i="7"/>
  <c r="DG57" i="7"/>
  <c r="DG18" i="7"/>
  <c r="DG19" i="7" s="1"/>
  <c r="DG11" i="7"/>
  <c r="DE73" i="7"/>
  <c r="DE75" i="7" s="1"/>
  <c r="DD6" i="24" s="1"/>
  <c r="DG54" i="7"/>
  <c r="DH73" i="7"/>
  <c r="DH74" i="7" s="1"/>
  <c r="CZ18" i="7"/>
  <c r="CZ19" i="7" s="1"/>
  <c r="CW55" i="7"/>
  <c r="CV12" i="15" s="1"/>
  <c r="DG26" i="7"/>
  <c r="DG27" i="7" s="1"/>
  <c r="CZ26" i="7"/>
  <c r="CZ28" i="7" s="1"/>
  <c r="CY7" i="26" s="1"/>
  <c r="CW73" i="7"/>
  <c r="CW75" i="7" s="1"/>
  <c r="CV6" i="24" s="1"/>
  <c r="CV12" i="7"/>
  <c r="CU5" i="26" s="1"/>
  <c r="DE55" i="7"/>
  <c r="DD12" i="15" s="1"/>
  <c r="DH82" i="7"/>
  <c r="DA73" i="7"/>
  <c r="CZ63" i="7"/>
  <c r="CZ65" i="7" s="1"/>
  <c r="CY12" i="14" s="1"/>
  <c r="DI54" i="7"/>
  <c r="CP64" i="2"/>
  <c r="CQ85" i="2"/>
  <c r="CQ12" i="5"/>
  <c r="CP9" i="8" s="1"/>
  <c r="CQ11" i="5"/>
  <c r="CO73" i="4"/>
  <c r="CO74" i="4" s="1"/>
  <c r="DB88" i="1"/>
  <c r="DB89" i="1"/>
  <c r="DF39" i="7"/>
  <c r="DF40" i="1"/>
  <c r="DF41" i="1" s="1"/>
  <c r="CX40" i="1"/>
  <c r="CX41" i="1" s="1"/>
  <c r="CX38" i="7"/>
  <c r="CX40" i="7" s="1"/>
  <c r="CX42" i="7" s="1"/>
  <c r="DH40" i="4"/>
  <c r="DH41" i="4" s="1"/>
  <c r="DI19" i="4"/>
  <c r="DI20" i="4"/>
  <c r="DH7" i="13" s="1"/>
  <c r="DF87" i="2"/>
  <c r="DF88" i="2" s="1"/>
  <c r="DB19" i="5"/>
  <c r="DB20" i="5"/>
  <c r="DA9" i="13" s="1"/>
  <c r="DA64" i="2"/>
  <c r="DA65" i="2"/>
  <c r="CZ6" i="14" s="1"/>
  <c r="DA67" i="2"/>
  <c r="CX74" i="2"/>
  <c r="CX75" i="2"/>
  <c r="CY39" i="7"/>
  <c r="CP12" i="2"/>
  <c r="CO6" i="8" s="1"/>
  <c r="CQ26" i="2"/>
  <c r="CQ27" i="2" s="1"/>
  <c r="CP18" i="4"/>
  <c r="CP19" i="4" s="1"/>
  <c r="CP38" i="4"/>
  <c r="CR25" i="7"/>
  <c r="CT20" i="2"/>
  <c r="CS6" i="13" s="1"/>
  <c r="CR38" i="2"/>
  <c r="CS86" i="2"/>
  <c r="CT35" i="4"/>
  <c r="CT34" i="4"/>
  <c r="CS82" i="4"/>
  <c r="CT85" i="6"/>
  <c r="CU82" i="7"/>
  <c r="CW11" i="7"/>
  <c r="CW12" i="7"/>
  <c r="CV5" i="26" s="1"/>
  <c r="DB55" i="7"/>
  <c r="DA12" i="15" s="1"/>
  <c r="DB57" i="7"/>
  <c r="CW42" i="1"/>
  <c r="CW41" i="1"/>
  <c r="DE81" i="7"/>
  <c r="DE82" i="7"/>
  <c r="CZ85" i="7"/>
  <c r="DI41" i="6"/>
  <c r="DI42" i="6"/>
  <c r="DG27" i="1"/>
  <c r="DG28" i="1"/>
  <c r="DG41" i="6"/>
  <c r="DG42" i="6"/>
  <c r="DH87" i="2"/>
  <c r="DH88" i="2" s="1"/>
  <c r="DF38" i="7"/>
  <c r="DF40" i="6"/>
  <c r="DD74" i="2"/>
  <c r="DD75" i="2"/>
  <c r="CZ41" i="5"/>
  <c r="CZ42" i="5"/>
  <c r="CY64" i="5"/>
  <c r="CY67" i="5"/>
  <c r="CY65" i="5"/>
  <c r="CX9" i="14" s="1"/>
  <c r="CV74" i="2"/>
  <c r="CV75" i="2"/>
  <c r="DG41" i="2"/>
  <c r="DG42" i="2"/>
  <c r="CV87" i="2"/>
  <c r="CV88" i="2" s="1"/>
  <c r="DH40" i="2"/>
  <c r="DH41" i="2" s="1"/>
  <c r="DH39" i="7"/>
  <c r="CP38" i="2"/>
  <c r="CQ40" i="5"/>
  <c r="CQ41" i="5" s="1"/>
  <c r="CT64" i="6"/>
  <c r="CT75" i="6"/>
  <c r="DC54" i="7"/>
  <c r="DC55" i="7"/>
  <c r="DB12" i="15" s="1"/>
  <c r="CW74" i="1"/>
  <c r="CW75" i="1"/>
  <c r="DG34" i="7"/>
  <c r="DG35" i="7"/>
  <c r="DF8" i="26" s="1"/>
  <c r="DF41" i="4"/>
  <c r="DF42" i="4"/>
  <c r="CZ67" i="5"/>
  <c r="CZ64" i="5"/>
  <c r="CZ65" i="5"/>
  <c r="CY9" i="14" s="1"/>
  <c r="DA86" i="7"/>
  <c r="DD64" i="6"/>
  <c r="DD67" i="6"/>
  <c r="DD65" i="6"/>
  <c r="DC8" i="14" s="1"/>
  <c r="CL82" i="1"/>
  <c r="CQ12" i="4"/>
  <c r="CP7" i="8" s="1"/>
  <c r="CQ11" i="4"/>
  <c r="CM34" i="1"/>
  <c r="CM35" i="1"/>
  <c r="CN63" i="1"/>
  <c r="CN64" i="1" s="1"/>
  <c r="CO55" i="2"/>
  <c r="CN6" i="15" s="1"/>
  <c r="CP65" i="2"/>
  <c r="CO6" i="14" s="1"/>
  <c r="CP86" i="2"/>
  <c r="CQ86" i="2"/>
  <c r="CQ65" i="2"/>
  <c r="CP6" i="14" s="1"/>
  <c r="CQ35" i="5"/>
  <c r="CQ34" i="5"/>
  <c r="CO57" i="6"/>
  <c r="CO55" i="6"/>
  <c r="CN8" i="15" s="1"/>
  <c r="CO54" i="6"/>
  <c r="CQ82" i="6"/>
  <c r="CQ81" i="6"/>
  <c r="CT28" i="2"/>
  <c r="CS63" i="2"/>
  <c r="CR12" i="6"/>
  <c r="CQ8" i="8" s="1"/>
  <c r="CR11" i="6"/>
  <c r="CS54" i="6"/>
  <c r="CS57" i="6"/>
  <c r="CS55" i="6"/>
  <c r="CR8" i="15" s="1"/>
  <c r="CT65" i="6"/>
  <c r="CS8" i="14" s="1"/>
  <c r="CT82" i="6"/>
  <c r="CU39" i="5"/>
  <c r="CU39" i="7" s="1"/>
  <c r="CU17" i="7"/>
  <c r="CV28" i="5"/>
  <c r="CZ89" i="1"/>
  <c r="DC89" i="6"/>
  <c r="CZ41" i="4"/>
  <c r="CZ42" i="4"/>
  <c r="DA81" i="7"/>
  <c r="DA82" i="7"/>
  <c r="DA55" i="7"/>
  <c r="CZ12" i="15" s="1"/>
  <c r="DA54" i="7"/>
  <c r="CX81" i="7"/>
  <c r="CX82" i="7"/>
  <c r="DA11" i="7"/>
  <c r="DA12" i="7"/>
  <c r="CZ5" i="26" s="1"/>
  <c r="DI19" i="2"/>
  <c r="DI20" i="2"/>
  <c r="DH6" i="13" s="1"/>
  <c r="DH27" i="7"/>
  <c r="DH28" i="7"/>
  <c r="CV67" i="2"/>
  <c r="CV64" i="2"/>
  <c r="CV65" i="2"/>
  <c r="CU6" i="14" s="1"/>
  <c r="CY40" i="2"/>
  <c r="CY41" i="2" s="1"/>
  <c r="CY88" i="2"/>
  <c r="CY89" i="2"/>
  <c r="DA74" i="4"/>
  <c r="DA75" i="4"/>
  <c r="CQ18" i="2"/>
  <c r="CP54" i="5"/>
  <c r="CP57" i="5"/>
  <c r="CP55" i="5"/>
  <c r="CO9" i="15" s="1"/>
  <c r="CT55" i="2"/>
  <c r="CS6" i="15" s="1"/>
  <c r="CT54" i="2"/>
  <c r="CT57" i="2"/>
  <c r="CR28" i="4"/>
  <c r="CR86" i="6"/>
  <c r="DA35" i="7"/>
  <c r="CZ8" i="26" s="1"/>
  <c r="DA34" i="7"/>
  <c r="CZ54" i="7"/>
  <c r="CZ55" i="7"/>
  <c r="CY12" i="15" s="1"/>
  <c r="DF57" i="7"/>
  <c r="DF54" i="7"/>
  <c r="DI64" i="4"/>
  <c r="DI65" i="4"/>
  <c r="DH7" i="14" s="1"/>
  <c r="DI67" i="4"/>
  <c r="DB64" i="5"/>
  <c r="DB67" i="5"/>
  <c r="DB65" i="5"/>
  <c r="DA9" i="14" s="1"/>
  <c r="CY74" i="6"/>
  <c r="CY75" i="6"/>
  <c r="CZ27" i="2"/>
  <c r="CZ28" i="2"/>
  <c r="CL57" i="1"/>
  <c r="CL11" i="1"/>
  <c r="CQ35" i="2"/>
  <c r="CO63" i="2"/>
  <c r="CO65" i="2" s="1"/>
  <c r="CN6" i="14" s="1"/>
  <c r="CP28" i="5"/>
  <c r="CQ18" i="4"/>
  <c r="CQ19" i="4" s="1"/>
  <c r="CQ39" i="4"/>
  <c r="CQ40" i="4" s="1"/>
  <c r="CQ41" i="4" s="1"/>
  <c r="CP86" i="4"/>
  <c r="CP73" i="4"/>
  <c r="CP74" i="4" s="1"/>
  <c r="CO20" i="6"/>
  <c r="CN8" i="13" s="1"/>
  <c r="CO35" i="6"/>
  <c r="CO34" i="6"/>
  <c r="CQ64" i="6"/>
  <c r="CL38" i="1"/>
  <c r="CL40" i="1" s="1"/>
  <c r="CL41" i="1" s="1"/>
  <c r="CO20" i="2"/>
  <c r="CN6" i="13" s="1"/>
  <c r="CQ39" i="2"/>
  <c r="CQ67" i="2"/>
  <c r="CQ82" i="5"/>
  <c r="CP11" i="4"/>
  <c r="CP12" i="4"/>
  <c r="CO7" i="8" s="1"/>
  <c r="CO39" i="4"/>
  <c r="CO40" i="4" s="1"/>
  <c r="CO41" i="4" s="1"/>
  <c r="CP63" i="4"/>
  <c r="CP85" i="4"/>
  <c r="CQ75" i="4"/>
  <c r="CL18" i="1"/>
  <c r="CL20" i="1" s="1"/>
  <c r="CK5" i="13" s="1"/>
  <c r="CM39" i="1"/>
  <c r="CM40" i="1" s="1"/>
  <c r="CM41" i="1" s="1"/>
  <c r="CM18" i="1"/>
  <c r="CM19" i="1" s="1"/>
  <c r="CM86" i="1"/>
  <c r="CN73" i="1"/>
  <c r="CN74" i="1" s="1"/>
  <c r="CO11" i="2"/>
  <c r="CP18" i="2"/>
  <c r="CP67" i="2" s="1"/>
  <c r="CO26" i="2"/>
  <c r="CO27" i="2" s="1"/>
  <c r="CO35" i="2"/>
  <c r="CP57" i="2"/>
  <c r="CP73" i="2"/>
  <c r="CO81" i="2"/>
  <c r="CP12" i="5"/>
  <c r="CO9" i="8" s="1"/>
  <c r="CP34" i="5"/>
  <c r="CP35" i="5"/>
  <c r="CQ57" i="5"/>
  <c r="CQ54" i="5"/>
  <c r="CQ57" i="4"/>
  <c r="CQ63" i="4"/>
  <c r="CQ82" i="4"/>
  <c r="CQ81" i="4"/>
  <c r="CQ85" i="4"/>
  <c r="CQ12" i="6"/>
  <c r="CP8" i="8" s="1"/>
  <c r="CQ11" i="6"/>
  <c r="CQ57" i="6"/>
  <c r="CP38" i="6"/>
  <c r="CP40" i="6" s="1"/>
  <c r="CP41" i="6" s="1"/>
  <c r="CP18" i="6"/>
  <c r="CP67" i="6" s="1"/>
  <c r="CQ39" i="6"/>
  <c r="CQ40" i="6" s="1"/>
  <c r="CQ41" i="6" s="1"/>
  <c r="CO28" i="6"/>
  <c r="CO27" i="6"/>
  <c r="CO85" i="6"/>
  <c r="CO63" i="6"/>
  <c r="CP86" i="6"/>
  <c r="CR39" i="2"/>
  <c r="CR20" i="2"/>
  <c r="CQ6" i="13" s="1"/>
  <c r="CT67" i="2"/>
  <c r="CR63" i="2"/>
  <c r="CR65" i="2" s="1"/>
  <c r="CQ6" i="14" s="1"/>
  <c r="CR39" i="4"/>
  <c r="CR40" i="4" s="1"/>
  <c r="CR41" i="4" s="1"/>
  <c r="CR18" i="4"/>
  <c r="CR19" i="4" s="1"/>
  <c r="CR20" i="4"/>
  <c r="CQ7" i="13" s="1"/>
  <c r="CT85" i="4"/>
  <c r="CT87" i="4" s="1"/>
  <c r="CT88" i="4" s="1"/>
  <c r="CT63" i="4"/>
  <c r="CT65" i="4" s="1"/>
  <c r="CS7" i="14" s="1"/>
  <c r="CR64" i="4"/>
  <c r="CR73" i="4"/>
  <c r="CR74" i="4" s="1"/>
  <c r="CR38" i="6"/>
  <c r="CR40" i="6" s="1"/>
  <c r="CR41" i="6" s="1"/>
  <c r="CR18" i="6"/>
  <c r="CR19" i="6" s="1"/>
  <c r="CT35" i="6"/>
  <c r="CS12" i="5"/>
  <c r="CR9" i="8" s="1"/>
  <c r="CU35" i="5"/>
  <c r="CU34" i="5"/>
  <c r="CU86" i="5"/>
  <c r="CU87" i="5" s="1"/>
  <c r="CU88" i="5" s="1"/>
  <c r="CU62" i="7"/>
  <c r="CW38" i="7"/>
  <c r="CW40" i="4"/>
  <c r="DC35" i="7"/>
  <c r="DB8" i="26" s="1"/>
  <c r="CU41" i="6"/>
  <c r="CU42" i="6"/>
  <c r="CX54" i="7"/>
  <c r="CX55" i="7"/>
  <c r="CW12" i="15" s="1"/>
  <c r="DF12" i="7"/>
  <c r="DE9" i="26" s="1"/>
  <c r="DG87" i="1"/>
  <c r="DG88" i="1" s="1"/>
  <c r="DG86" i="7"/>
  <c r="DI39" i="7"/>
  <c r="DD41" i="4"/>
  <c r="DD42" i="4"/>
  <c r="DC41" i="5"/>
  <c r="DC42" i="5"/>
  <c r="DE41" i="5"/>
  <c r="DE42" i="5"/>
  <c r="DA41" i="5"/>
  <c r="DA42" i="5"/>
  <c r="DA74" i="2"/>
  <c r="DA75" i="2"/>
  <c r="CY40" i="5"/>
  <c r="CY41" i="5" s="1"/>
  <c r="CO40" i="6"/>
  <c r="CO41" i="6" s="1"/>
  <c r="CQ86" i="6"/>
  <c r="CQ87" i="6" s="1"/>
  <c r="CQ88" i="6" s="1"/>
  <c r="CP63" i="1"/>
  <c r="CT39" i="2"/>
  <c r="CR55" i="2"/>
  <c r="CQ6" i="15" s="1"/>
  <c r="CT65" i="2"/>
  <c r="CS6" i="14" s="1"/>
  <c r="CT85" i="2"/>
  <c r="CS55" i="4"/>
  <c r="CR7" i="15" s="1"/>
  <c r="CS67" i="4"/>
  <c r="CR65" i="4"/>
  <c r="CQ7" i="14" s="1"/>
  <c r="CS73" i="4"/>
  <c r="CR85" i="4"/>
  <c r="CT12" i="6"/>
  <c r="CS8" i="8" s="1"/>
  <c r="CS39" i="6"/>
  <c r="CS63" i="6"/>
  <c r="CT86" i="6"/>
  <c r="CS28" i="5"/>
  <c r="CV63" i="5"/>
  <c r="CV65" i="5" s="1"/>
  <c r="CU9" i="14" s="1"/>
  <c r="CV86" i="5"/>
  <c r="CV87" i="5" s="1"/>
  <c r="CV88" i="5" s="1"/>
  <c r="DD73" i="7"/>
  <c r="DD74" i="7" s="1"/>
  <c r="DI67" i="1"/>
  <c r="DI64" i="1"/>
  <c r="DG38" i="7"/>
  <c r="DI89" i="6"/>
  <c r="DI40" i="4"/>
  <c r="DI41" i="4" s="1"/>
  <c r="DG20" i="4"/>
  <c r="DF7" i="13" s="1"/>
  <c r="DI86" i="7"/>
  <c r="DG89" i="6"/>
  <c r="DF67" i="4"/>
  <c r="DF64" i="4"/>
  <c r="DF65" i="4"/>
  <c r="DE7" i="14" s="1"/>
  <c r="DI19" i="1"/>
  <c r="DI20" i="1"/>
  <c r="DH5" i="13" s="1"/>
  <c r="DI42" i="2"/>
  <c r="DE64" i="4"/>
  <c r="DE67" i="4"/>
  <c r="CZ64" i="2"/>
  <c r="CZ67" i="2"/>
  <c r="CZ28" i="4"/>
  <c r="DE40" i="4"/>
  <c r="DE41" i="4" s="1"/>
  <c r="CU64" i="2"/>
  <c r="CU67" i="2"/>
  <c r="CU65" i="2"/>
  <c r="CT6" i="14" s="1"/>
  <c r="DA40" i="2"/>
  <c r="DA41" i="2" s="1"/>
  <c r="CZ65" i="2"/>
  <c r="CY6" i="14" s="1"/>
  <c r="CW64" i="2"/>
  <c r="CW67" i="2"/>
  <c r="DG27" i="2"/>
  <c r="DG28" i="2"/>
  <c r="DD87" i="6"/>
  <c r="DD89" i="6" s="1"/>
  <c r="CV62" i="7"/>
  <c r="DB40" i="2"/>
  <c r="DB41" i="2" s="1"/>
  <c r="CV61" i="7"/>
  <c r="DA28" i="2"/>
  <c r="CW20" i="2"/>
  <c r="CV6" i="13" s="1"/>
  <c r="CQ85" i="5"/>
  <c r="CQ87" i="5" s="1"/>
  <c r="CP39" i="1"/>
  <c r="CR39" i="1"/>
  <c r="CR85" i="1"/>
  <c r="CS86" i="1"/>
  <c r="CT38" i="2"/>
  <c r="CS39" i="2"/>
  <c r="CS40" i="2" s="1"/>
  <c r="CS41" i="2" s="1"/>
  <c r="CS57" i="2"/>
  <c r="CS85" i="2"/>
  <c r="CT20" i="4"/>
  <c r="CS7" i="13" s="1"/>
  <c r="CT28" i="4"/>
  <c r="CT38" i="4"/>
  <c r="CT40" i="4" s="1"/>
  <c r="CT57" i="4"/>
  <c r="CR63" i="6"/>
  <c r="CR65" i="6" s="1"/>
  <c r="CQ8" i="14" s="1"/>
  <c r="DD63" i="7"/>
  <c r="DD65" i="7" s="1"/>
  <c r="DC12" i="14" s="1"/>
  <c r="CW86" i="7"/>
  <c r="DH64" i="4"/>
  <c r="DH67" i="4"/>
  <c r="DH74" i="1"/>
  <c r="DH75" i="1"/>
  <c r="DI64" i="6"/>
  <c r="DI67" i="6"/>
  <c r="DG75" i="1"/>
  <c r="DG64" i="1"/>
  <c r="DG65" i="1"/>
  <c r="DF5" i="14" s="1"/>
  <c r="DG67" i="1"/>
  <c r="DI87" i="4"/>
  <c r="DG64" i="5"/>
  <c r="DG67" i="5"/>
  <c r="DG65" i="5"/>
  <c r="DF9" i="14" s="1"/>
  <c r="DI20" i="5"/>
  <c r="DH9" i="13" s="1"/>
  <c r="DG64" i="2"/>
  <c r="DG67" i="2"/>
  <c r="DG65" i="2"/>
  <c r="DF6" i="14" s="1"/>
  <c r="DI38" i="7"/>
  <c r="DF87" i="6"/>
  <c r="DF89" i="6" s="1"/>
  <c r="DG42" i="4"/>
  <c r="DH20" i="2"/>
  <c r="DG6" i="13" s="1"/>
  <c r="DF85" i="7"/>
  <c r="DA75" i="6"/>
  <c r="CX64" i="2"/>
  <c r="CX67" i="2"/>
  <c r="DG67" i="4"/>
  <c r="DE87" i="5"/>
  <c r="DE88" i="5" s="1"/>
  <c r="DA64" i="5"/>
  <c r="DA67" i="5"/>
  <c r="DA87" i="2"/>
  <c r="DA89" i="2" s="1"/>
  <c r="CU61" i="7"/>
  <c r="CX65" i="2"/>
  <c r="CW6" i="14" s="1"/>
  <c r="CX19" i="2"/>
  <c r="CX20" i="2"/>
  <c r="CW6" i="13" s="1"/>
  <c r="CW17" i="7"/>
  <c r="CU28" i="2"/>
  <c r="DH28" i="2"/>
  <c r="DE65" i="4"/>
  <c r="DD7" i="14" s="1"/>
  <c r="CO57" i="5"/>
  <c r="CO73" i="5"/>
  <c r="CO74" i="5" s="1"/>
  <c r="CO57" i="4"/>
  <c r="CQ18" i="6"/>
  <c r="CQ19" i="6" s="1"/>
  <c r="CP57" i="6"/>
  <c r="CO38" i="1"/>
  <c r="CP18" i="1"/>
  <c r="CP19" i="1" s="1"/>
  <c r="CO86" i="1"/>
  <c r="CO87" i="1" s="1"/>
  <c r="CO89" i="1" s="1"/>
  <c r="CP73" i="1"/>
  <c r="CP75" i="1" s="1"/>
  <c r="CR38" i="1"/>
  <c r="CS39" i="1"/>
  <c r="CS85" i="1"/>
  <c r="CT86" i="1"/>
  <c r="CT18" i="6"/>
  <c r="CT19" i="6" s="1"/>
  <c r="CS57" i="5"/>
  <c r="CW63" i="5"/>
  <c r="CW65" i="5" s="1"/>
  <c r="CV9" i="14" s="1"/>
  <c r="CW85" i="5"/>
  <c r="CW87" i="5" s="1"/>
  <c r="CW88" i="5" s="1"/>
  <c r="CV55" i="7"/>
  <c r="CU12" i="15" s="1"/>
  <c r="CZ42" i="1"/>
  <c r="CX12" i="7"/>
  <c r="CW5" i="26" s="1"/>
  <c r="DC81" i="7"/>
  <c r="CZ57" i="7"/>
  <c r="CX89" i="4"/>
  <c r="DF82" i="7"/>
  <c r="CU87" i="1"/>
  <c r="CU88" i="1" s="1"/>
  <c r="DE12" i="7"/>
  <c r="DD5" i="26" s="1"/>
  <c r="DC67" i="1"/>
  <c r="DF5" i="26"/>
  <c r="DF9" i="26"/>
  <c r="DF12" i="8"/>
  <c r="DH7" i="26"/>
  <c r="DH5" i="24"/>
  <c r="DG40" i="1"/>
  <c r="DG39" i="7"/>
  <c r="DG73" i="7"/>
  <c r="DH42" i="6"/>
  <c r="DH20" i="4"/>
  <c r="DG7" i="13" s="1"/>
  <c r="DI67" i="2"/>
  <c r="DI65" i="2"/>
  <c r="DH6" i="14" s="1"/>
  <c r="DI64" i="2"/>
  <c r="DI65" i="1"/>
  <c r="DH5" i="14" s="1"/>
  <c r="DH28" i="1"/>
  <c r="DH65" i="6"/>
  <c r="DG8" i="14" s="1"/>
  <c r="DH67" i="6"/>
  <c r="DH64" i="6"/>
  <c r="DH75" i="4"/>
  <c r="DH74" i="5"/>
  <c r="DH75" i="5"/>
  <c r="DH86" i="7"/>
  <c r="DG85" i="7"/>
  <c r="CV17" i="7"/>
  <c r="CV18" i="7" s="1"/>
  <c r="DI67" i="5"/>
  <c r="DD64" i="5"/>
  <c r="DD67" i="5"/>
  <c r="DD65" i="5"/>
  <c r="DC9" i="14" s="1"/>
  <c r="DC67" i="2"/>
  <c r="DC64" i="2"/>
  <c r="DD28" i="2"/>
  <c r="DC87" i="2"/>
  <c r="DC89" i="2" s="1"/>
  <c r="DD19" i="2"/>
  <c r="DD20" i="2"/>
  <c r="DC6" i="13" s="1"/>
  <c r="DB74" i="4"/>
  <c r="DB75" i="4"/>
  <c r="DF75" i="5"/>
  <c r="CV85" i="7"/>
  <c r="CY67" i="2"/>
  <c r="CW40" i="2"/>
  <c r="DA87" i="5"/>
  <c r="DC20" i="2"/>
  <c r="DB6" i="13" s="1"/>
  <c r="CX87" i="2"/>
  <c r="DE40" i="6"/>
  <c r="DE41" i="6" s="1"/>
  <c r="CW62" i="7"/>
  <c r="CW63" i="7" s="1"/>
  <c r="CY82" i="7"/>
  <c r="CT10" i="7"/>
  <c r="CT11" i="7" s="1"/>
  <c r="CR10" i="7"/>
  <c r="CR11" i="7" s="1"/>
  <c r="CR53" i="7"/>
  <c r="CR54" i="7" s="1"/>
  <c r="CV81" i="7"/>
  <c r="DC75" i="7"/>
  <c r="DB6" i="24" s="1"/>
  <c r="CW27" i="7"/>
  <c r="DC57" i="7"/>
  <c r="CY65" i="7"/>
  <c r="CX12" i="14" s="1"/>
  <c r="DB54" i="7"/>
  <c r="DE54" i="7"/>
  <c r="CZ82" i="7"/>
  <c r="DF42" i="5"/>
  <c r="DF35" i="7"/>
  <c r="DE8" i="26" s="1"/>
  <c r="CN19" i="1"/>
  <c r="CN20" i="1"/>
  <c r="CM5" i="13" s="1"/>
  <c r="CX88" i="1"/>
  <c r="CX89" i="1"/>
  <c r="DC74" i="1"/>
  <c r="DC75" i="1"/>
  <c r="CZ19" i="1"/>
  <c r="CZ20" i="1"/>
  <c r="CY5" i="13" s="1"/>
  <c r="DF20" i="1"/>
  <c r="DE5" i="13" s="1"/>
  <c r="CL73" i="1"/>
  <c r="CL74" i="1" s="1"/>
  <c r="CP85" i="1"/>
  <c r="CR12" i="1"/>
  <c r="CQ5" i="8" s="1"/>
  <c r="CR26" i="1"/>
  <c r="CR27" i="1" s="1"/>
  <c r="CT26" i="1"/>
  <c r="CT27" i="1" s="1"/>
  <c r="CU35" i="7"/>
  <c r="CT8" i="26" s="1"/>
  <c r="CW57" i="7"/>
  <c r="CV11" i="7"/>
  <c r="CZ12" i="7"/>
  <c r="CY12" i="8" s="1"/>
  <c r="DA57" i="7"/>
  <c r="CX65" i="7"/>
  <c r="CW12" i="14" s="1"/>
  <c r="DD12" i="7"/>
  <c r="DC9" i="26" s="1"/>
  <c r="DE35" i="7"/>
  <c r="DD8" i="26" s="1"/>
  <c r="DD57" i="7"/>
  <c r="DD82" i="7"/>
  <c r="DD67" i="1"/>
  <c r="DF67" i="1"/>
  <c r="DF19" i="7"/>
  <c r="DB39" i="7"/>
  <c r="CW88" i="1"/>
  <c r="DD55" i="7"/>
  <c r="DC12" i="15" s="1"/>
  <c r="DD20" i="1"/>
  <c r="DC5" i="13" s="1"/>
  <c r="CX20" i="1"/>
  <c r="CW5" i="13" s="1"/>
  <c r="DE85" i="7"/>
  <c r="DE87" i="1"/>
  <c r="DE89" i="1" s="1"/>
  <c r="DF87" i="1"/>
  <c r="DF86" i="7"/>
  <c r="CS73" i="1"/>
  <c r="CS74" i="1" s="1"/>
  <c r="DB75" i="1"/>
  <c r="DF65" i="1"/>
  <c r="DE5" i="14" s="1"/>
  <c r="DD87" i="1"/>
  <c r="DD86" i="7"/>
  <c r="DD65" i="1"/>
  <c r="DC5" i="14" s="1"/>
  <c r="DE75" i="1"/>
  <c r="CW81" i="7"/>
  <c r="CY35" i="7"/>
  <c r="CX8" i="26" s="1"/>
  <c r="CY54" i="7"/>
  <c r="DB82" i="7"/>
  <c r="CY75" i="7"/>
  <c r="CX6" i="24" s="1"/>
  <c r="CV88" i="1"/>
  <c r="DB35" i="7"/>
  <c r="DA8" i="26" s="1"/>
  <c r="DE28" i="1"/>
  <c r="DE40" i="1"/>
  <c r="DA42" i="1"/>
  <c r="CZ65" i="6"/>
  <c r="CY8" i="14" s="1"/>
  <c r="CY42" i="6"/>
  <c r="DC42" i="6"/>
  <c r="DB42" i="6"/>
  <c r="CZ41" i="6"/>
  <c r="CZ42" i="6"/>
  <c r="CZ67" i="6"/>
  <c r="CZ19" i="6"/>
  <c r="CZ20" i="6"/>
  <c r="CY8" i="13" s="1"/>
  <c r="CZ38" i="7"/>
  <c r="DA9" i="26"/>
  <c r="CY57" i="7"/>
  <c r="CY12" i="7"/>
  <c r="CX9" i="26" s="1"/>
  <c r="CU12" i="7"/>
  <c r="CT5" i="26" s="1"/>
  <c r="DA12" i="8"/>
  <c r="DB88" i="4"/>
  <c r="CU89" i="4"/>
  <c r="CY89" i="4"/>
  <c r="CY88" i="4"/>
  <c r="CV89" i="4"/>
  <c r="CV88" i="4"/>
  <c r="CU41" i="4"/>
  <c r="CX42" i="4"/>
  <c r="CW19" i="4"/>
  <c r="CW20" i="4"/>
  <c r="CV7" i="13" s="1"/>
  <c r="CW67" i="4"/>
  <c r="CV19" i="4"/>
  <c r="CV67" i="4"/>
  <c r="CV20" i="4"/>
  <c r="CU7" i="13" s="1"/>
  <c r="DC42" i="4"/>
  <c r="DA42" i="4"/>
  <c r="DB41" i="4"/>
  <c r="DB42" i="4"/>
  <c r="CZ11" i="7"/>
  <c r="CY41" i="4"/>
  <c r="CY42" i="4"/>
  <c r="DE64" i="2"/>
  <c r="DE65" i="2"/>
  <c r="DD6" i="14" s="1"/>
  <c r="CS53" i="7"/>
  <c r="CS55" i="7" s="1"/>
  <c r="CR12" i="15" s="1"/>
  <c r="CT53" i="7"/>
  <c r="CT55" i="7" s="1"/>
  <c r="CS12" i="15" s="1"/>
  <c r="CP38" i="1"/>
  <c r="CP34" i="1"/>
  <c r="CP57" i="1"/>
  <c r="CP54" i="1"/>
  <c r="CP81" i="1"/>
  <c r="CT57" i="1"/>
  <c r="CR57" i="1"/>
  <c r="CO26" i="1"/>
  <c r="CO27" i="1" s="1"/>
  <c r="CQ26" i="1"/>
  <c r="CQ27" i="1" s="1"/>
  <c r="CO63" i="1"/>
  <c r="CO65" i="1" s="1"/>
  <c r="CN5" i="14" s="1"/>
  <c r="CQ63" i="1"/>
  <c r="CQ65" i="1" s="1"/>
  <c r="CP5" i="14" s="1"/>
  <c r="CO73" i="1"/>
  <c r="CO74" i="1" s="1"/>
  <c r="CQ73" i="1"/>
  <c r="CQ74" i="1" s="1"/>
  <c r="CP65" i="1"/>
  <c r="CO5" i="14" s="1"/>
  <c r="CM12" i="1"/>
  <c r="CL5" i="8" s="1"/>
  <c r="CP11" i="1"/>
  <c r="CQ18" i="1"/>
  <c r="CO18" i="1"/>
  <c r="CP26" i="1"/>
  <c r="CQ35" i="1"/>
  <c r="CO35" i="1"/>
  <c r="CQ39" i="1"/>
  <c r="CO39" i="1"/>
  <c r="CQ55" i="1"/>
  <c r="CP5" i="15" s="1"/>
  <c r="CO55" i="1"/>
  <c r="CN5" i="15" s="1"/>
  <c r="CO57" i="1"/>
  <c r="CQ82" i="1"/>
  <c r="CO82" i="1"/>
  <c r="CS5" i="8"/>
  <c r="CT19" i="1"/>
  <c r="CR18" i="1"/>
  <c r="CR19" i="1" s="1"/>
  <c r="CS26" i="1"/>
  <c r="CS27" i="1" s="1"/>
  <c r="CS35" i="1"/>
  <c r="CT34" i="1"/>
  <c r="CR34" i="1"/>
  <c r="CS55" i="1"/>
  <c r="CR5" i="15" s="1"/>
  <c r="CT54" i="1"/>
  <c r="CR54" i="1"/>
  <c r="CS57" i="1"/>
  <c r="CT63" i="1"/>
  <c r="CT65" i="1" s="1"/>
  <c r="CS5" i="14" s="1"/>
  <c r="CR63" i="1"/>
  <c r="CR65" i="1" s="1"/>
  <c r="CQ5" i="14" s="1"/>
  <c r="CT82" i="1"/>
  <c r="CR82" i="1"/>
  <c r="CS81" i="1"/>
  <c r="CR16" i="7"/>
  <c r="CT16" i="7"/>
  <c r="CS17" i="7"/>
  <c r="CS61" i="7"/>
  <c r="CR62" i="7"/>
  <c r="CT62" i="7"/>
  <c r="CS71" i="7"/>
  <c r="CR72" i="7"/>
  <c r="CT72" i="7"/>
  <c r="CS25" i="7"/>
  <c r="CT24" i="7"/>
  <c r="CR24" i="7"/>
  <c r="CO11" i="1"/>
  <c r="CP20" i="1"/>
  <c r="CO5" i="13" s="1"/>
  <c r="CP55" i="1"/>
  <c r="CO5" i="15" s="1"/>
  <c r="CS12" i="1"/>
  <c r="CR5" i="8" s="1"/>
  <c r="CS18" i="1"/>
  <c r="CS19" i="1" s="1"/>
  <c r="CT20" i="1"/>
  <c r="CS5" i="13" s="1"/>
  <c r="CR20" i="1"/>
  <c r="CQ5" i="13" s="1"/>
  <c r="CT55" i="1"/>
  <c r="CS5" i="15" s="1"/>
  <c r="CR55" i="1"/>
  <c r="CQ5" i="15" s="1"/>
  <c r="CS63" i="1"/>
  <c r="CS16" i="7"/>
  <c r="CR17" i="7"/>
  <c r="CR61" i="7"/>
  <c r="CT61" i="7"/>
  <c r="CS62" i="7"/>
  <c r="CR71" i="7"/>
  <c r="CT71" i="7"/>
  <c r="CS72" i="7"/>
  <c r="CT33" i="7"/>
  <c r="CT34" i="7" s="1"/>
  <c r="CR33" i="7"/>
  <c r="CR35" i="7" s="1"/>
  <c r="CQ8" i="26" s="1"/>
  <c r="CS33" i="7"/>
  <c r="CS34" i="7" s="1"/>
  <c r="CT80" i="7"/>
  <c r="CT81" i="7" s="1"/>
  <c r="CR80" i="7"/>
  <c r="CR81" i="7" s="1"/>
  <c r="CS80" i="7"/>
  <c r="CS81" i="7" s="1"/>
  <c r="CQ74" i="5"/>
  <c r="CQ75" i="5"/>
  <c r="CT40" i="5"/>
  <c r="CT41" i="5" s="1"/>
  <c r="CV40" i="5"/>
  <c r="CV41" i="5" s="1"/>
  <c r="CW40" i="5"/>
  <c r="CW41" i="5" s="1"/>
  <c r="CV64" i="5"/>
  <c r="CQ18" i="5"/>
  <c r="CQ19" i="5" s="1"/>
  <c r="CO18" i="5"/>
  <c r="CO19" i="5" s="1"/>
  <c r="CP63" i="5"/>
  <c r="CP64" i="5" s="1"/>
  <c r="CP73" i="5"/>
  <c r="CP74" i="5" s="1"/>
  <c r="CT18" i="5"/>
  <c r="CT19" i="5" s="1"/>
  <c r="CR18" i="5"/>
  <c r="CR19" i="5" s="1"/>
  <c r="CT57" i="5"/>
  <c r="CR57" i="5"/>
  <c r="CT63" i="5"/>
  <c r="CT65" i="5" s="1"/>
  <c r="CS9" i="14" s="1"/>
  <c r="CR63" i="5"/>
  <c r="CR65" i="5" s="1"/>
  <c r="CQ9" i="14" s="1"/>
  <c r="CS73" i="5"/>
  <c r="CS74" i="5" s="1"/>
  <c r="CT86" i="5"/>
  <c r="CR86" i="5"/>
  <c r="CS85" i="5"/>
  <c r="CT17" i="7"/>
  <c r="CO12" i="5"/>
  <c r="CN9" i="8" s="1"/>
  <c r="CQ20" i="5"/>
  <c r="CP9" i="13" s="1"/>
  <c r="CO20" i="5"/>
  <c r="CN9" i="13" s="1"/>
  <c r="CP18" i="5"/>
  <c r="CO28" i="5"/>
  <c r="CO35" i="5"/>
  <c r="CQ55" i="5"/>
  <c r="CP9" i="15" s="1"/>
  <c r="CO55" i="5"/>
  <c r="CN9" i="15" s="1"/>
  <c r="CO54" i="5"/>
  <c r="CP65" i="5"/>
  <c r="CO9" i="14" s="1"/>
  <c r="CQ63" i="5"/>
  <c r="CO63" i="5"/>
  <c r="CP82" i="5"/>
  <c r="CT20" i="5"/>
  <c r="CS9" i="13" s="1"/>
  <c r="CR20" i="5"/>
  <c r="CQ9" i="13" s="1"/>
  <c r="CS18" i="5"/>
  <c r="CR39" i="5"/>
  <c r="CS38" i="5"/>
  <c r="CS63" i="5"/>
  <c r="CT73" i="5"/>
  <c r="CR73" i="5"/>
  <c r="CS86" i="5"/>
  <c r="CT85" i="5"/>
  <c r="CR85" i="5"/>
  <c r="CS10" i="7"/>
  <c r="CS11" i="7" s="1"/>
  <c r="CW12" i="5"/>
  <c r="CV9" i="8" s="1"/>
  <c r="CU12" i="5"/>
  <c r="CT9" i="8" s="1"/>
  <c r="CV18" i="5"/>
  <c r="CV35" i="5"/>
  <c r="CW57" i="5"/>
  <c r="CU57" i="5"/>
  <c r="CW64" i="5"/>
  <c r="CU63" i="5"/>
  <c r="CU64" i="5" s="1"/>
  <c r="CW18" i="5"/>
  <c r="CW19" i="5" s="1"/>
  <c r="CU18" i="5"/>
  <c r="CU20" i="5" s="1"/>
  <c r="CT9" i="13" s="1"/>
  <c r="CQ12" i="1"/>
  <c r="CP5" i="8" s="1"/>
  <c r="CQ57" i="1"/>
  <c r="CO27" i="4"/>
  <c r="CO28" i="4"/>
  <c r="CQ28" i="4"/>
  <c r="CQ27" i="4"/>
  <c r="CO12" i="4"/>
  <c r="CN7" i="8" s="1"/>
  <c r="CO20" i="4"/>
  <c r="CN7" i="13" s="1"/>
  <c r="CP28" i="4"/>
  <c r="CM82" i="1"/>
  <c r="CM65" i="1"/>
  <c r="CL5" i="14" s="1"/>
  <c r="CL65" i="1"/>
  <c r="CK5" i="14" s="1"/>
  <c r="CM55" i="1"/>
  <c r="CL5" i="15" s="1"/>
  <c r="CL35" i="1"/>
  <c r="CM28" i="1"/>
  <c r="CL28" i="1"/>
  <c r="CL19" i="1"/>
  <c r="CM57" i="1"/>
  <c r="CN72" i="2"/>
  <c r="CN73" i="2" s="1"/>
  <c r="CN74" i="2" s="1"/>
  <c r="CM72" i="2"/>
  <c r="CL72" i="2"/>
  <c r="CL73" i="2" s="1"/>
  <c r="CL74" i="2" s="1"/>
  <c r="CN71" i="2"/>
  <c r="CM71" i="2"/>
  <c r="CL71" i="2"/>
  <c r="CN62" i="2"/>
  <c r="CM62" i="2"/>
  <c r="CL62" i="2"/>
  <c r="CL63" i="2" s="1"/>
  <c r="CN61" i="2"/>
  <c r="CM61" i="2"/>
  <c r="CL61" i="2"/>
  <c r="CL85" i="2" s="1"/>
  <c r="CL80" i="2"/>
  <c r="CL81" i="2" s="1"/>
  <c r="CM80" i="2"/>
  <c r="CM81" i="2" s="1"/>
  <c r="CN80" i="2"/>
  <c r="CN81" i="2" s="1"/>
  <c r="CM73" i="2"/>
  <c r="CM74" i="2" s="1"/>
  <c r="CL53" i="2"/>
  <c r="CL55" i="2" s="1"/>
  <c r="CK6" i="15" s="1"/>
  <c r="CM53" i="2"/>
  <c r="CM54" i="2" s="1"/>
  <c r="CN53" i="2"/>
  <c r="CN54" i="2" s="1"/>
  <c r="CN16" i="2"/>
  <c r="CN25" i="2"/>
  <c r="CM25" i="2"/>
  <c r="CM39" i="2" s="1"/>
  <c r="CN24" i="2"/>
  <c r="CM24" i="2"/>
  <c r="CL24" i="2"/>
  <c r="CL26" i="2" s="1"/>
  <c r="CL27" i="2" s="1"/>
  <c r="CL39" i="2"/>
  <c r="CL33" i="2"/>
  <c r="CL34" i="2" s="1"/>
  <c r="CM33" i="2"/>
  <c r="CM34" i="2" s="1"/>
  <c r="CN33" i="2"/>
  <c r="CN34" i="2" s="1"/>
  <c r="CL10" i="2"/>
  <c r="CL11" i="2" s="1"/>
  <c r="CM10" i="2"/>
  <c r="CM11" i="2" s="1"/>
  <c r="CN10" i="2"/>
  <c r="CN12" i="2" s="1"/>
  <c r="CM6" i="8" s="1"/>
  <c r="CM18" i="2"/>
  <c r="CM19" i="2" s="1"/>
  <c r="CL16" i="2"/>
  <c r="CL38" i="2" s="1"/>
  <c r="CN17" i="2"/>
  <c r="CM61" i="4"/>
  <c r="CL61" i="4"/>
  <c r="CL85" i="4" s="1"/>
  <c r="CK61" i="4"/>
  <c r="CJ61" i="4"/>
  <c r="CI61" i="4"/>
  <c r="CK72" i="4"/>
  <c r="CJ72" i="4"/>
  <c r="CI72" i="4"/>
  <c r="CN86" i="4"/>
  <c r="CM62" i="4"/>
  <c r="CM86" i="4" s="1"/>
  <c r="CL62" i="4"/>
  <c r="CL86" i="4" s="1"/>
  <c r="CK62" i="4"/>
  <c r="CJ62" i="4"/>
  <c r="CI62" i="4"/>
  <c r="CM16" i="4"/>
  <c r="CM38" i="4" s="1"/>
  <c r="CL16" i="4"/>
  <c r="CK16" i="4"/>
  <c r="CJ16" i="4"/>
  <c r="CI16" i="4"/>
  <c r="CM25" i="4"/>
  <c r="CJ25" i="4"/>
  <c r="CN85" i="4"/>
  <c r="CL80" i="4"/>
  <c r="CL81" i="4" s="1"/>
  <c r="CM80" i="4"/>
  <c r="CM81" i="4" s="1"/>
  <c r="CN80" i="4"/>
  <c r="CN81" i="4" s="1"/>
  <c r="CL73" i="4"/>
  <c r="CL74" i="4" s="1"/>
  <c r="CM73" i="4"/>
  <c r="CM74" i="4" s="1"/>
  <c r="CN73" i="4"/>
  <c r="CN74" i="4" s="1"/>
  <c r="CN63" i="4"/>
  <c r="CN65" i="4" s="1"/>
  <c r="CM7" i="14" s="1"/>
  <c r="CL53" i="4"/>
  <c r="CL54" i="4" s="1"/>
  <c r="CM53" i="4"/>
  <c r="CM54" i="4" s="1"/>
  <c r="CN53" i="4"/>
  <c r="CN54" i="4" s="1"/>
  <c r="CL38" i="4"/>
  <c r="CN38" i="4"/>
  <c r="CL33" i="4"/>
  <c r="CL34" i="4" s="1"/>
  <c r="CM33" i="4"/>
  <c r="CM34" i="4" s="1"/>
  <c r="CN33" i="4"/>
  <c r="CN34" i="4" s="1"/>
  <c r="CL26" i="4"/>
  <c r="CL27" i="4" s="1"/>
  <c r="CM26" i="4"/>
  <c r="CM27" i="4" s="1"/>
  <c r="CN26" i="4"/>
  <c r="CN27" i="4" s="1"/>
  <c r="CL10" i="4"/>
  <c r="CL11" i="4" s="1"/>
  <c r="CM10" i="4"/>
  <c r="CM11" i="4" s="1"/>
  <c r="CN10" i="4"/>
  <c r="CN12" i="4" s="1"/>
  <c r="CM7" i="8" s="1"/>
  <c r="CN18" i="4"/>
  <c r="CN19" i="4"/>
  <c r="CN20" i="4"/>
  <c r="CM7" i="13" s="1"/>
  <c r="CN39" i="4"/>
  <c r="CM17" i="4"/>
  <c r="CM39" i="4" s="1"/>
  <c r="CL17" i="4"/>
  <c r="CL39" i="4" s="1"/>
  <c r="CJ17" i="4"/>
  <c r="CI17" i="4"/>
  <c r="CN71" i="6"/>
  <c r="CM71" i="6"/>
  <c r="CM73" i="6" s="1"/>
  <c r="CM74" i="6" s="1"/>
  <c r="CL71" i="6"/>
  <c r="CK71" i="6"/>
  <c r="CJ71" i="6"/>
  <c r="CI71" i="6"/>
  <c r="CM61" i="6"/>
  <c r="CN61" i="6"/>
  <c r="CL61" i="6"/>
  <c r="CK61" i="6"/>
  <c r="CJ61" i="6"/>
  <c r="CI61" i="6"/>
  <c r="CN72" i="6"/>
  <c r="CM72" i="6"/>
  <c r="CL72" i="6"/>
  <c r="CK72" i="6"/>
  <c r="CJ72" i="6"/>
  <c r="CI72" i="6"/>
  <c r="CN62" i="6"/>
  <c r="CM62" i="6"/>
  <c r="CL62" i="6"/>
  <c r="CL63" i="6" s="1"/>
  <c r="CL64" i="6" s="1"/>
  <c r="CK62" i="6"/>
  <c r="CJ62" i="6"/>
  <c r="CI62" i="6"/>
  <c r="CN38" i="6"/>
  <c r="CM16" i="6"/>
  <c r="CM38" i="6" s="1"/>
  <c r="CL16" i="6"/>
  <c r="CL38" i="6" s="1"/>
  <c r="CK16" i="6"/>
  <c r="CJ16" i="6"/>
  <c r="CI16" i="6"/>
  <c r="CN17" i="6"/>
  <c r="CN18" i="6" s="1"/>
  <c r="CN19" i="6" s="1"/>
  <c r="CM17" i="6"/>
  <c r="CL17" i="6"/>
  <c r="CK17" i="6"/>
  <c r="CJ17" i="6"/>
  <c r="CN85" i="6"/>
  <c r="CL80" i="6"/>
  <c r="CL81" i="6" s="1"/>
  <c r="CM80" i="6"/>
  <c r="CM81" i="6" s="1"/>
  <c r="CN80" i="6"/>
  <c r="CN81" i="6" s="1"/>
  <c r="CL53" i="6"/>
  <c r="CL54" i="6" s="1"/>
  <c r="CM53" i="6"/>
  <c r="CM54" i="6" s="1"/>
  <c r="CN53" i="6"/>
  <c r="CN54" i="6" s="1"/>
  <c r="CL39" i="6"/>
  <c r="CM39" i="6"/>
  <c r="CN39" i="6"/>
  <c r="CL33" i="6"/>
  <c r="CL34" i="6" s="1"/>
  <c r="CM33" i="6"/>
  <c r="CM34" i="6" s="1"/>
  <c r="CN33" i="6"/>
  <c r="CN34" i="6" s="1"/>
  <c r="CL26" i="6"/>
  <c r="CL27" i="6" s="1"/>
  <c r="CM26" i="6"/>
  <c r="CM27" i="6" s="1"/>
  <c r="CN26" i="6"/>
  <c r="CN28" i="6" s="1"/>
  <c r="CL10" i="6"/>
  <c r="CM10" i="6"/>
  <c r="CM11" i="6" s="1"/>
  <c r="CN10" i="6"/>
  <c r="CN12" i="6" s="1"/>
  <c r="CM8" i="8" s="1"/>
  <c r="CN72" i="5"/>
  <c r="CM72" i="5"/>
  <c r="CL72" i="5"/>
  <c r="CN71" i="5"/>
  <c r="CM71" i="5"/>
  <c r="CL71" i="5"/>
  <c r="CL85" i="5" s="1"/>
  <c r="CN62" i="5"/>
  <c r="CM62" i="5"/>
  <c r="CL62" i="5"/>
  <c r="CN61" i="5"/>
  <c r="CN85" i="5" s="1"/>
  <c r="CM61" i="5"/>
  <c r="CL61" i="5"/>
  <c r="CL25" i="5"/>
  <c r="CL26" i="5" s="1"/>
  <c r="CL27" i="5" s="1"/>
  <c r="CN17" i="5"/>
  <c r="CM17" i="5"/>
  <c r="CM39" i="5" s="1"/>
  <c r="CL17" i="5"/>
  <c r="CN16" i="5"/>
  <c r="CN38" i="5" s="1"/>
  <c r="CM16" i="5"/>
  <c r="CM38" i="5" s="1"/>
  <c r="CL16" i="5"/>
  <c r="CL38" i="5" s="1"/>
  <c r="CL80" i="5"/>
  <c r="CL82" i="5" s="1"/>
  <c r="CM80" i="5"/>
  <c r="CM81" i="5" s="1"/>
  <c r="CN80" i="5"/>
  <c r="CN81" i="5" s="1"/>
  <c r="CL53" i="5"/>
  <c r="CL54" i="5" s="1"/>
  <c r="CM53" i="5"/>
  <c r="CM54" i="5" s="1"/>
  <c r="CN53" i="5"/>
  <c r="CN54" i="5" s="1"/>
  <c r="CL33" i="5"/>
  <c r="CL34" i="5" s="1"/>
  <c r="CM33" i="5"/>
  <c r="CM34" i="5" s="1"/>
  <c r="CN33" i="5"/>
  <c r="CN34" i="5" s="1"/>
  <c r="CM26" i="5"/>
  <c r="CM27" i="5" s="1"/>
  <c r="CN26" i="5"/>
  <c r="CN27" i="5" s="1"/>
  <c r="CM10" i="5"/>
  <c r="CM11" i="5" s="1"/>
  <c r="CN10" i="5"/>
  <c r="CN11" i="5" s="1"/>
  <c r="CL9" i="5"/>
  <c r="CO75" i="6" l="1"/>
  <c r="DA89" i="1"/>
  <c r="CT26" i="7"/>
  <c r="CT27" i="7" s="1"/>
  <c r="CR28" i="2"/>
  <c r="CR87" i="1"/>
  <c r="CR88" i="1" s="1"/>
  <c r="CO87" i="6"/>
  <c r="CM63" i="4"/>
  <c r="CM64" i="4" s="1"/>
  <c r="CN86" i="2"/>
  <c r="CN86" i="5"/>
  <c r="CN87" i="5" s="1"/>
  <c r="CN88" i="5" s="1"/>
  <c r="CL12" i="4"/>
  <c r="CK7" i="8" s="1"/>
  <c r="CM85" i="4"/>
  <c r="CM87" i="4" s="1"/>
  <c r="CM88" i="4" s="1"/>
  <c r="CN38" i="2"/>
  <c r="CL86" i="6"/>
  <c r="CN55" i="2"/>
  <c r="CM6" i="15" s="1"/>
  <c r="CL12" i="2"/>
  <c r="CK6" i="8" s="1"/>
  <c r="CM55" i="6"/>
  <c r="CL8" i="15" s="1"/>
  <c r="CM63" i="2"/>
  <c r="CM64" i="2" s="1"/>
  <c r="CN55" i="5"/>
  <c r="CM9" i="15" s="1"/>
  <c r="CM85" i="5"/>
  <c r="CL73" i="5"/>
  <c r="CL74" i="5" s="1"/>
  <c r="CM26" i="2"/>
  <c r="CM27" i="2" s="1"/>
  <c r="DC28" i="7"/>
  <c r="DB7" i="26" s="1"/>
  <c r="DD89" i="4"/>
  <c r="DC88" i="1"/>
  <c r="DC89" i="1"/>
  <c r="CM67" i="1"/>
  <c r="DC89" i="4"/>
  <c r="CR87" i="4"/>
  <c r="CR89" i="4" s="1"/>
  <c r="CV74" i="7"/>
  <c r="CS75" i="2"/>
  <c r="CQ87" i="4"/>
  <c r="CQ88" i="4" s="1"/>
  <c r="DH64" i="7"/>
  <c r="DE89" i="6"/>
  <c r="CP87" i="1"/>
  <c r="CP89" i="1" s="1"/>
  <c r="CT87" i="1"/>
  <c r="CT88" i="1" s="1"/>
  <c r="CO42" i="5"/>
  <c r="CS75" i="6"/>
  <c r="CP75" i="4"/>
  <c r="DH89" i="6"/>
  <c r="CQ75" i="6"/>
  <c r="CT39" i="7"/>
  <c r="CX89" i="5"/>
  <c r="CN28" i="1"/>
  <c r="CY19" i="7"/>
  <c r="CU28" i="7"/>
  <c r="CT5" i="24" s="1"/>
  <c r="CS40" i="1"/>
  <c r="CS42" i="1" s="1"/>
  <c r="DE12" i="13"/>
  <c r="DF89" i="5"/>
  <c r="DG89" i="4"/>
  <c r="DI75" i="7"/>
  <c r="DH6" i="24" s="1"/>
  <c r="DG88" i="5"/>
  <c r="CQ42" i="5"/>
  <c r="DC87" i="7"/>
  <c r="DC88" i="7" s="1"/>
  <c r="CZ89" i="6"/>
  <c r="CU75" i="7"/>
  <c r="CT6" i="24" s="1"/>
  <c r="CO75" i="2"/>
  <c r="DD9" i="26"/>
  <c r="CY67" i="7"/>
  <c r="CL18" i="6"/>
  <c r="CL19" i="6" s="1"/>
  <c r="CS87" i="6"/>
  <c r="CS88" i="6" s="1"/>
  <c r="CM82" i="6"/>
  <c r="CL85" i="6"/>
  <c r="CQ20" i="6"/>
  <c r="CP8" i="13" s="1"/>
  <c r="CP75" i="6"/>
  <c r="DB89" i="6"/>
  <c r="CO89" i="4"/>
  <c r="DE89" i="2"/>
  <c r="CW89" i="2"/>
  <c r="DH89" i="1"/>
  <c r="CN82" i="2"/>
  <c r="CP74" i="1"/>
  <c r="DG5" i="26"/>
  <c r="DB9" i="26"/>
  <c r="CZ64" i="7"/>
  <c r="DB12" i="8"/>
  <c r="DG12" i="8"/>
  <c r="DC20" i="7"/>
  <c r="DB6" i="26" s="1"/>
  <c r="DI89" i="5"/>
  <c r="DE40" i="7"/>
  <c r="DE41" i="7" s="1"/>
  <c r="DA42" i="6"/>
  <c r="CL87" i="4"/>
  <c r="CL88" i="4" s="1"/>
  <c r="CN35" i="4"/>
  <c r="CO42" i="4"/>
  <c r="CL75" i="1"/>
  <c r="CM75" i="1"/>
  <c r="CV42" i="2"/>
  <c r="DC42" i="2"/>
  <c r="DH89" i="5"/>
  <c r="DB40" i="7"/>
  <c r="DB41" i="7" s="1"/>
  <c r="DA89" i="4"/>
  <c r="DC40" i="7"/>
  <c r="DC41" i="7" s="1"/>
  <c r="CQ42" i="4"/>
  <c r="CN87" i="1"/>
  <c r="CN88" i="1" s="1"/>
  <c r="DB42" i="1"/>
  <c r="CZ12" i="13"/>
  <c r="DD20" i="7"/>
  <c r="DC6" i="26" s="1"/>
  <c r="DG67" i="7"/>
  <c r="DG65" i="7"/>
  <c r="DF12" i="14" s="1"/>
  <c r="DA65" i="7"/>
  <c r="CZ12" i="14" s="1"/>
  <c r="CO75" i="5"/>
  <c r="CX87" i="7"/>
  <c r="CX88" i="7" s="1"/>
  <c r="CP42" i="5"/>
  <c r="CU40" i="7"/>
  <c r="CU42" i="7" s="1"/>
  <c r="CT87" i="6"/>
  <c r="DA87" i="7"/>
  <c r="DA89" i="7" s="1"/>
  <c r="CM28" i="6"/>
  <c r="CL35" i="6"/>
  <c r="CR38" i="7"/>
  <c r="CQ75" i="2"/>
  <c r="CS87" i="1"/>
  <c r="CS89" i="1" s="1"/>
  <c r="CS75" i="1"/>
  <c r="CU89" i="1"/>
  <c r="CM87" i="1"/>
  <c r="CM89" i="1" s="1"/>
  <c r="CM35" i="4"/>
  <c r="DA40" i="7"/>
  <c r="DA41" i="7" s="1"/>
  <c r="CL28" i="4"/>
  <c r="CQ40" i="2"/>
  <c r="CQ41" i="2" s="1"/>
  <c r="CR40" i="1"/>
  <c r="CR42" i="1" s="1"/>
  <c r="CW40" i="7"/>
  <c r="CW42" i="7" s="1"/>
  <c r="CN42" i="1"/>
  <c r="DE28" i="7"/>
  <c r="DD7" i="26" s="1"/>
  <c r="CQ88" i="5"/>
  <c r="CQ89" i="5"/>
  <c r="CU86" i="7"/>
  <c r="CU87" i="7" s="1"/>
  <c r="CU88" i="7" s="1"/>
  <c r="CO87" i="5"/>
  <c r="CO88" i="5" s="1"/>
  <c r="CV42" i="5"/>
  <c r="CX27" i="7"/>
  <c r="CR87" i="6"/>
  <c r="DB87" i="7"/>
  <c r="DB89" i="7" s="1"/>
  <c r="CN35" i="6"/>
  <c r="CM35" i="6"/>
  <c r="CO42" i="6"/>
  <c r="CT42" i="6"/>
  <c r="CQ42" i="6"/>
  <c r="CX75" i="7"/>
  <c r="CW6" i="24" s="1"/>
  <c r="CW7" i="26"/>
  <c r="CW5" i="24"/>
  <c r="CL35" i="4"/>
  <c r="CY27" i="7"/>
  <c r="CN28" i="4"/>
  <c r="CS39" i="7"/>
  <c r="CT38" i="7"/>
  <c r="CV28" i="7"/>
  <c r="CU5" i="24" s="1"/>
  <c r="DA27" i="7"/>
  <c r="CZ7" i="26"/>
  <c r="DE87" i="7"/>
  <c r="DE89" i="7" s="1"/>
  <c r="CS87" i="2"/>
  <c r="CS88" i="2" s="1"/>
  <c r="CT75" i="2"/>
  <c r="CZ42" i="2"/>
  <c r="CO28" i="2"/>
  <c r="CP28" i="2"/>
  <c r="CV40" i="7"/>
  <c r="CV42" i="7" s="1"/>
  <c r="DF28" i="7"/>
  <c r="DE5" i="24" s="1"/>
  <c r="DE42" i="2"/>
  <c r="CP40" i="2"/>
  <c r="CP42" i="2" s="1"/>
  <c r="CT75" i="1"/>
  <c r="CR89" i="1"/>
  <c r="CO40" i="1"/>
  <c r="CO41" i="1" s="1"/>
  <c r="CR28" i="1"/>
  <c r="CT28" i="1"/>
  <c r="DD42" i="7"/>
  <c r="CR73" i="7"/>
  <c r="CR74" i="7" s="1"/>
  <c r="DC65" i="7"/>
  <c r="DB12" i="14" s="1"/>
  <c r="DB20" i="7"/>
  <c r="DA12" i="13" s="1"/>
  <c r="CU18" i="7"/>
  <c r="CU19" i="7" s="1"/>
  <c r="DA19" i="7"/>
  <c r="CX5" i="24"/>
  <c r="CT12" i="7"/>
  <c r="CS5" i="26" s="1"/>
  <c r="CS26" i="7"/>
  <c r="CS27" i="7" s="1"/>
  <c r="DB28" i="7"/>
  <c r="DA7" i="26" s="1"/>
  <c r="DD75" i="7"/>
  <c r="DC6" i="24" s="1"/>
  <c r="DD12" i="8"/>
  <c r="DD28" i="7"/>
  <c r="DC5" i="24" s="1"/>
  <c r="CZ74" i="7"/>
  <c r="DI20" i="7"/>
  <c r="DH6" i="26" s="1"/>
  <c r="DE67" i="7"/>
  <c r="DB65" i="7"/>
  <c r="DA12" i="14" s="1"/>
  <c r="DC67" i="7"/>
  <c r="CT54" i="7"/>
  <c r="DH5" i="26"/>
  <c r="CZ87" i="7"/>
  <c r="CZ88" i="7" s="1"/>
  <c r="DE89" i="5"/>
  <c r="CL81" i="5"/>
  <c r="CN18" i="5"/>
  <c r="CN19" i="5" s="1"/>
  <c r="CN63" i="5"/>
  <c r="CN64" i="5" s="1"/>
  <c r="CM73" i="5"/>
  <c r="CM74" i="5" s="1"/>
  <c r="CN82" i="6"/>
  <c r="CN63" i="6"/>
  <c r="CN64" i="6" s="1"/>
  <c r="CM63" i="6"/>
  <c r="CM64" i="6" s="1"/>
  <c r="CL73" i="6"/>
  <c r="CL74" i="6" s="1"/>
  <c r="CM28" i="4"/>
  <c r="CM65" i="4"/>
  <c r="CL7" i="14" s="1"/>
  <c r="CN18" i="2"/>
  <c r="CN20" i="2" s="1"/>
  <c r="CM6" i="13" s="1"/>
  <c r="CN11" i="2"/>
  <c r="CM75" i="2"/>
  <c r="CL82" i="2"/>
  <c r="CL86" i="2"/>
  <c r="CL87" i="2" s="1"/>
  <c r="CL88" i="2" s="1"/>
  <c r="CN85" i="2"/>
  <c r="CN85" i="7" s="1"/>
  <c r="CM86" i="2"/>
  <c r="CL89" i="1"/>
  <c r="CL67" i="1"/>
  <c r="CT73" i="7"/>
  <c r="CT75" i="7" s="1"/>
  <c r="CS6" i="24" s="1"/>
  <c r="CR75" i="1"/>
  <c r="DA67" i="7"/>
  <c r="DE20" i="7"/>
  <c r="DD6" i="26" s="1"/>
  <c r="CX42" i="1"/>
  <c r="CW18" i="7"/>
  <c r="CW19" i="7" s="1"/>
  <c r="CU63" i="7"/>
  <c r="CU64" i="7" s="1"/>
  <c r="DG89" i="1"/>
  <c r="CR20" i="6"/>
  <c r="CQ8" i="13" s="1"/>
  <c r="CR75" i="4"/>
  <c r="CP65" i="6"/>
  <c r="CO8" i="14" s="1"/>
  <c r="CR89" i="2"/>
  <c r="DH89" i="2"/>
  <c r="CX20" i="7"/>
  <c r="CW6" i="26" s="1"/>
  <c r="CY42" i="2"/>
  <c r="DF89" i="2"/>
  <c r="DH42" i="4"/>
  <c r="CO75" i="4"/>
  <c r="CU41" i="2"/>
  <c r="CU42" i="2"/>
  <c r="CM18" i="5"/>
  <c r="CM19" i="5" s="1"/>
  <c r="CL86" i="5"/>
  <c r="CL87" i="5" s="1"/>
  <c r="CL88" i="5" s="1"/>
  <c r="CM86" i="6"/>
  <c r="CN35" i="2"/>
  <c r="CO67" i="4"/>
  <c r="CO64" i="4"/>
  <c r="CR75" i="2"/>
  <c r="CN28" i="5"/>
  <c r="CM35" i="5"/>
  <c r="CN82" i="5"/>
  <c r="CL18" i="5"/>
  <c r="CL19" i="5" s="1"/>
  <c r="CL63" i="5"/>
  <c r="CL64" i="5" s="1"/>
  <c r="CM63" i="5"/>
  <c r="CM64" i="5" s="1"/>
  <c r="CL82" i="6"/>
  <c r="CM20" i="1"/>
  <c r="CL5" i="13" s="1"/>
  <c r="CP67" i="5"/>
  <c r="CQ20" i="4"/>
  <c r="CP7" i="13" s="1"/>
  <c r="CQ89" i="6"/>
  <c r="CR42" i="4"/>
  <c r="CQ64" i="1"/>
  <c r="CY88" i="1"/>
  <c r="DB75" i="7"/>
  <c r="DA6" i="24" s="1"/>
  <c r="DE74" i="7"/>
  <c r="DA88" i="2"/>
  <c r="DF88" i="6"/>
  <c r="CT40" i="2"/>
  <c r="CT41" i="2" s="1"/>
  <c r="CT87" i="2"/>
  <c r="CT88" i="2" s="1"/>
  <c r="CP67" i="1"/>
  <c r="DB67" i="7"/>
  <c r="CS89" i="4"/>
  <c r="CV88" i="6"/>
  <c r="CV89" i="6"/>
  <c r="DI65" i="7"/>
  <c r="DH12" i="14" s="1"/>
  <c r="DH9" i="26"/>
  <c r="CS54" i="7"/>
  <c r="DF65" i="7"/>
  <c r="DE12" i="14" s="1"/>
  <c r="DG28" i="7"/>
  <c r="DF7" i="26" s="1"/>
  <c r="DH67" i="7"/>
  <c r="CR26" i="7"/>
  <c r="CR27" i="7" s="1"/>
  <c r="CX12" i="13"/>
  <c r="DF67" i="7"/>
  <c r="DF75" i="7"/>
  <c r="DE6" i="24" s="1"/>
  <c r="DH20" i="7"/>
  <c r="DG6" i="26" s="1"/>
  <c r="CT63" i="7"/>
  <c r="CT65" i="7" s="1"/>
  <c r="CS12" i="14" s="1"/>
  <c r="CW12" i="8"/>
  <c r="DE5" i="26"/>
  <c r="CX67" i="7"/>
  <c r="CY5" i="24"/>
  <c r="DE65" i="7"/>
  <c r="DD12" i="14" s="1"/>
  <c r="DG20" i="7"/>
  <c r="DF12" i="13" s="1"/>
  <c r="CR57" i="7"/>
  <c r="CR55" i="7"/>
  <c r="CQ12" i="15" s="1"/>
  <c r="CR18" i="7"/>
  <c r="CR19" i="7" s="1"/>
  <c r="CU12" i="8"/>
  <c r="CW9" i="26"/>
  <c r="CZ27" i="7"/>
  <c r="DI67" i="7"/>
  <c r="CR63" i="7"/>
  <c r="CR64" i="7" s="1"/>
  <c r="CZ12" i="8"/>
  <c r="DF40" i="7"/>
  <c r="DF41" i="7" s="1"/>
  <c r="CS82" i="7"/>
  <c r="CS35" i="7"/>
  <c r="CR8" i="26" s="1"/>
  <c r="CT57" i="7"/>
  <c r="CU9" i="26"/>
  <c r="CY9" i="26"/>
  <c r="CZ9" i="26"/>
  <c r="CY89" i="7"/>
  <c r="DD64" i="7"/>
  <c r="CV63" i="7"/>
  <c r="CV64" i="7" s="1"/>
  <c r="DH75" i="7"/>
  <c r="DG6" i="24" s="1"/>
  <c r="DA74" i="7"/>
  <c r="DA75" i="7"/>
  <c r="CZ6" i="24" s="1"/>
  <c r="CT12" i="8"/>
  <c r="CW74" i="7"/>
  <c r="CR12" i="7"/>
  <c r="CQ5" i="26" s="1"/>
  <c r="CY5" i="26"/>
  <c r="CT9" i="26"/>
  <c r="DC5" i="26"/>
  <c r="CV9" i="26"/>
  <c r="CV12" i="8"/>
  <c r="CZ67" i="7"/>
  <c r="CZ20" i="7"/>
  <c r="CL64" i="2"/>
  <c r="CT41" i="4"/>
  <c r="CT42" i="4"/>
  <c r="CR88" i="4"/>
  <c r="CV19" i="7"/>
  <c r="CV20" i="7"/>
  <c r="CT28" i="7"/>
  <c r="CS5" i="24" s="1"/>
  <c r="CW65" i="7"/>
  <c r="CV12" i="14" s="1"/>
  <c r="CW64" i="7"/>
  <c r="CO88" i="6"/>
  <c r="CO89" i="6"/>
  <c r="CM82" i="2"/>
  <c r="CS64" i="6"/>
  <c r="CS65" i="6"/>
  <c r="CR8" i="14" s="1"/>
  <c r="CS67" i="6"/>
  <c r="DI42" i="4"/>
  <c r="CQ19" i="2"/>
  <c r="CQ20" i="2"/>
  <c r="CP6" i="13" s="1"/>
  <c r="CN39" i="5"/>
  <c r="CN40" i="5" s="1"/>
  <c r="CN41" i="5" s="1"/>
  <c r="CM38" i="2"/>
  <c r="CM40" i="2" s="1"/>
  <c r="CM41" i="2" s="1"/>
  <c r="CL57" i="2"/>
  <c r="CL54" i="2"/>
  <c r="CL75" i="2"/>
  <c r="CM85" i="2"/>
  <c r="CT35" i="7"/>
  <c r="CS8" i="26" s="1"/>
  <c r="CP75" i="5"/>
  <c r="CS73" i="7"/>
  <c r="CS75" i="7" s="1"/>
  <c r="CR6" i="24" s="1"/>
  <c r="CP64" i="1"/>
  <c r="DE42" i="6"/>
  <c r="CW41" i="2"/>
  <c r="CW42" i="2"/>
  <c r="CW89" i="5"/>
  <c r="DD88" i="6"/>
  <c r="DB42" i="2"/>
  <c r="DI87" i="7"/>
  <c r="DI88" i="7" s="1"/>
  <c r="DH87" i="7"/>
  <c r="DH88" i="7" s="1"/>
  <c r="CY42" i="5"/>
  <c r="CR64" i="2"/>
  <c r="CR67" i="2"/>
  <c r="CS42" i="4"/>
  <c r="CP87" i="2"/>
  <c r="CP88" i="2" s="1"/>
  <c r="DH40" i="7"/>
  <c r="DH41" i="7" s="1"/>
  <c r="CQ28" i="2"/>
  <c r="DA88" i="5"/>
  <c r="DA89" i="5"/>
  <c r="CS74" i="4"/>
  <c r="CS75" i="4"/>
  <c r="CQ67" i="4"/>
  <c r="CQ64" i="4"/>
  <c r="CS64" i="2"/>
  <c r="CS67" i="2"/>
  <c r="CR40" i="2"/>
  <c r="CR41" i="2" s="1"/>
  <c r="CQ87" i="2"/>
  <c r="CQ88" i="2" s="1"/>
  <c r="CL39" i="5"/>
  <c r="CL40" i="5" s="1"/>
  <c r="CL41" i="5" s="1"/>
  <c r="CN73" i="5"/>
  <c r="CN75" i="5" s="1"/>
  <c r="CN86" i="6"/>
  <c r="CN87" i="6" s="1"/>
  <c r="CN88" i="6" s="1"/>
  <c r="CN73" i="6"/>
  <c r="CN74" i="6" s="1"/>
  <c r="CN11" i="4"/>
  <c r="CM82" i="4"/>
  <c r="CL18" i="2"/>
  <c r="CN67" i="1"/>
  <c r="CP20" i="4"/>
  <c r="CO7" i="13" s="1"/>
  <c r="CT89" i="4"/>
  <c r="CT82" i="7"/>
  <c r="CX12" i="8"/>
  <c r="DF42" i="1"/>
  <c r="DE12" i="8"/>
  <c r="DD67" i="7"/>
  <c r="CX88" i="2"/>
  <c r="CX89" i="2"/>
  <c r="DC88" i="2"/>
  <c r="DG41" i="1"/>
  <c r="DG42" i="1"/>
  <c r="CV89" i="5"/>
  <c r="CV86" i="7"/>
  <c r="DG87" i="7"/>
  <c r="DG88" i="7" s="1"/>
  <c r="CR42" i="6"/>
  <c r="CT64" i="4"/>
  <c r="CT67" i="4"/>
  <c r="CP19" i="6"/>
  <c r="CP20" i="6"/>
  <c r="CO8" i="13" s="1"/>
  <c r="CP19" i="2"/>
  <c r="CP20" i="2"/>
  <c r="CO6" i="13" s="1"/>
  <c r="CP87" i="4"/>
  <c r="CP88" i="4" s="1"/>
  <c r="CS40" i="6"/>
  <c r="CS41" i="6" s="1"/>
  <c r="CR67" i="4"/>
  <c r="CS65" i="2"/>
  <c r="CR6" i="14" s="1"/>
  <c r="CP87" i="6"/>
  <c r="CP88" i="6" s="1"/>
  <c r="CO89" i="2"/>
  <c r="CL20" i="6"/>
  <c r="CK8" i="13" s="1"/>
  <c r="DG74" i="7"/>
  <c r="DG75" i="7"/>
  <c r="DF6" i="24" s="1"/>
  <c r="CR64" i="6"/>
  <c r="CR67" i="6"/>
  <c r="CW42" i="4"/>
  <c r="CW41" i="4"/>
  <c r="CO64" i="6"/>
  <c r="CO67" i="6"/>
  <c r="CO65" i="6"/>
  <c r="CN8" i="14" s="1"/>
  <c r="CP74" i="2"/>
  <c r="CP75" i="2"/>
  <c r="CO67" i="2"/>
  <c r="CO64" i="2"/>
  <c r="CM20" i="5"/>
  <c r="CL9" i="13" s="1"/>
  <c r="CM86" i="5"/>
  <c r="CN20" i="6"/>
  <c r="CM8" i="13" s="1"/>
  <c r="CM85" i="6"/>
  <c r="CL63" i="4"/>
  <c r="CL64" i="4" s="1"/>
  <c r="CM12" i="5"/>
  <c r="CL9" i="8" s="1"/>
  <c r="CM18" i="6"/>
  <c r="CL18" i="4"/>
  <c r="CL67" i="4" s="1"/>
  <c r="CN57" i="2"/>
  <c r="CN39" i="2"/>
  <c r="CN40" i="2" s="1"/>
  <c r="CN41" i="2" s="1"/>
  <c r="CN65" i="1"/>
  <c r="CM5" i="14" s="1"/>
  <c r="CN75" i="1"/>
  <c r="CT42" i="5"/>
  <c r="CW42" i="5"/>
  <c r="CT18" i="7"/>
  <c r="CT19" i="7" s="1"/>
  <c r="CU40" i="5"/>
  <c r="CP40" i="1"/>
  <c r="CP41" i="1" s="1"/>
  <c r="CW85" i="7"/>
  <c r="CW87" i="7" s="1"/>
  <c r="DI88" i="4"/>
  <c r="DI89" i="4"/>
  <c r="CS42" i="2"/>
  <c r="DA42" i="2"/>
  <c r="DE42" i="4"/>
  <c r="DG40" i="7"/>
  <c r="DG41" i="7" s="1"/>
  <c r="DI40" i="7"/>
  <c r="DI41" i="7" s="1"/>
  <c r="CU89" i="5"/>
  <c r="CQ65" i="4"/>
  <c r="CP7" i="14" s="1"/>
  <c r="CP64" i="4"/>
  <c r="CP67" i="4"/>
  <c r="CP65" i="4"/>
  <c r="CO7" i="14" s="1"/>
  <c r="CQ67" i="6"/>
  <c r="DG7" i="26"/>
  <c r="DG5" i="24"/>
  <c r="CP42" i="6"/>
  <c r="CT67" i="6"/>
  <c r="DH42" i="2"/>
  <c r="CV89" i="2"/>
  <c r="DF41" i="6"/>
  <c r="DF42" i="6"/>
  <c r="CT20" i="6"/>
  <c r="CS8" i="13" s="1"/>
  <c r="CP40" i="4"/>
  <c r="CP42" i="4" s="1"/>
  <c r="CY40" i="7"/>
  <c r="CY41" i="7" s="1"/>
  <c r="CO42" i="2"/>
  <c r="DC12" i="8"/>
  <c r="CX41" i="7"/>
  <c r="DD87" i="7"/>
  <c r="DD88" i="7" s="1"/>
  <c r="DF88" i="1"/>
  <c r="DF89" i="1"/>
  <c r="CQ67" i="1"/>
  <c r="CQ75" i="1"/>
  <c r="CX5" i="26"/>
  <c r="DD88" i="1"/>
  <c r="DD89" i="1"/>
  <c r="DF87" i="7"/>
  <c r="DF88" i="7" s="1"/>
  <c r="DE88" i="1"/>
  <c r="DE41" i="1"/>
  <c r="DE42" i="1"/>
  <c r="CZ40" i="7"/>
  <c r="CZ42" i="7" s="1"/>
  <c r="CS63" i="7"/>
  <c r="CS65" i="7" s="1"/>
  <c r="CR12" i="14" s="1"/>
  <c r="CS18" i="7"/>
  <c r="CS19" i="7" s="1"/>
  <c r="CO64" i="1"/>
  <c r="CO75" i="1"/>
  <c r="CQ28" i="1"/>
  <c r="CO28" i="1"/>
  <c r="CR82" i="7"/>
  <c r="CR34" i="7"/>
  <c r="CR67" i="1"/>
  <c r="CR64" i="1"/>
  <c r="CO19" i="1"/>
  <c r="CO20" i="1"/>
  <c r="CN5" i="13" s="1"/>
  <c r="CT42" i="1"/>
  <c r="CT41" i="1"/>
  <c r="CS20" i="1"/>
  <c r="CR5" i="13" s="1"/>
  <c r="CO67" i="1"/>
  <c r="CS64" i="1"/>
  <c r="CS67" i="1"/>
  <c r="CT67" i="1"/>
  <c r="CT64" i="1"/>
  <c r="CP27" i="1"/>
  <c r="CP28" i="1"/>
  <c r="CQ19" i="1"/>
  <c r="CQ20" i="1"/>
  <c r="CP5" i="13" s="1"/>
  <c r="CS65" i="1"/>
  <c r="CR5" i="14" s="1"/>
  <c r="CS28" i="1"/>
  <c r="CQ40" i="1"/>
  <c r="CQ41" i="1" s="1"/>
  <c r="CV19" i="5"/>
  <c r="CV20" i="5"/>
  <c r="CU9" i="13" s="1"/>
  <c r="CR85" i="7"/>
  <c r="CR87" i="5"/>
  <c r="CR88" i="5" s="1"/>
  <c r="CT74" i="5"/>
  <c r="CT75" i="5"/>
  <c r="CT85" i="7"/>
  <c r="CT87" i="5"/>
  <c r="CT88" i="5" s="1"/>
  <c r="CR74" i="5"/>
  <c r="CR75" i="5"/>
  <c r="CS38" i="7"/>
  <c r="CS40" i="5"/>
  <c r="CQ64" i="5"/>
  <c r="CQ65" i="5"/>
  <c r="CP9" i="14" s="1"/>
  <c r="CQ67" i="5"/>
  <c r="CS85" i="7"/>
  <c r="CS87" i="5"/>
  <c r="CS88" i="5" s="1"/>
  <c r="CT86" i="7"/>
  <c r="CR67" i="5"/>
  <c r="CR64" i="5"/>
  <c r="CN57" i="5"/>
  <c r="CN12" i="5"/>
  <c r="CM9" i="8" s="1"/>
  <c r="CN20" i="5"/>
  <c r="CM9" i="13" s="1"/>
  <c r="CL20" i="5"/>
  <c r="CK9" i="13" s="1"/>
  <c r="CS12" i="7"/>
  <c r="CR5" i="26" s="1"/>
  <c r="CS57" i="7"/>
  <c r="CU19" i="5"/>
  <c r="CW20" i="5"/>
  <c r="CV9" i="13" s="1"/>
  <c r="CS75" i="5"/>
  <c r="CW67" i="5"/>
  <c r="CP89" i="5"/>
  <c r="CU67" i="5"/>
  <c r="CU65" i="5"/>
  <c r="CT9" i="14" s="1"/>
  <c r="CS86" i="7"/>
  <c r="CS64" i="5"/>
  <c r="CS67" i="5"/>
  <c r="CS65" i="5"/>
  <c r="CR9" i="14" s="1"/>
  <c r="CR40" i="5"/>
  <c r="CR39" i="7"/>
  <c r="CS19" i="5"/>
  <c r="CS20" i="5"/>
  <c r="CR9" i="13" s="1"/>
  <c r="CO67" i="5"/>
  <c r="CO64" i="5"/>
  <c r="CO65" i="5"/>
  <c r="CN9" i="14" s="1"/>
  <c r="CP19" i="5"/>
  <c r="CP20" i="5"/>
  <c r="CO9" i="13" s="1"/>
  <c r="CR86" i="7"/>
  <c r="CT67" i="5"/>
  <c r="CT64" i="5"/>
  <c r="CL10" i="5"/>
  <c r="CL11" i="5" s="1"/>
  <c r="CV67" i="5"/>
  <c r="CN40" i="6"/>
  <c r="CN41" i="6" s="1"/>
  <c r="CN67" i="4"/>
  <c r="CN64" i="4"/>
  <c r="CN55" i="4"/>
  <c r="CM7" i="15" s="1"/>
  <c r="CN87" i="4"/>
  <c r="CN88" i="4" s="1"/>
  <c r="CM20" i="2"/>
  <c r="CL6" i="13" s="1"/>
  <c r="CM18" i="4"/>
  <c r="CM19" i="4" s="1"/>
  <c r="CL65" i="4"/>
  <c r="CK7" i="14" s="1"/>
  <c r="CN75" i="4"/>
  <c r="CM40" i="4"/>
  <c r="CM42" i="4" s="1"/>
  <c r="CQ88" i="1"/>
  <c r="CO88" i="1"/>
  <c r="CM42" i="1"/>
  <c r="CL42" i="1"/>
  <c r="CN75" i="2"/>
  <c r="CN63" i="2"/>
  <c r="CM65" i="2"/>
  <c r="CL6" i="14" s="1"/>
  <c r="CL65" i="2"/>
  <c r="CK6" i="14" s="1"/>
  <c r="CM57" i="2"/>
  <c r="CM55" i="2"/>
  <c r="CL6" i="15" s="1"/>
  <c r="CM67" i="2"/>
  <c r="CL35" i="2"/>
  <c r="CM35" i="2"/>
  <c r="CN26" i="2"/>
  <c r="CN27" i="2" s="1"/>
  <c r="CL28" i="2"/>
  <c r="CL40" i="2"/>
  <c r="CL41" i="2" s="1"/>
  <c r="CM12" i="2"/>
  <c r="CL6" i="8" s="1"/>
  <c r="CN57" i="4"/>
  <c r="CL57" i="4"/>
  <c r="CL55" i="4"/>
  <c r="CK7" i="15" s="1"/>
  <c r="CN82" i="4"/>
  <c r="CL82" i="4"/>
  <c r="CM75" i="4"/>
  <c r="CL75" i="4"/>
  <c r="CM55" i="4"/>
  <c r="CL7" i="15" s="1"/>
  <c r="CN40" i="4"/>
  <c r="CN41" i="4" s="1"/>
  <c r="CM12" i="4"/>
  <c r="CL7" i="8" s="1"/>
  <c r="CL40" i="4"/>
  <c r="CL41" i="4" s="1"/>
  <c r="CM57" i="4"/>
  <c r="CM75" i="6"/>
  <c r="CL65" i="6"/>
  <c r="CK8" i="14" s="1"/>
  <c r="CN57" i="6"/>
  <c r="CN55" i="6"/>
  <c r="CM8" i="15" s="1"/>
  <c r="CL57" i="6"/>
  <c r="CL55" i="6"/>
  <c r="CK8" i="15" s="1"/>
  <c r="CN27" i="6"/>
  <c r="CN11" i="6"/>
  <c r="CM12" i="6"/>
  <c r="CL8" i="8" s="1"/>
  <c r="CM40" i="6"/>
  <c r="CM41" i="6" s="1"/>
  <c r="CM57" i="6"/>
  <c r="CL12" i="6"/>
  <c r="CK8" i="8" s="1"/>
  <c r="CL11" i="6"/>
  <c r="CL40" i="6"/>
  <c r="CL41" i="6" s="1"/>
  <c r="CL28" i="6"/>
  <c r="CL67" i="6"/>
  <c r="CM82" i="5"/>
  <c r="CL75" i="5"/>
  <c r="CM67" i="5"/>
  <c r="CM65" i="5"/>
  <c r="CL9" i="14" s="1"/>
  <c r="CL65" i="5"/>
  <c r="CK9" i="14" s="1"/>
  <c r="CM55" i="5"/>
  <c r="CL9" i="15" s="1"/>
  <c r="CL55" i="5"/>
  <c r="CK9" i="15" s="1"/>
  <c r="CN35" i="5"/>
  <c r="CL35" i="5"/>
  <c r="CM40" i="5"/>
  <c r="CM42" i="5" s="1"/>
  <c r="CL28" i="5"/>
  <c r="CM28" i="5"/>
  <c r="CN67" i="5"/>
  <c r="CL67" i="5"/>
  <c r="CM57" i="5"/>
  <c r="CJ72" i="5"/>
  <c r="CK72" i="5"/>
  <c r="CI72" i="5"/>
  <c r="CK71" i="5"/>
  <c r="CK73" i="5" s="1"/>
  <c r="CK75" i="5" s="1"/>
  <c r="CJ71" i="5"/>
  <c r="CI71" i="5"/>
  <c r="CK62" i="5"/>
  <c r="CJ62" i="5"/>
  <c r="CI62" i="5"/>
  <c r="CK61" i="5"/>
  <c r="CJ61" i="5"/>
  <c r="CI61" i="5"/>
  <c r="CI85" i="5" s="1"/>
  <c r="CK17" i="5"/>
  <c r="CJ17" i="5"/>
  <c r="CJ39" i="5" s="1"/>
  <c r="CI17" i="5"/>
  <c r="CK16" i="5"/>
  <c r="CK38" i="5" s="1"/>
  <c r="CJ16" i="5"/>
  <c r="CI16" i="5"/>
  <c r="CI38" i="5" s="1"/>
  <c r="CK71" i="1"/>
  <c r="CK85" i="1" s="1"/>
  <c r="CK72" i="1"/>
  <c r="CK72" i="7" s="1"/>
  <c r="CJ72" i="1"/>
  <c r="CI72" i="1"/>
  <c r="CH72" i="1"/>
  <c r="CH86" i="1" s="1"/>
  <c r="CG72" i="1"/>
  <c r="CF72" i="1"/>
  <c r="CJ71" i="1"/>
  <c r="CI71" i="1"/>
  <c r="CH71" i="1"/>
  <c r="CG71" i="1"/>
  <c r="CF71" i="1"/>
  <c r="CK62" i="1"/>
  <c r="CJ62" i="1"/>
  <c r="CI62" i="1"/>
  <c r="CH62" i="1"/>
  <c r="CG62" i="1"/>
  <c r="CG63" i="1" s="1"/>
  <c r="CG64" i="1" s="1"/>
  <c r="CF62" i="1"/>
  <c r="CK61" i="1"/>
  <c r="CJ61" i="1"/>
  <c r="CI61" i="1"/>
  <c r="CI63" i="1" s="1"/>
  <c r="CH61" i="1"/>
  <c r="CG61" i="1"/>
  <c r="CG85" i="1" s="1"/>
  <c r="CF61" i="1"/>
  <c r="CK25" i="1"/>
  <c r="CJ25" i="1"/>
  <c r="CJ25" i="7" s="1"/>
  <c r="CI25" i="1"/>
  <c r="CK24" i="1"/>
  <c r="CJ24" i="1"/>
  <c r="CI24" i="1"/>
  <c r="CK17" i="1"/>
  <c r="CJ17" i="1"/>
  <c r="CI17" i="1"/>
  <c r="CI39" i="1" s="1"/>
  <c r="CK16" i="1"/>
  <c r="CK16" i="7" s="1"/>
  <c r="CJ16" i="1"/>
  <c r="CI16" i="1"/>
  <c r="CI71" i="4"/>
  <c r="CI85" i="4" s="1"/>
  <c r="CH25" i="1"/>
  <c r="CG25" i="1"/>
  <c r="CF25" i="1"/>
  <c r="CH24" i="1"/>
  <c r="CG24" i="1"/>
  <c r="CF24" i="1"/>
  <c r="CH17" i="1"/>
  <c r="CG17" i="1"/>
  <c r="CG39" i="1" s="1"/>
  <c r="CF17" i="1"/>
  <c r="CH16" i="1"/>
  <c r="CG16" i="1"/>
  <c r="CF16" i="1"/>
  <c r="CF38" i="1" s="1"/>
  <c r="CF80" i="1"/>
  <c r="CF81" i="1" s="1"/>
  <c r="CG80" i="1"/>
  <c r="CG81" i="1" s="1"/>
  <c r="CH80" i="1"/>
  <c r="CH82" i="1" s="1"/>
  <c r="CF53" i="1"/>
  <c r="CF54" i="1" s="1"/>
  <c r="CG53" i="1"/>
  <c r="CG54" i="1" s="1"/>
  <c r="CH53" i="1"/>
  <c r="CH54" i="1" s="1"/>
  <c r="CF33" i="1"/>
  <c r="CF34" i="1" s="1"/>
  <c r="CG33" i="1"/>
  <c r="CG34" i="1" s="1"/>
  <c r="CH33" i="1"/>
  <c r="CH34" i="1" s="1"/>
  <c r="CF10" i="1"/>
  <c r="CG10" i="1"/>
  <c r="CG11" i="1" s="1"/>
  <c r="CH10" i="1"/>
  <c r="CK72" i="2"/>
  <c r="CJ72" i="2"/>
  <c r="CI72" i="2"/>
  <c r="CK71" i="2"/>
  <c r="CJ71" i="2"/>
  <c r="CI71" i="2"/>
  <c r="CK62" i="2"/>
  <c r="CJ62" i="2"/>
  <c r="CI62" i="2"/>
  <c r="CK61" i="2"/>
  <c r="CJ61" i="2"/>
  <c r="CI61" i="2"/>
  <c r="CK25" i="2"/>
  <c r="CJ25" i="2"/>
  <c r="CI25" i="2"/>
  <c r="CK24" i="2"/>
  <c r="CJ24" i="2"/>
  <c r="CI24" i="2"/>
  <c r="CK17" i="2"/>
  <c r="CJ17" i="2"/>
  <c r="CJ39" i="2" s="1"/>
  <c r="CI17" i="2"/>
  <c r="CK16" i="2"/>
  <c r="CJ16" i="2"/>
  <c r="CI16" i="2"/>
  <c r="CH72" i="2"/>
  <c r="CG72" i="2"/>
  <c r="CF72" i="2"/>
  <c r="CE72" i="2"/>
  <c r="CD72" i="2"/>
  <c r="CC72" i="2"/>
  <c r="CH71" i="2"/>
  <c r="CG71" i="2"/>
  <c r="CF71" i="2"/>
  <c r="CE71" i="2"/>
  <c r="CD71" i="2"/>
  <c r="CC71" i="2"/>
  <c r="CC73" i="2" s="1"/>
  <c r="CC74" i="2" s="1"/>
  <c r="CH62" i="2"/>
  <c r="CG62" i="2"/>
  <c r="CF62" i="2"/>
  <c r="CE62" i="2"/>
  <c r="CD62" i="2"/>
  <c r="CD86" i="2" s="1"/>
  <c r="CC62" i="2"/>
  <c r="CC86" i="2" s="1"/>
  <c r="CH61" i="2"/>
  <c r="CG61" i="2"/>
  <c r="CG85" i="2" s="1"/>
  <c r="CF61" i="2"/>
  <c r="CE61" i="2"/>
  <c r="CE85" i="2" s="1"/>
  <c r="CD61" i="2"/>
  <c r="CD63" i="2" s="1"/>
  <c r="CD64" i="2" s="1"/>
  <c r="CC61" i="2"/>
  <c r="CG73" i="2"/>
  <c r="CG74" i="2" s="1"/>
  <c r="CC80" i="2"/>
  <c r="CC81" i="2" s="1"/>
  <c r="CD80" i="2"/>
  <c r="CD81" i="2" s="1"/>
  <c r="CE80" i="2"/>
  <c r="CE81" i="2" s="1"/>
  <c r="CF80" i="2"/>
  <c r="CF81" i="2" s="1"/>
  <c r="CG80" i="2"/>
  <c r="CG82" i="2" s="1"/>
  <c r="CH80" i="2"/>
  <c r="CH82" i="2" s="1"/>
  <c r="CH85" i="2"/>
  <c r="CD53" i="2"/>
  <c r="CD54" i="2" s="1"/>
  <c r="CE53" i="2"/>
  <c r="CE55" i="2" s="1"/>
  <c r="CD6" i="15" s="1"/>
  <c r="CF53" i="2"/>
  <c r="CG53" i="2"/>
  <c r="CG54" i="2" s="1"/>
  <c r="CH53" i="2"/>
  <c r="CH54" i="2" s="1"/>
  <c r="CE54" i="2"/>
  <c r="CF54" i="2"/>
  <c r="CD55" i="2"/>
  <c r="CC6" i="15" s="1"/>
  <c r="CF55" i="2"/>
  <c r="CE6" i="15" s="1"/>
  <c r="CH55" i="2"/>
  <c r="CG6" i="15" s="1"/>
  <c r="CC51" i="2"/>
  <c r="CH25" i="2"/>
  <c r="CG25" i="2"/>
  <c r="CG25" i="7" s="1"/>
  <c r="CF25" i="2"/>
  <c r="CE25" i="2"/>
  <c r="CD25" i="2"/>
  <c r="CC25" i="2"/>
  <c r="CH24" i="2"/>
  <c r="CG24" i="2"/>
  <c r="CF24" i="2"/>
  <c r="CE24" i="2"/>
  <c r="CD24" i="2"/>
  <c r="CC24" i="2"/>
  <c r="CC26" i="2" s="1"/>
  <c r="CC27" i="2" s="1"/>
  <c r="CE17" i="2"/>
  <c r="CF17" i="2"/>
  <c r="CG17" i="2"/>
  <c r="CH17" i="2"/>
  <c r="CD17" i="2"/>
  <c r="CD39" i="2" s="1"/>
  <c r="CC17" i="2"/>
  <c r="CH16" i="2"/>
  <c r="CG16" i="2"/>
  <c r="CG38" i="2" s="1"/>
  <c r="CF16" i="2"/>
  <c r="CE16" i="2"/>
  <c r="CD16" i="2"/>
  <c r="CD38" i="2" s="1"/>
  <c r="CC16" i="2"/>
  <c r="CC38" i="2" s="1"/>
  <c r="CF38" i="2"/>
  <c r="CC39" i="2"/>
  <c r="CC33" i="2"/>
  <c r="CC35" i="2" s="1"/>
  <c r="CD33" i="2"/>
  <c r="CD34" i="2" s="1"/>
  <c r="CE33" i="2"/>
  <c r="CE34" i="2" s="1"/>
  <c r="CF33" i="2"/>
  <c r="CF35" i="2" s="1"/>
  <c r="CG33" i="2"/>
  <c r="CG35" i="2" s="1"/>
  <c r="CH33" i="2"/>
  <c r="CH34" i="2" s="1"/>
  <c r="CC10" i="2"/>
  <c r="CC12" i="2" s="1"/>
  <c r="CB6" i="8" s="1"/>
  <c r="CD10" i="2"/>
  <c r="CE10" i="2"/>
  <c r="CE57" i="2" s="1"/>
  <c r="CF10" i="2"/>
  <c r="CF12" i="2" s="1"/>
  <c r="CE6" i="8" s="1"/>
  <c r="CG10" i="2"/>
  <c r="CG57" i="2" s="1"/>
  <c r="CH10" i="2"/>
  <c r="CH12" i="2" s="1"/>
  <c r="CG6" i="8" s="1"/>
  <c r="CG11" i="2"/>
  <c r="CD12" i="2"/>
  <c r="CC6" i="8" s="1"/>
  <c r="CH72" i="5"/>
  <c r="CG72" i="5"/>
  <c r="CF72" i="5"/>
  <c r="CH71" i="5"/>
  <c r="CG71" i="5"/>
  <c r="CF71" i="5"/>
  <c r="CF85" i="5" s="1"/>
  <c r="CH62" i="5"/>
  <c r="CG62" i="5"/>
  <c r="CF62" i="5"/>
  <c r="CH61" i="5"/>
  <c r="CG61" i="5"/>
  <c r="CF61" i="5"/>
  <c r="CH17" i="5"/>
  <c r="CG17" i="5"/>
  <c r="CG39" i="5" s="1"/>
  <c r="CF17" i="5"/>
  <c r="CH16" i="5"/>
  <c r="CH38" i="5" s="1"/>
  <c r="CF16" i="5"/>
  <c r="CF18" i="5" s="1"/>
  <c r="CF19" i="5" s="1"/>
  <c r="CG16" i="5"/>
  <c r="CF80" i="5"/>
  <c r="CF81" i="5" s="1"/>
  <c r="CG80" i="5"/>
  <c r="CG81" i="5" s="1"/>
  <c r="CH80" i="5"/>
  <c r="CH81" i="5" s="1"/>
  <c r="CF73" i="5"/>
  <c r="CF74" i="5" s="1"/>
  <c r="CF53" i="5"/>
  <c r="CF54" i="5" s="1"/>
  <c r="CG53" i="5"/>
  <c r="CG54" i="5" s="1"/>
  <c r="CH53" i="5"/>
  <c r="CH55" i="5" s="1"/>
  <c r="CG9" i="15" s="1"/>
  <c r="CF39" i="5"/>
  <c r="CF33" i="5"/>
  <c r="CF34" i="5" s="1"/>
  <c r="CG33" i="5"/>
  <c r="CG34" i="5" s="1"/>
  <c r="CH33" i="5"/>
  <c r="CH34" i="5" s="1"/>
  <c r="CF26" i="5"/>
  <c r="CF27" i="5" s="1"/>
  <c r="CG26" i="5"/>
  <c r="CG27" i="5" s="1"/>
  <c r="CH26" i="5"/>
  <c r="CH28" i="5" s="1"/>
  <c r="CH18" i="5"/>
  <c r="CH19" i="5" s="1"/>
  <c r="CF10" i="5"/>
  <c r="CF11" i="5" s="1"/>
  <c r="CG10" i="5"/>
  <c r="CG11" i="5" s="1"/>
  <c r="CH10" i="5"/>
  <c r="CH12" i="5" s="1"/>
  <c r="CG9" i="8" s="1"/>
  <c r="CF12" i="5"/>
  <c r="CE9" i="8" s="1"/>
  <c r="CG61" i="4"/>
  <c r="CG85" i="4" s="1"/>
  <c r="CF72" i="4"/>
  <c r="CG72" i="4"/>
  <c r="CG73" i="4" s="1"/>
  <c r="CG74" i="4" s="1"/>
  <c r="CH72" i="4"/>
  <c r="CH73" i="4" s="1"/>
  <c r="CH74" i="4" s="1"/>
  <c r="CF71" i="4"/>
  <c r="CH62" i="4"/>
  <c r="CG62" i="4"/>
  <c r="CF62" i="4"/>
  <c r="CH61" i="4"/>
  <c r="CH85" i="4" s="1"/>
  <c r="CF61" i="4"/>
  <c r="CH16" i="4"/>
  <c r="CH38" i="4" s="1"/>
  <c r="CG16" i="4"/>
  <c r="CG38" i="4" s="1"/>
  <c r="CF16" i="4"/>
  <c r="CF38" i="4" s="1"/>
  <c r="CF80" i="4"/>
  <c r="CF81" i="4" s="1"/>
  <c r="CG80" i="4"/>
  <c r="CG81" i="4" s="1"/>
  <c r="CH80" i="4"/>
  <c r="CH81" i="4" s="1"/>
  <c r="CF63" i="4"/>
  <c r="CF64" i="4" s="1"/>
  <c r="CF53" i="4"/>
  <c r="CG53" i="4"/>
  <c r="CG54" i="4" s="1"/>
  <c r="CH53" i="4"/>
  <c r="CF33" i="4"/>
  <c r="CF34" i="4" s="1"/>
  <c r="CG33" i="4"/>
  <c r="CG34" i="4" s="1"/>
  <c r="CH33" i="4"/>
  <c r="CH34" i="4" s="1"/>
  <c r="CF26" i="4"/>
  <c r="CF27" i="4" s="1"/>
  <c r="CG26" i="4"/>
  <c r="CG27" i="4" s="1"/>
  <c r="CH26" i="4"/>
  <c r="CH27" i="4" s="1"/>
  <c r="CF10" i="4"/>
  <c r="CG10" i="4"/>
  <c r="CG11" i="4" s="1"/>
  <c r="CH10" i="4"/>
  <c r="CH11" i="4" s="1"/>
  <c r="CH17" i="4"/>
  <c r="CG17" i="4"/>
  <c r="CG39" i="4" s="1"/>
  <c r="CF17" i="4"/>
  <c r="CF39" i="4" s="1"/>
  <c r="CH72" i="6"/>
  <c r="CG72" i="6"/>
  <c r="CF72" i="6"/>
  <c r="CH71" i="6"/>
  <c r="CG71" i="6"/>
  <c r="CF71" i="6"/>
  <c r="CH62" i="6"/>
  <c r="CG62" i="6"/>
  <c r="CF62" i="6"/>
  <c r="CH61" i="6"/>
  <c r="CH85" i="6" s="1"/>
  <c r="CG61" i="6"/>
  <c r="CF61" i="6"/>
  <c r="CH16" i="6"/>
  <c r="CH38" i="6" s="1"/>
  <c r="CH17" i="6"/>
  <c r="CH39" i="6" s="1"/>
  <c r="CG17" i="6"/>
  <c r="CG39" i="6" s="1"/>
  <c r="CF17" i="6"/>
  <c r="CF39" i="6" s="1"/>
  <c r="CG16" i="6"/>
  <c r="CF85" i="6"/>
  <c r="CF80" i="6"/>
  <c r="CF81" i="6" s="1"/>
  <c r="CG80" i="6"/>
  <c r="CG81" i="6" s="1"/>
  <c r="CH80" i="6"/>
  <c r="CH81" i="6" s="1"/>
  <c r="CF53" i="6"/>
  <c r="CF54" i="6" s="1"/>
  <c r="CG53" i="6"/>
  <c r="CG54" i="6" s="1"/>
  <c r="CH53" i="6"/>
  <c r="CH54" i="6" s="1"/>
  <c r="CF38" i="6"/>
  <c r="CG38" i="6"/>
  <c r="CF33" i="6"/>
  <c r="CF34" i="6" s="1"/>
  <c r="CG33" i="6"/>
  <c r="CG34" i="6" s="1"/>
  <c r="CH33" i="6"/>
  <c r="CH35" i="6" s="1"/>
  <c r="CF26" i="6"/>
  <c r="CF27" i="6" s="1"/>
  <c r="CG26" i="6"/>
  <c r="CG27" i="6" s="1"/>
  <c r="CH26" i="6"/>
  <c r="CH28" i="6" s="1"/>
  <c r="CF10" i="6"/>
  <c r="CF57" i="6" s="1"/>
  <c r="CG10" i="6"/>
  <c r="CG11" i="6" s="1"/>
  <c r="CH10" i="6"/>
  <c r="CH12" i="6" s="1"/>
  <c r="CG8" i="8" s="1"/>
  <c r="CF51" i="7"/>
  <c r="CG51" i="7"/>
  <c r="CH51" i="7"/>
  <c r="CI51" i="7"/>
  <c r="CJ51" i="7"/>
  <c r="CK51" i="7"/>
  <c r="CL51" i="7"/>
  <c r="CM51" i="7"/>
  <c r="CN51" i="7"/>
  <c r="CO51" i="7"/>
  <c r="CP51" i="7"/>
  <c r="CQ51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L61" i="7"/>
  <c r="CM61" i="7"/>
  <c r="CN61" i="7"/>
  <c r="CO61" i="7"/>
  <c r="CP61" i="7"/>
  <c r="CQ61" i="7"/>
  <c r="CI62" i="7"/>
  <c r="CJ62" i="7"/>
  <c r="CL62" i="7"/>
  <c r="CM62" i="7"/>
  <c r="CN62" i="7"/>
  <c r="CO62" i="7"/>
  <c r="CP62" i="7"/>
  <c r="CQ62" i="7"/>
  <c r="CL71" i="7"/>
  <c r="CM71" i="7"/>
  <c r="CN71" i="7"/>
  <c r="CO71" i="7"/>
  <c r="CP71" i="7"/>
  <c r="CQ71" i="7"/>
  <c r="CJ72" i="7"/>
  <c r="CL72" i="7"/>
  <c r="CM72" i="7"/>
  <c r="CN72" i="7"/>
  <c r="CO72" i="7"/>
  <c r="CP72" i="7"/>
  <c r="CQ72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O85" i="7"/>
  <c r="CP85" i="7"/>
  <c r="CQ85" i="7"/>
  <c r="CO86" i="7"/>
  <c r="CP86" i="7"/>
  <c r="CQ86" i="7"/>
  <c r="CF8" i="7"/>
  <c r="CG8" i="7"/>
  <c r="CH8" i="7"/>
  <c r="CI8" i="7"/>
  <c r="CJ8" i="7"/>
  <c r="CK8" i="7"/>
  <c r="CL8" i="7"/>
  <c r="CM8" i="7"/>
  <c r="CN8" i="7"/>
  <c r="CF9" i="7"/>
  <c r="CG9" i="7"/>
  <c r="CH9" i="7"/>
  <c r="CI9" i="7"/>
  <c r="CJ9" i="7"/>
  <c r="CK9" i="7"/>
  <c r="CL9" i="7"/>
  <c r="CM9" i="7"/>
  <c r="CN9" i="7"/>
  <c r="CO9" i="7"/>
  <c r="CP9" i="7"/>
  <c r="CQ9" i="7"/>
  <c r="CL16" i="7"/>
  <c r="CM16" i="7"/>
  <c r="CN16" i="7"/>
  <c r="CO16" i="7"/>
  <c r="CP16" i="7"/>
  <c r="CQ16" i="7"/>
  <c r="CL17" i="7"/>
  <c r="CM17" i="7"/>
  <c r="CN17" i="7"/>
  <c r="CO17" i="7"/>
  <c r="CP17" i="7"/>
  <c r="CQ17" i="7"/>
  <c r="CF24" i="7"/>
  <c r="CL24" i="7"/>
  <c r="CM24" i="7"/>
  <c r="CN24" i="7"/>
  <c r="CO24" i="7"/>
  <c r="CP24" i="7"/>
  <c r="CQ24" i="7"/>
  <c r="CL25" i="7"/>
  <c r="CM25" i="7"/>
  <c r="CN25" i="7"/>
  <c r="CO25" i="7"/>
  <c r="CP25" i="7"/>
  <c r="CQ25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L38" i="7"/>
  <c r="CN38" i="7"/>
  <c r="CO38" i="7"/>
  <c r="CP38" i="7"/>
  <c r="CQ38" i="7"/>
  <c r="CM39" i="7"/>
  <c r="CO39" i="7"/>
  <c r="CP39" i="7"/>
  <c r="CQ39" i="7"/>
  <c r="CK86" i="6"/>
  <c r="CJ86" i="6"/>
  <c r="CI86" i="6"/>
  <c r="CK85" i="6"/>
  <c r="CJ85" i="6"/>
  <c r="CI85" i="6"/>
  <c r="CK80" i="6"/>
  <c r="CK82" i="6" s="1"/>
  <c r="CJ80" i="6"/>
  <c r="CJ82" i="6" s="1"/>
  <c r="CI80" i="6"/>
  <c r="CI82" i="6" s="1"/>
  <c r="CK73" i="6"/>
  <c r="CK75" i="6" s="1"/>
  <c r="CJ73" i="6"/>
  <c r="CJ75" i="6" s="1"/>
  <c r="CI73" i="6"/>
  <c r="CI75" i="6" s="1"/>
  <c r="CK63" i="6"/>
  <c r="CK64" i="6" s="1"/>
  <c r="CJ63" i="6"/>
  <c r="CJ65" i="6" s="1"/>
  <c r="CI8" i="14" s="1"/>
  <c r="CI63" i="6"/>
  <c r="CI64" i="6" s="1"/>
  <c r="CK53" i="6"/>
  <c r="CJ53" i="6"/>
  <c r="CJ55" i="6" s="1"/>
  <c r="CI8" i="15" s="1"/>
  <c r="CI53" i="6"/>
  <c r="CK39" i="6"/>
  <c r="CJ39" i="6"/>
  <c r="CI39" i="6"/>
  <c r="CK38" i="6"/>
  <c r="CI38" i="6"/>
  <c r="CK33" i="6"/>
  <c r="CK35" i="6" s="1"/>
  <c r="CJ33" i="6"/>
  <c r="CJ34" i="6" s="1"/>
  <c r="CI33" i="6"/>
  <c r="CI35" i="6" s="1"/>
  <c r="CK26" i="6"/>
  <c r="CK27" i="6" s="1"/>
  <c r="CJ26" i="6"/>
  <c r="CJ28" i="6" s="1"/>
  <c r="CI26" i="6"/>
  <c r="CI27" i="6" s="1"/>
  <c r="CK18" i="6"/>
  <c r="CK20" i="6" s="1"/>
  <c r="CJ8" i="13" s="1"/>
  <c r="CJ18" i="6"/>
  <c r="CJ19" i="6" s="1"/>
  <c r="CI18" i="6"/>
  <c r="CI20" i="6" s="1"/>
  <c r="CH8" i="13" s="1"/>
  <c r="CK10" i="6"/>
  <c r="CK11" i="6" s="1"/>
  <c r="CJ10" i="6"/>
  <c r="CJ12" i="6" s="1"/>
  <c r="CI8" i="8" s="1"/>
  <c r="CI10" i="6"/>
  <c r="CI11" i="6" s="1"/>
  <c r="CJ86" i="5"/>
  <c r="CJ85" i="5"/>
  <c r="CK80" i="5"/>
  <c r="CK81" i="5" s="1"/>
  <c r="CJ80" i="5"/>
  <c r="CJ82" i="5" s="1"/>
  <c r="CI80" i="5"/>
  <c r="CI81" i="5" s="1"/>
  <c r="CJ73" i="5"/>
  <c r="CJ74" i="5" s="1"/>
  <c r="CK53" i="5"/>
  <c r="CK55" i="5" s="1"/>
  <c r="CJ9" i="15" s="1"/>
  <c r="CJ53" i="5"/>
  <c r="CJ55" i="5" s="1"/>
  <c r="CI9" i="15" s="1"/>
  <c r="CI53" i="5"/>
  <c r="CI55" i="5" s="1"/>
  <c r="CH9" i="15" s="1"/>
  <c r="CK39" i="5"/>
  <c r="CI39" i="5"/>
  <c r="CJ38" i="5"/>
  <c r="CK33" i="5"/>
  <c r="CK34" i="5" s="1"/>
  <c r="CJ33" i="5"/>
  <c r="CJ35" i="5" s="1"/>
  <c r="CI33" i="5"/>
  <c r="CI34" i="5" s="1"/>
  <c r="CK26" i="5"/>
  <c r="CK28" i="5" s="1"/>
  <c r="CJ26" i="5"/>
  <c r="CJ27" i="5" s="1"/>
  <c r="CI26" i="5"/>
  <c r="CI28" i="5" s="1"/>
  <c r="CK18" i="5"/>
  <c r="CK19" i="5" s="1"/>
  <c r="CK10" i="5"/>
  <c r="CK12" i="5" s="1"/>
  <c r="CJ9" i="8" s="1"/>
  <c r="CJ10" i="5"/>
  <c r="CJ11" i="5" s="1"/>
  <c r="CI10" i="5"/>
  <c r="CI12" i="5" s="1"/>
  <c r="CH9" i="8" s="1"/>
  <c r="CK86" i="4"/>
  <c r="CJ86" i="4"/>
  <c r="CI86" i="4"/>
  <c r="CK85" i="4"/>
  <c r="CJ85" i="4"/>
  <c r="CK80" i="4"/>
  <c r="CK82" i="4" s="1"/>
  <c r="CJ80" i="4"/>
  <c r="CJ81" i="4" s="1"/>
  <c r="CI80" i="4"/>
  <c r="CI82" i="4" s="1"/>
  <c r="CK73" i="4"/>
  <c r="CK74" i="4" s="1"/>
  <c r="CJ73" i="4"/>
  <c r="CJ75" i="4" s="1"/>
  <c r="CI73" i="4"/>
  <c r="CI74" i="4" s="1"/>
  <c r="CK63" i="4"/>
  <c r="CJ63" i="4"/>
  <c r="CJ65" i="4" s="1"/>
  <c r="CI7" i="14" s="1"/>
  <c r="CI63" i="4"/>
  <c r="CK53" i="4"/>
  <c r="CJ53" i="4"/>
  <c r="CJ55" i="4" s="1"/>
  <c r="CI7" i="15" s="1"/>
  <c r="CI53" i="4"/>
  <c r="CK39" i="4"/>
  <c r="CJ39" i="4"/>
  <c r="CI39" i="4"/>
  <c r="CK38" i="4"/>
  <c r="CJ38" i="4"/>
  <c r="CI38" i="4"/>
  <c r="CK33" i="4"/>
  <c r="CK35" i="4" s="1"/>
  <c r="CJ33" i="4"/>
  <c r="CJ34" i="4" s="1"/>
  <c r="CI33" i="4"/>
  <c r="CI35" i="4" s="1"/>
  <c r="CK26" i="4"/>
  <c r="CK27" i="4" s="1"/>
  <c r="CJ26" i="4"/>
  <c r="CJ28" i="4" s="1"/>
  <c r="CI26" i="4"/>
  <c r="CI27" i="4" s="1"/>
  <c r="CK18" i="4"/>
  <c r="CK20" i="4" s="1"/>
  <c r="CJ7" i="13" s="1"/>
  <c r="CJ18" i="4"/>
  <c r="CJ19" i="4" s="1"/>
  <c r="CI18" i="4"/>
  <c r="CI20" i="4" s="1"/>
  <c r="CH7" i="13" s="1"/>
  <c r="CK10" i="4"/>
  <c r="CK11" i="4" s="1"/>
  <c r="CJ10" i="4"/>
  <c r="CJ12" i="4" s="1"/>
  <c r="CI7" i="8" s="1"/>
  <c r="CI10" i="4"/>
  <c r="CI11" i="4" s="1"/>
  <c r="CJ86" i="2"/>
  <c r="CJ85" i="2"/>
  <c r="CK80" i="2"/>
  <c r="CK82" i="2" s="1"/>
  <c r="CJ80" i="2"/>
  <c r="CJ81" i="2" s="1"/>
  <c r="CI80" i="2"/>
  <c r="CI82" i="2" s="1"/>
  <c r="CK63" i="2"/>
  <c r="CK53" i="2"/>
  <c r="CJ53" i="2"/>
  <c r="CJ55" i="2" s="1"/>
  <c r="CI6" i="15" s="1"/>
  <c r="CI53" i="2"/>
  <c r="CK38" i="2"/>
  <c r="CJ38" i="2"/>
  <c r="CI38" i="2"/>
  <c r="CK33" i="2"/>
  <c r="CK35" i="2" s="1"/>
  <c r="CJ33" i="2"/>
  <c r="CJ34" i="2" s="1"/>
  <c r="CI33" i="2"/>
  <c r="CI35" i="2" s="1"/>
  <c r="CI26" i="2"/>
  <c r="CI27" i="2" s="1"/>
  <c r="CK10" i="2"/>
  <c r="CK11" i="2" s="1"/>
  <c r="CJ10" i="2"/>
  <c r="CJ12" i="2" s="1"/>
  <c r="CI6" i="8" s="1"/>
  <c r="CI10" i="2"/>
  <c r="CI11" i="2" s="1"/>
  <c r="CK80" i="1"/>
  <c r="CK82" i="1" s="1"/>
  <c r="CJ80" i="1"/>
  <c r="CJ81" i="1" s="1"/>
  <c r="CI80" i="1"/>
  <c r="CI82" i="1" s="1"/>
  <c r="CJ73" i="1"/>
  <c r="CJ74" i="1" s="1"/>
  <c r="CK53" i="1"/>
  <c r="CJ53" i="1"/>
  <c r="CJ55" i="1" s="1"/>
  <c r="CI5" i="15" s="1"/>
  <c r="CI53" i="1"/>
  <c r="CK33" i="1"/>
  <c r="CK34" i="1" s="1"/>
  <c r="CJ33" i="1"/>
  <c r="CJ35" i="1" s="1"/>
  <c r="CI33" i="1"/>
  <c r="CI34" i="1" s="1"/>
  <c r="CJ18" i="1"/>
  <c r="CJ19" i="1" s="1"/>
  <c r="CK10" i="1"/>
  <c r="CK12" i="1" s="1"/>
  <c r="CJ5" i="8" s="1"/>
  <c r="CJ10" i="1"/>
  <c r="CJ11" i="1" s="1"/>
  <c r="CI10" i="1"/>
  <c r="CI12" i="1" s="1"/>
  <c r="CH5" i="8" s="1"/>
  <c r="CE72" i="1"/>
  <c r="CD72" i="1"/>
  <c r="CC72" i="1"/>
  <c r="CE71" i="1"/>
  <c r="CD71" i="1"/>
  <c r="CB71" i="1"/>
  <c r="CC71" i="1"/>
  <c r="CE62" i="1"/>
  <c r="CD62" i="1"/>
  <c r="CC62" i="1"/>
  <c r="CE61" i="1"/>
  <c r="CD61" i="1"/>
  <c r="CC61" i="1"/>
  <c r="CC80" i="1"/>
  <c r="CC81" i="1" s="1"/>
  <c r="CD80" i="1"/>
  <c r="CD81" i="1" s="1"/>
  <c r="CE80" i="1"/>
  <c r="CE81" i="1" s="1"/>
  <c r="CC53" i="1"/>
  <c r="CC54" i="1" s="1"/>
  <c r="CD53" i="1"/>
  <c r="CD54" i="1" s="1"/>
  <c r="CE53" i="1"/>
  <c r="CE54" i="1" s="1"/>
  <c r="CE25" i="1"/>
  <c r="CD25" i="1"/>
  <c r="CC25" i="1"/>
  <c r="CE24" i="1"/>
  <c r="CD24" i="1"/>
  <c r="CC24" i="1"/>
  <c r="CE17" i="1"/>
  <c r="CD17" i="1"/>
  <c r="CC17" i="1"/>
  <c r="CE16" i="1"/>
  <c r="CD16" i="1"/>
  <c r="CC16" i="1"/>
  <c r="CC33" i="1"/>
  <c r="CC35" i="1" s="1"/>
  <c r="CD33" i="1"/>
  <c r="CD34" i="1" s="1"/>
  <c r="CE33" i="1"/>
  <c r="CE35" i="1" s="1"/>
  <c r="CC10" i="1"/>
  <c r="CC11" i="1" s="1"/>
  <c r="CD10" i="1"/>
  <c r="CD11" i="1" s="1"/>
  <c r="CE10" i="1"/>
  <c r="CE11" i="1" s="1"/>
  <c r="CE72" i="6"/>
  <c r="CD72" i="6"/>
  <c r="CC72" i="6"/>
  <c r="CE71" i="6"/>
  <c r="CD71" i="6"/>
  <c r="CC71" i="6"/>
  <c r="CE62" i="6"/>
  <c r="CD62" i="6"/>
  <c r="CC62" i="6"/>
  <c r="CE61" i="6"/>
  <c r="CD61" i="6"/>
  <c r="CD85" i="6" s="1"/>
  <c r="CC61" i="6"/>
  <c r="CC80" i="6"/>
  <c r="CC81" i="6" s="1"/>
  <c r="CD80" i="6"/>
  <c r="CD81" i="6" s="1"/>
  <c r="CE80" i="6"/>
  <c r="CE81" i="6" s="1"/>
  <c r="CC53" i="6"/>
  <c r="CC54" i="6" s="1"/>
  <c r="CD53" i="6"/>
  <c r="CD54" i="6" s="1"/>
  <c r="CE53" i="6"/>
  <c r="CE54" i="6" s="1"/>
  <c r="CE55" i="6"/>
  <c r="CD8" i="15" s="1"/>
  <c r="CE17" i="6"/>
  <c r="CE39" i="6" s="1"/>
  <c r="CD17" i="6"/>
  <c r="CC17" i="6"/>
  <c r="CC39" i="6" s="1"/>
  <c r="CE16" i="6"/>
  <c r="CE38" i="6" s="1"/>
  <c r="CD16" i="6"/>
  <c r="CD38" i="6" s="1"/>
  <c r="CC16" i="6"/>
  <c r="CC38" i="6" s="1"/>
  <c r="CC33" i="6"/>
  <c r="CC34" i="6" s="1"/>
  <c r="CD33" i="6"/>
  <c r="CD34" i="6" s="1"/>
  <c r="CE33" i="6"/>
  <c r="CE35" i="6" s="1"/>
  <c r="CC26" i="6"/>
  <c r="CC27" i="6" s="1"/>
  <c r="CD26" i="6"/>
  <c r="CD27" i="6" s="1"/>
  <c r="CE26" i="6"/>
  <c r="CE27" i="6" s="1"/>
  <c r="CC10" i="6"/>
  <c r="CC11" i="6" s="1"/>
  <c r="CD10" i="6"/>
  <c r="CD11" i="6" s="1"/>
  <c r="CE10" i="6"/>
  <c r="CE11" i="6" s="1"/>
  <c r="CE72" i="4"/>
  <c r="CE73" i="4" s="1"/>
  <c r="CE74" i="4" s="1"/>
  <c r="CD72" i="4"/>
  <c r="CC72" i="4"/>
  <c r="CC71" i="4"/>
  <c r="CC73" i="4" s="1"/>
  <c r="CC74" i="4" s="1"/>
  <c r="CE62" i="4"/>
  <c r="CD62" i="4"/>
  <c r="CD63" i="4" s="1"/>
  <c r="CC62" i="4"/>
  <c r="CC86" i="4" s="1"/>
  <c r="CE61" i="4"/>
  <c r="CE85" i="4" s="1"/>
  <c r="CD61" i="4"/>
  <c r="CD85" i="4" s="1"/>
  <c r="CC61" i="4"/>
  <c r="CC63" i="4" s="1"/>
  <c r="CE86" i="4"/>
  <c r="CC80" i="4"/>
  <c r="CC82" i="4" s="1"/>
  <c r="CD80" i="4"/>
  <c r="CD81" i="4" s="1"/>
  <c r="CE80" i="4"/>
  <c r="CE82" i="4" s="1"/>
  <c r="CC24" i="4"/>
  <c r="CC38" i="4" s="1"/>
  <c r="CE17" i="4"/>
  <c r="CE18" i="4" s="1"/>
  <c r="CD17" i="4"/>
  <c r="CC17" i="4"/>
  <c r="CC39" i="4" s="1"/>
  <c r="CE16" i="4"/>
  <c r="CE38" i="4" s="1"/>
  <c r="CD16" i="4"/>
  <c r="CD18" i="4" s="1"/>
  <c r="CD19" i="4" s="1"/>
  <c r="CC16" i="4"/>
  <c r="CE9" i="4"/>
  <c r="CE10" i="4" s="1"/>
  <c r="CE11" i="4" s="1"/>
  <c r="CD9" i="4"/>
  <c r="CD39" i="4" s="1"/>
  <c r="CC9" i="4"/>
  <c r="CC10" i="4" s="1"/>
  <c r="CC11" i="4" s="1"/>
  <c r="CC33" i="4"/>
  <c r="CC34" i="4" s="1"/>
  <c r="CD33" i="4"/>
  <c r="CD34" i="4" s="1"/>
  <c r="CE33" i="4"/>
  <c r="CE34" i="4" s="1"/>
  <c r="CD26" i="4"/>
  <c r="CD27" i="4" s="1"/>
  <c r="CE26" i="4"/>
  <c r="CE27" i="4" s="1"/>
  <c r="CE72" i="5"/>
  <c r="CD72" i="5"/>
  <c r="CC72" i="5"/>
  <c r="CE71" i="5"/>
  <c r="CD71" i="5"/>
  <c r="CC71" i="5"/>
  <c r="CE62" i="5"/>
  <c r="CE86" i="5" s="1"/>
  <c r="CD62" i="5"/>
  <c r="CC62" i="5"/>
  <c r="CE61" i="5"/>
  <c r="CD61" i="5"/>
  <c r="CC61" i="5"/>
  <c r="CC85" i="5" s="1"/>
  <c r="CD86" i="5"/>
  <c r="CC80" i="5"/>
  <c r="CC81" i="5" s="1"/>
  <c r="CD80" i="5"/>
  <c r="CD81" i="5" s="1"/>
  <c r="CE80" i="5"/>
  <c r="CE81" i="5" s="1"/>
  <c r="CC53" i="5"/>
  <c r="CC54" i="5" s="1"/>
  <c r="CD53" i="5"/>
  <c r="CD54" i="5" s="1"/>
  <c r="CE53" i="5"/>
  <c r="CE54" i="5" s="1"/>
  <c r="CE17" i="5"/>
  <c r="CE39" i="5" s="1"/>
  <c r="CD17" i="5"/>
  <c r="CD39" i="5" s="1"/>
  <c r="CC17" i="5"/>
  <c r="CC39" i="5" s="1"/>
  <c r="CE16" i="5"/>
  <c r="CE38" i="5" s="1"/>
  <c r="CD16" i="5"/>
  <c r="CD38" i="5" s="1"/>
  <c r="CC16" i="5"/>
  <c r="CC38" i="5" s="1"/>
  <c r="CC33" i="5"/>
  <c r="CC34" i="5" s="1"/>
  <c r="CD33" i="5"/>
  <c r="CD34" i="5" s="1"/>
  <c r="CE33" i="5"/>
  <c r="CE34" i="5" s="1"/>
  <c r="CC26" i="5"/>
  <c r="CC27" i="5" s="1"/>
  <c r="CD26" i="5"/>
  <c r="CD27" i="5" s="1"/>
  <c r="CE26" i="5"/>
  <c r="CE27" i="5" s="1"/>
  <c r="CC10" i="5"/>
  <c r="CC11" i="5" s="1"/>
  <c r="CD10" i="5"/>
  <c r="CD12" i="5" s="1"/>
  <c r="CC9" i="8" s="1"/>
  <c r="CE10" i="5"/>
  <c r="CE11" i="5" s="1"/>
  <c r="CD11" i="5"/>
  <c r="CM87" i="5" l="1"/>
  <c r="CM88" i="5" s="1"/>
  <c r="CF82" i="2"/>
  <c r="CM28" i="2"/>
  <c r="CL87" i="6"/>
  <c r="CL88" i="6" s="1"/>
  <c r="CD85" i="5"/>
  <c r="CE86" i="6"/>
  <c r="CC39" i="1"/>
  <c r="CI63" i="5"/>
  <c r="CI65" i="5" s="1"/>
  <c r="CH9" i="14" s="1"/>
  <c r="CG63" i="4"/>
  <c r="CH73" i="5"/>
  <c r="CH74" i="5" s="1"/>
  <c r="CF11" i="2"/>
  <c r="CG26" i="2"/>
  <c r="CG27" i="2" s="1"/>
  <c r="CC85" i="2"/>
  <c r="CD85" i="2"/>
  <c r="CK85" i="2"/>
  <c r="CK85" i="5"/>
  <c r="CK86" i="5"/>
  <c r="CE63" i="5"/>
  <c r="CE64" i="5" s="1"/>
  <c r="CH73" i="2"/>
  <c r="CH75" i="2" s="1"/>
  <c r="CI86" i="2"/>
  <c r="CK86" i="2"/>
  <c r="CE18" i="5"/>
  <c r="CE19" i="5" s="1"/>
  <c r="CC63" i="5"/>
  <c r="CC64" i="5" s="1"/>
  <c r="CC86" i="5"/>
  <c r="CC87" i="5" s="1"/>
  <c r="CC88" i="5" s="1"/>
  <c r="CE12" i="6"/>
  <c r="CD8" i="8" s="1"/>
  <c r="CG18" i="5"/>
  <c r="CG19" i="5" s="1"/>
  <c r="CH85" i="5"/>
  <c r="CE18" i="2"/>
  <c r="CE19" i="2" s="1"/>
  <c r="CG55" i="2"/>
  <c r="CF6" i="15" s="1"/>
  <c r="CE82" i="2"/>
  <c r="CJ63" i="2"/>
  <c r="CJ65" i="2" s="1"/>
  <c r="CI6" i="14" s="1"/>
  <c r="CH25" i="7"/>
  <c r="CH85" i="1"/>
  <c r="CC12" i="6"/>
  <c r="CB8" i="8" s="1"/>
  <c r="CC26" i="1"/>
  <c r="CC27" i="1" s="1"/>
  <c r="CG63" i="6"/>
  <c r="CG64" i="6" s="1"/>
  <c r="CC86" i="6"/>
  <c r="CG86" i="6"/>
  <c r="CI73" i="2"/>
  <c r="CI74" i="2" s="1"/>
  <c r="CF57" i="1"/>
  <c r="CC12" i="5"/>
  <c r="CB9" i="8" s="1"/>
  <c r="CD73" i="6"/>
  <c r="CD74" i="6" s="1"/>
  <c r="CC73" i="1"/>
  <c r="CC74" i="1" s="1"/>
  <c r="CG55" i="6"/>
  <c r="CF8" i="15" s="1"/>
  <c r="CG18" i="6"/>
  <c r="CG19" i="6" s="1"/>
  <c r="CF86" i="6"/>
  <c r="CF87" i="6" s="1"/>
  <c r="CF88" i="6" s="1"/>
  <c r="CH38" i="2"/>
  <c r="CD26" i="2"/>
  <c r="CD27" i="2" s="1"/>
  <c r="CF85" i="2"/>
  <c r="CH86" i="2"/>
  <c r="CI25" i="7"/>
  <c r="CK61" i="7"/>
  <c r="DB5" i="24"/>
  <c r="CK17" i="7"/>
  <c r="CF26" i="1"/>
  <c r="CF27" i="1" s="1"/>
  <c r="CT89" i="1"/>
  <c r="CQ89" i="4"/>
  <c r="CF86" i="4"/>
  <c r="CP88" i="1"/>
  <c r="CT40" i="7"/>
  <c r="CT41" i="7" s="1"/>
  <c r="CT7" i="26"/>
  <c r="CS41" i="1"/>
  <c r="CI61" i="7"/>
  <c r="CH57" i="1"/>
  <c r="CS88" i="1"/>
  <c r="CE12" i="1"/>
  <c r="CD5" i="8" s="1"/>
  <c r="CM75" i="5"/>
  <c r="CN89" i="1"/>
  <c r="DC89" i="7"/>
  <c r="CS89" i="6"/>
  <c r="CD55" i="6"/>
  <c r="CC8" i="15" s="1"/>
  <c r="CC73" i="6"/>
  <c r="CC74" i="6" s="1"/>
  <c r="CC18" i="6"/>
  <c r="CC19" i="6" s="1"/>
  <c r="CD18" i="6"/>
  <c r="CD19" i="6" s="1"/>
  <c r="CC55" i="6"/>
  <c r="CB8" i="15" s="1"/>
  <c r="CN86" i="7"/>
  <c r="CN87" i="7" s="1"/>
  <c r="CN88" i="7" s="1"/>
  <c r="CL85" i="7"/>
  <c r="CF72" i="7"/>
  <c r="CT20" i="7"/>
  <c r="CS6" i="26" s="1"/>
  <c r="CN65" i="6"/>
  <c r="CM8" i="14" s="1"/>
  <c r="CE63" i="6"/>
  <c r="CC85" i="6"/>
  <c r="CD86" i="6"/>
  <c r="CD87" i="6" s="1"/>
  <c r="CD88" i="6" s="1"/>
  <c r="CE85" i="6"/>
  <c r="CG12" i="6"/>
  <c r="CF8" i="8" s="1"/>
  <c r="CG57" i="6"/>
  <c r="CN67" i="6"/>
  <c r="CN75" i="6"/>
  <c r="DC12" i="13"/>
  <c r="DB12" i="13"/>
  <c r="CC35" i="5"/>
  <c r="DC42" i="7"/>
  <c r="CL89" i="6"/>
  <c r="CM87" i="6"/>
  <c r="CM88" i="6" s="1"/>
  <c r="CL89" i="4"/>
  <c r="CM87" i="2"/>
  <c r="CM88" i="2" s="1"/>
  <c r="DE42" i="7"/>
  <c r="CS89" i="5"/>
  <c r="CL86" i="7"/>
  <c r="CE81" i="4"/>
  <c r="CS89" i="2"/>
  <c r="DB42" i="7"/>
  <c r="CP41" i="2"/>
  <c r="CR41" i="1"/>
  <c r="CV41" i="7"/>
  <c r="CO89" i="5"/>
  <c r="CL39" i="7"/>
  <c r="CL40" i="7" s="1"/>
  <c r="CL41" i="7" s="1"/>
  <c r="CL75" i="6"/>
  <c r="DA88" i="7"/>
  <c r="CC35" i="4"/>
  <c r="CF35" i="4"/>
  <c r="CN87" i="2"/>
  <c r="CN88" i="2" s="1"/>
  <c r="CM38" i="7"/>
  <c r="CM40" i="7" s="1"/>
  <c r="CM41" i="7" s="1"/>
  <c r="CU41" i="7"/>
  <c r="CU89" i="7"/>
  <c r="CP42" i="1"/>
  <c r="CU65" i="7"/>
  <c r="CT12" i="14" s="1"/>
  <c r="CV67" i="7"/>
  <c r="CV65" i="7"/>
  <c r="CU12" i="14" s="1"/>
  <c r="CS12" i="8"/>
  <c r="CX89" i="7"/>
  <c r="CM41" i="5"/>
  <c r="CE35" i="5"/>
  <c r="CT88" i="6"/>
  <c r="CT89" i="6"/>
  <c r="CF34" i="2"/>
  <c r="CQ42" i="2"/>
  <c r="CM88" i="1"/>
  <c r="DE88" i="7"/>
  <c r="DA42" i="7"/>
  <c r="CO42" i="1"/>
  <c r="CH35" i="4"/>
  <c r="CG34" i="2"/>
  <c r="CD40" i="2"/>
  <c r="CD41" i="2" s="1"/>
  <c r="CW41" i="7"/>
  <c r="CD35" i="2"/>
  <c r="CH35" i="2"/>
  <c r="CC34" i="2"/>
  <c r="CE34" i="1"/>
  <c r="CH35" i="1"/>
  <c r="DA5" i="24"/>
  <c r="DD5" i="24"/>
  <c r="CU7" i="26"/>
  <c r="CE82" i="5"/>
  <c r="CM86" i="7"/>
  <c r="CC82" i="5"/>
  <c r="DB88" i="7"/>
  <c r="CE28" i="5"/>
  <c r="CG35" i="5"/>
  <c r="CL42" i="5"/>
  <c r="CE82" i="6"/>
  <c r="CR88" i="6"/>
  <c r="CR89" i="6"/>
  <c r="CS7" i="26"/>
  <c r="DE7" i="26"/>
  <c r="CR75" i="7"/>
  <c r="CQ6" i="24" s="1"/>
  <c r="CE35" i="4"/>
  <c r="CD28" i="4"/>
  <c r="CM41" i="4"/>
  <c r="DC7" i="26"/>
  <c r="CH81" i="2"/>
  <c r="CP89" i="2"/>
  <c r="CG81" i="2"/>
  <c r="CN42" i="2"/>
  <c r="CR42" i="2"/>
  <c r="CN28" i="2"/>
  <c r="CT42" i="2"/>
  <c r="CU67" i="7"/>
  <c r="CS9" i="26"/>
  <c r="CS28" i="7"/>
  <c r="CU20" i="7"/>
  <c r="CT6" i="26" s="1"/>
  <c r="DA6" i="26"/>
  <c r="CW20" i="7"/>
  <c r="CV12" i="13" s="1"/>
  <c r="CT74" i="7"/>
  <c r="CT67" i="7"/>
  <c r="CW67" i="7"/>
  <c r="DH12" i="13"/>
  <c r="CW12" i="13"/>
  <c r="CS74" i="7"/>
  <c r="DG12" i="13"/>
  <c r="CT64" i="7"/>
  <c r="CS64" i="7"/>
  <c r="CR20" i="7"/>
  <c r="CQ6" i="26" s="1"/>
  <c r="CZ89" i="7"/>
  <c r="CR67" i="7"/>
  <c r="CR28" i="7"/>
  <c r="CQ5" i="24" s="1"/>
  <c r="CE64" i="6"/>
  <c r="CE65" i="6"/>
  <c r="CD8" i="14" s="1"/>
  <c r="CE85" i="5"/>
  <c r="CE87" i="5" s="1"/>
  <c r="CE28" i="4"/>
  <c r="CD82" i="6"/>
  <c r="CC38" i="1"/>
  <c r="CD39" i="1"/>
  <c r="CD55" i="1"/>
  <c r="CC5" i="15" s="1"/>
  <c r="CG40" i="6"/>
  <c r="CG41" i="6" s="1"/>
  <c r="CG85" i="6"/>
  <c r="CH86" i="6"/>
  <c r="CH87" i="6" s="1"/>
  <c r="CH12" i="4"/>
  <c r="CG7" i="8" s="1"/>
  <c r="CG38" i="5"/>
  <c r="CG40" i="5" s="1"/>
  <c r="CG86" i="5"/>
  <c r="CC11" i="2"/>
  <c r="CE26" i="2"/>
  <c r="CE28" i="2" s="1"/>
  <c r="CC28" i="2"/>
  <c r="CC53" i="2"/>
  <c r="CC57" i="2" s="1"/>
  <c r="CD82" i="2"/>
  <c r="CE63" i="2"/>
  <c r="CE73" i="2"/>
  <c r="CE74" i="2" s="1"/>
  <c r="CG12" i="1"/>
  <c r="CF5" i="8" s="1"/>
  <c r="CG82" i="1"/>
  <c r="CG38" i="1"/>
  <c r="CG40" i="1" s="1"/>
  <c r="CH39" i="1"/>
  <c r="CF63" i="1"/>
  <c r="CF64" i="1" s="1"/>
  <c r="CC73" i="5"/>
  <c r="CC74" i="5" s="1"/>
  <c r="CD63" i="1"/>
  <c r="CE86" i="1"/>
  <c r="CI85" i="2"/>
  <c r="CK63" i="5"/>
  <c r="CK65" i="5" s="1"/>
  <c r="CJ9" i="14" s="1"/>
  <c r="CG17" i="7"/>
  <c r="CG16" i="7"/>
  <c r="CM85" i="7"/>
  <c r="CH73" i="6"/>
  <c r="CF35" i="5"/>
  <c r="CF38" i="5"/>
  <c r="CF40" i="5" s="1"/>
  <c r="CF41" i="5" s="1"/>
  <c r="CH63" i="5"/>
  <c r="CH65" i="5" s="1"/>
  <c r="CG9" i="14" s="1"/>
  <c r="CG12" i="2"/>
  <c r="CF6" i="8" s="1"/>
  <c r="CE35" i="2"/>
  <c r="CE38" i="2"/>
  <c r="CF18" i="2"/>
  <c r="CF19" i="2" s="1"/>
  <c r="CE39" i="2"/>
  <c r="CC82" i="2"/>
  <c r="CD73" i="2"/>
  <c r="CD74" i="2" s="1"/>
  <c r="CG26" i="1"/>
  <c r="CG27" i="1" s="1"/>
  <c r="CG73" i="1"/>
  <c r="CG74" i="1" s="1"/>
  <c r="CL89" i="5"/>
  <c r="CM89" i="5"/>
  <c r="CN74" i="5"/>
  <c r="CN89" i="6"/>
  <c r="CM42" i="2"/>
  <c r="CT89" i="2"/>
  <c r="CN19" i="2"/>
  <c r="CD86" i="4"/>
  <c r="CQ89" i="2"/>
  <c r="CE40" i="5"/>
  <c r="CE41" i="5" s="1"/>
  <c r="CD73" i="5"/>
  <c r="CD74" i="5" s="1"/>
  <c r="CE73" i="5"/>
  <c r="CE74" i="5" s="1"/>
  <c r="CE63" i="4"/>
  <c r="CE67" i="4" s="1"/>
  <c r="CD28" i="6"/>
  <c r="CD35" i="6"/>
  <c r="CD39" i="6"/>
  <c r="CD40" i="6" s="1"/>
  <c r="CD42" i="6" s="1"/>
  <c r="CE57" i="6"/>
  <c r="CC86" i="1"/>
  <c r="CJ18" i="2"/>
  <c r="CJ19" i="2" s="1"/>
  <c r="CJ18" i="5"/>
  <c r="CJ20" i="5" s="1"/>
  <c r="CI9" i="13" s="1"/>
  <c r="CH11" i="6"/>
  <c r="CH34" i="6"/>
  <c r="CF73" i="6"/>
  <c r="CF74" i="6" s="1"/>
  <c r="CG73" i="6"/>
  <c r="CG74" i="6" s="1"/>
  <c r="CH82" i="4"/>
  <c r="CH86" i="4"/>
  <c r="CH35" i="5"/>
  <c r="CH82" i="5"/>
  <c r="CF63" i="5"/>
  <c r="CF65" i="5" s="1"/>
  <c r="CE9" i="14" s="1"/>
  <c r="CE12" i="2"/>
  <c r="CD6" i="8" s="1"/>
  <c r="CG18" i="2"/>
  <c r="CG20" i="2" s="1"/>
  <c r="CF6" i="13" s="1"/>
  <c r="CD87" i="2"/>
  <c r="CD88" i="2" s="1"/>
  <c r="CF71" i="7"/>
  <c r="CI18" i="2"/>
  <c r="CI20" i="2" s="1"/>
  <c r="CH6" i="13" s="1"/>
  <c r="CJ26" i="2"/>
  <c r="CJ28" i="2" s="1"/>
  <c r="CK26" i="2"/>
  <c r="CK27" i="2" s="1"/>
  <c r="CJ73" i="2"/>
  <c r="CJ75" i="2" s="1"/>
  <c r="CG18" i="1"/>
  <c r="CG19" i="1" s="1"/>
  <c r="CH24" i="7"/>
  <c r="CI17" i="7"/>
  <c r="CJ24" i="7"/>
  <c r="CJ26" i="7" s="1"/>
  <c r="CJ28" i="7" s="1"/>
  <c r="CK25" i="7"/>
  <c r="CK86" i="1"/>
  <c r="CK87" i="1" s="1"/>
  <c r="CK88" i="1" s="1"/>
  <c r="CI71" i="7"/>
  <c r="CI18" i="5"/>
  <c r="CI19" i="5" s="1"/>
  <c r="CJ63" i="5"/>
  <c r="CJ65" i="5" s="1"/>
  <c r="CI9" i="14" s="1"/>
  <c r="CI72" i="7"/>
  <c r="CN42" i="5"/>
  <c r="CM67" i="6"/>
  <c r="CN42" i="6"/>
  <c r="CM65" i="6"/>
  <c r="CL8" i="14" s="1"/>
  <c r="CN89" i="4"/>
  <c r="CL20" i="4"/>
  <c r="CK7" i="13" s="1"/>
  <c r="CN65" i="5"/>
  <c r="CM9" i="14" s="1"/>
  <c r="DD12" i="13"/>
  <c r="CO73" i="7"/>
  <c r="CO74" i="7" s="1"/>
  <c r="DF6" i="26"/>
  <c r="DF5" i="24"/>
  <c r="CQ9" i="26"/>
  <c r="CP40" i="7"/>
  <c r="CP42" i="7" s="1"/>
  <c r="CY42" i="7"/>
  <c r="DF42" i="7"/>
  <c r="CQ12" i="8"/>
  <c r="DH89" i="7"/>
  <c r="CY12" i="13"/>
  <c r="CY6" i="26"/>
  <c r="CR65" i="7"/>
  <c r="CQ12" i="14" s="1"/>
  <c r="DI89" i="7"/>
  <c r="DI42" i="7"/>
  <c r="CE64" i="2"/>
  <c r="CE65" i="2"/>
  <c r="CD6" i="14" s="1"/>
  <c r="CG65" i="4"/>
  <c r="CF7" i="14" s="1"/>
  <c r="CG64" i="4"/>
  <c r="CG19" i="2"/>
  <c r="CH74" i="2"/>
  <c r="CP89" i="4"/>
  <c r="CE12" i="5"/>
  <c r="CD9" i="8" s="1"/>
  <c r="CD40" i="5"/>
  <c r="CD41" i="5" s="1"/>
  <c r="CC81" i="4"/>
  <c r="CD57" i="6"/>
  <c r="CE73" i="6"/>
  <c r="CC34" i="1"/>
  <c r="CE26" i="1"/>
  <c r="CE27" i="1" s="1"/>
  <c r="CE63" i="1"/>
  <c r="CE64" i="1" s="1"/>
  <c r="CK39" i="1"/>
  <c r="CI27" i="5"/>
  <c r="CI73" i="5"/>
  <c r="CI75" i="5" s="1"/>
  <c r="CF11" i="6"/>
  <c r="CH18" i="6"/>
  <c r="CH19" i="6" s="1"/>
  <c r="CH63" i="6"/>
  <c r="CF65" i="4"/>
  <c r="CE7" i="14" s="1"/>
  <c r="CH75" i="4"/>
  <c r="CH57" i="2"/>
  <c r="CD57" i="2"/>
  <c r="CH18" i="2"/>
  <c r="CD18" i="2"/>
  <c r="CF26" i="2"/>
  <c r="CF27" i="2" s="1"/>
  <c r="CG39" i="2"/>
  <c r="CH63" i="2"/>
  <c r="CK71" i="7"/>
  <c r="CK73" i="7" s="1"/>
  <c r="CK74" i="7" s="1"/>
  <c r="CH38" i="1"/>
  <c r="CI16" i="7"/>
  <c r="CJ17" i="7"/>
  <c r="CK24" i="7"/>
  <c r="CJ61" i="7"/>
  <c r="CJ63" i="7" s="1"/>
  <c r="CJ65" i="7" s="1"/>
  <c r="CI12" i="14" s="1"/>
  <c r="CJ71" i="7"/>
  <c r="CJ73" i="7" s="1"/>
  <c r="CT89" i="5"/>
  <c r="CW89" i="7"/>
  <c r="CW88" i="7"/>
  <c r="CM20" i="6"/>
  <c r="CL8" i="13" s="1"/>
  <c r="CM19" i="6"/>
  <c r="CV87" i="7"/>
  <c r="CV88" i="7" s="1"/>
  <c r="DH42" i="7"/>
  <c r="CU6" i="26"/>
  <c r="CU12" i="13"/>
  <c r="CH20" i="5"/>
  <c r="CG9" i="13" s="1"/>
  <c r="CH87" i="2"/>
  <c r="CH89" i="2" s="1"/>
  <c r="CE39" i="4"/>
  <c r="CD38" i="4"/>
  <c r="CC85" i="4"/>
  <c r="CC57" i="6"/>
  <c r="CE39" i="1"/>
  <c r="CJ26" i="1"/>
  <c r="CJ27" i="1" s="1"/>
  <c r="CI39" i="2"/>
  <c r="CI40" i="2" s="1"/>
  <c r="CI42" i="2" s="1"/>
  <c r="CI86" i="5"/>
  <c r="CI87" i="5" s="1"/>
  <c r="CI88" i="5" s="1"/>
  <c r="CO40" i="7"/>
  <c r="CO41" i="7" s="1"/>
  <c r="CQ73" i="7"/>
  <c r="CQ74" i="7" s="1"/>
  <c r="CM73" i="7"/>
  <c r="CM74" i="7" s="1"/>
  <c r="CK62" i="7"/>
  <c r="CG20" i="5"/>
  <c r="CF9" i="13" s="1"/>
  <c r="CG63" i="5"/>
  <c r="CH86" i="5"/>
  <c r="CH87" i="5" s="1"/>
  <c r="CH89" i="5" s="1"/>
  <c r="CE11" i="2"/>
  <c r="CF39" i="2"/>
  <c r="CF40" i="2" s="1"/>
  <c r="CH26" i="2"/>
  <c r="CH27" i="2" s="1"/>
  <c r="CD65" i="2"/>
  <c r="CC6" i="14" s="1"/>
  <c r="CF63" i="2"/>
  <c r="CE86" i="2"/>
  <c r="CE87" i="2" s="1"/>
  <c r="CE89" i="2" s="1"/>
  <c r="CF73" i="2"/>
  <c r="CF86" i="2"/>
  <c r="CJ16" i="7"/>
  <c r="CP41" i="4"/>
  <c r="CU42" i="5"/>
  <c r="CU41" i="5"/>
  <c r="CP89" i="6"/>
  <c r="CL19" i="2"/>
  <c r="CL20" i="2"/>
  <c r="CK6" i="13" s="1"/>
  <c r="CS42" i="6"/>
  <c r="CL67" i="2"/>
  <c r="CG12" i="5"/>
  <c r="CF9" i="8" s="1"/>
  <c r="CD18" i="5"/>
  <c r="CD67" i="5" s="1"/>
  <c r="CD10" i="4"/>
  <c r="CC26" i="4"/>
  <c r="CE18" i="6"/>
  <c r="CE19" i="6" s="1"/>
  <c r="CD63" i="6"/>
  <c r="CD64" i="6" s="1"/>
  <c r="CC82" i="6"/>
  <c r="CD38" i="1"/>
  <c r="CC18" i="5"/>
  <c r="CC19" i="5" s="1"/>
  <c r="CC40" i="5"/>
  <c r="CC41" i="5" s="1"/>
  <c r="CD63" i="5"/>
  <c r="CD64" i="5" s="1"/>
  <c r="CD12" i="6"/>
  <c r="CC8" i="8" s="1"/>
  <c r="CE67" i="6"/>
  <c r="CC63" i="6"/>
  <c r="CE38" i="1"/>
  <c r="CD82" i="1"/>
  <c r="CC85" i="1"/>
  <c r="CK73" i="2"/>
  <c r="CK74" i="2" s="1"/>
  <c r="CN39" i="7"/>
  <c r="CN40" i="7" s="1"/>
  <c r="CN41" i="7" s="1"/>
  <c r="CF25" i="7"/>
  <c r="CF26" i="7" s="1"/>
  <c r="CF27" i="7" s="1"/>
  <c r="CF12" i="6"/>
  <c r="CE8" i="8" s="1"/>
  <c r="CF18" i="6"/>
  <c r="CF20" i="6" s="1"/>
  <c r="CE8" i="13" s="1"/>
  <c r="CF63" i="6"/>
  <c r="CF65" i="6" s="1"/>
  <c r="CE8" i="14" s="1"/>
  <c r="CH82" i="6"/>
  <c r="CF85" i="4"/>
  <c r="CG28" i="5"/>
  <c r="CH39" i="5"/>
  <c r="CH40" i="5" s="1"/>
  <c r="CH41" i="5" s="1"/>
  <c r="CF86" i="5"/>
  <c r="CF87" i="5" s="1"/>
  <c r="CH11" i="2"/>
  <c r="CD11" i="2"/>
  <c r="CF57" i="2"/>
  <c r="CC75" i="2"/>
  <c r="CG63" i="2"/>
  <c r="CG75" i="2"/>
  <c r="CF85" i="1"/>
  <c r="CF39" i="1"/>
  <c r="CG24" i="7"/>
  <c r="CG26" i="7" s="1"/>
  <c r="CG28" i="7" s="1"/>
  <c r="CH26" i="1"/>
  <c r="CH28" i="1" s="1"/>
  <c r="CK38" i="1"/>
  <c r="CI24" i="7"/>
  <c r="CH63" i="1"/>
  <c r="CH64" i="1" s="1"/>
  <c r="CN89" i="5"/>
  <c r="CM67" i="4"/>
  <c r="CM20" i="4"/>
  <c r="CL7" i="13" s="1"/>
  <c r="CL19" i="4"/>
  <c r="CR89" i="5"/>
  <c r="DG89" i="7"/>
  <c r="DG42" i="7"/>
  <c r="CS67" i="7"/>
  <c r="CE73" i="1"/>
  <c r="CE74" i="1" s="1"/>
  <c r="CD73" i="1"/>
  <c r="CD74" i="1" s="1"/>
  <c r="CF73" i="1"/>
  <c r="CF74" i="1" s="1"/>
  <c r="CH73" i="1"/>
  <c r="CH74" i="1" s="1"/>
  <c r="CG86" i="1"/>
  <c r="CI73" i="1"/>
  <c r="CI74" i="1" s="1"/>
  <c r="CK73" i="1"/>
  <c r="CK74" i="1" s="1"/>
  <c r="DD89" i="7"/>
  <c r="CI38" i="1"/>
  <c r="CI40" i="1" s="1"/>
  <c r="CI41" i="1" s="1"/>
  <c r="CJ39" i="1"/>
  <c r="CJ39" i="7" s="1"/>
  <c r="CI26" i="1"/>
  <c r="CI27" i="1" s="1"/>
  <c r="CK26" i="1"/>
  <c r="CK27" i="1" s="1"/>
  <c r="CJ85" i="1"/>
  <c r="CJ85" i="7" s="1"/>
  <c r="CI86" i="1"/>
  <c r="CN73" i="7"/>
  <c r="CN74" i="7" s="1"/>
  <c r="CG72" i="7"/>
  <c r="CH71" i="7"/>
  <c r="CQ63" i="7"/>
  <c r="CQ64" i="7" s="1"/>
  <c r="CO63" i="7"/>
  <c r="CO64" i="7" s="1"/>
  <c r="CM63" i="7"/>
  <c r="CM65" i="7" s="1"/>
  <c r="CL12" i="14" s="1"/>
  <c r="CI63" i="7"/>
  <c r="CI64" i="7" s="1"/>
  <c r="CH61" i="7"/>
  <c r="CF17" i="7"/>
  <c r="CH17" i="7"/>
  <c r="CH11" i="1"/>
  <c r="CH18" i="1"/>
  <c r="CH20" i="1" s="1"/>
  <c r="CG5" i="13" s="1"/>
  <c r="CF18" i="1"/>
  <c r="CF35" i="1"/>
  <c r="CH55" i="1"/>
  <c r="CG5" i="15" s="1"/>
  <c r="CQ42" i="1"/>
  <c r="DF89" i="7"/>
  <c r="CR12" i="8"/>
  <c r="CR9" i="26"/>
  <c r="CZ41" i="7"/>
  <c r="CS20" i="7"/>
  <c r="CH81" i="1"/>
  <c r="CC12" i="1"/>
  <c r="CB5" i="8" s="1"/>
  <c r="CD18" i="1"/>
  <c r="CD19" i="1" s="1"/>
  <c r="CC63" i="1"/>
  <c r="CC64" i="1" s="1"/>
  <c r="CF86" i="1"/>
  <c r="CT87" i="7"/>
  <c r="CT88" i="7" s="1"/>
  <c r="CH12" i="1"/>
  <c r="CG5" i="8" s="1"/>
  <c r="CF12" i="1"/>
  <c r="CE5" i="8" s="1"/>
  <c r="CF11" i="1"/>
  <c r="CF55" i="1"/>
  <c r="CE5" i="15" s="1"/>
  <c r="CF82" i="1"/>
  <c r="CD26" i="1"/>
  <c r="CD27" i="1" s="1"/>
  <c r="CE55" i="1"/>
  <c r="CD5" i="15" s="1"/>
  <c r="CC55" i="1"/>
  <c r="CB5" i="15" s="1"/>
  <c r="CE85" i="1"/>
  <c r="CD86" i="1"/>
  <c r="CR40" i="7"/>
  <c r="CR41" i="7" s="1"/>
  <c r="CS87" i="7"/>
  <c r="CS89" i="7" s="1"/>
  <c r="CS41" i="5"/>
  <c r="CS42" i="5"/>
  <c r="CS12" i="13"/>
  <c r="CC28" i="5"/>
  <c r="CC57" i="5"/>
  <c r="CE67" i="5"/>
  <c r="CH11" i="5"/>
  <c r="CG85" i="5"/>
  <c r="CH75" i="5"/>
  <c r="CL12" i="5"/>
  <c r="CK9" i="8" s="1"/>
  <c r="CR41" i="5"/>
  <c r="CR42" i="5"/>
  <c r="CS40" i="7"/>
  <c r="CS42" i="7" s="1"/>
  <c r="CR87" i="7"/>
  <c r="CR89" i="7" s="1"/>
  <c r="CF20" i="5"/>
  <c r="CE9" i="13" s="1"/>
  <c r="CL57" i="5"/>
  <c r="CQ26" i="7"/>
  <c r="CQ28" i="7" s="1"/>
  <c r="CO26" i="7"/>
  <c r="CO27" i="7" s="1"/>
  <c r="CP26" i="7"/>
  <c r="CP27" i="7" s="1"/>
  <c r="CE19" i="4"/>
  <c r="CE20" i="4"/>
  <c r="CD7" i="13" s="1"/>
  <c r="CD64" i="4"/>
  <c r="CD65" i="4"/>
  <c r="CC7" i="14" s="1"/>
  <c r="CH18" i="4"/>
  <c r="CH19" i="4" s="1"/>
  <c r="CF18" i="4"/>
  <c r="CF19" i="4" s="1"/>
  <c r="CH39" i="4"/>
  <c r="CG86" i="4"/>
  <c r="CE12" i="4"/>
  <c r="CD7" i="8" s="1"/>
  <c r="CD35" i="4"/>
  <c r="CC18" i="4"/>
  <c r="CC67" i="4" s="1"/>
  <c r="CD73" i="4"/>
  <c r="CD74" i="4" s="1"/>
  <c r="CF16" i="7"/>
  <c r="CH57" i="4"/>
  <c r="CG18" i="4"/>
  <c r="CG19" i="4" s="1"/>
  <c r="CH28" i="4"/>
  <c r="CH63" i="4"/>
  <c r="CH67" i="4" s="1"/>
  <c r="CF73" i="4"/>
  <c r="CF75" i="4" s="1"/>
  <c r="CM89" i="4"/>
  <c r="CO80" i="7"/>
  <c r="CO81" i="7" s="1"/>
  <c r="CQ80" i="7"/>
  <c r="CQ81" i="7" s="1"/>
  <c r="CP73" i="7"/>
  <c r="CP74" i="7" s="1"/>
  <c r="CP63" i="7"/>
  <c r="CP64" i="7" s="1"/>
  <c r="CQ18" i="7"/>
  <c r="CQ20" i="7" s="1"/>
  <c r="CP10" i="7"/>
  <c r="CP12" i="7" s="1"/>
  <c r="CP87" i="7"/>
  <c r="CP88" i="7" s="1"/>
  <c r="CP53" i="7"/>
  <c r="CP55" i="7" s="1"/>
  <c r="CO12" i="15" s="1"/>
  <c r="CD12" i="1"/>
  <c r="CC5" i="8" s="1"/>
  <c r="CE18" i="1"/>
  <c r="CC18" i="1"/>
  <c r="CC20" i="1" s="1"/>
  <c r="CB5" i="13" s="1"/>
  <c r="CE57" i="1"/>
  <c r="CH65" i="1"/>
  <c r="CG5" i="14" s="1"/>
  <c r="CD85" i="1"/>
  <c r="CO18" i="7"/>
  <c r="CO20" i="7" s="1"/>
  <c r="CQ33" i="7"/>
  <c r="CQ35" i="7" s="1"/>
  <c r="CP8" i="26" s="1"/>
  <c r="CL89" i="2"/>
  <c r="CN65" i="2"/>
  <c r="CM6" i="14" s="1"/>
  <c r="CN67" i="2"/>
  <c r="CN64" i="2"/>
  <c r="CL42" i="2"/>
  <c r="CP18" i="7"/>
  <c r="CP19" i="7" s="1"/>
  <c r="CL42" i="4"/>
  <c r="CN42" i="4"/>
  <c r="CO33" i="7"/>
  <c r="CO34" i="7" s="1"/>
  <c r="CQ10" i="7"/>
  <c r="CQ11" i="7" s="1"/>
  <c r="CO10" i="7"/>
  <c r="CO11" i="7" s="1"/>
  <c r="CQ87" i="7"/>
  <c r="CQ88" i="7" s="1"/>
  <c r="CO87" i="7"/>
  <c r="CO88" i="7" s="1"/>
  <c r="CP80" i="7"/>
  <c r="CP81" i="7" s="1"/>
  <c r="CQ53" i="7"/>
  <c r="CQ54" i="7" s="1"/>
  <c r="CO53" i="7"/>
  <c r="CO54" i="7" s="1"/>
  <c r="CL53" i="7"/>
  <c r="CL54" i="7" s="1"/>
  <c r="CL33" i="7"/>
  <c r="CL34" i="7" s="1"/>
  <c r="CL26" i="7"/>
  <c r="CL27" i="7" s="1"/>
  <c r="CM42" i="6"/>
  <c r="CL42" i="6"/>
  <c r="CL10" i="7"/>
  <c r="CL12" i="7" s="1"/>
  <c r="CN33" i="7"/>
  <c r="CN35" i="7" s="1"/>
  <c r="CM8" i="26" s="1"/>
  <c r="CM80" i="7"/>
  <c r="CM82" i="7" s="1"/>
  <c r="CN80" i="7"/>
  <c r="CN81" i="7" s="1"/>
  <c r="CL80" i="7"/>
  <c r="CL81" i="7" s="1"/>
  <c r="CL73" i="7"/>
  <c r="CL74" i="7" s="1"/>
  <c r="CN63" i="7"/>
  <c r="CN64" i="7" s="1"/>
  <c r="CN53" i="7"/>
  <c r="CN54" i="7" s="1"/>
  <c r="CM53" i="7"/>
  <c r="CM54" i="7" s="1"/>
  <c r="CM33" i="7"/>
  <c r="CM34" i="7" s="1"/>
  <c r="CN26" i="7"/>
  <c r="CN28" i="7" s="1"/>
  <c r="CM26" i="7"/>
  <c r="CM27" i="7" s="1"/>
  <c r="CM18" i="7"/>
  <c r="CM20" i="7" s="1"/>
  <c r="CN18" i="7"/>
  <c r="CN19" i="7" s="1"/>
  <c r="CL18" i="7"/>
  <c r="CL19" i="7" s="1"/>
  <c r="CN10" i="7"/>
  <c r="CN12" i="7" s="1"/>
  <c r="CM10" i="7"/>
  <c r="CM11" i="7" s="1"/>
  <c r="CP33" i="7"/>
  <c r="CP35" i="7" s="1"/>
  <c r="CO8" i="26" s="1"/>
  <c r="CL63" i="7"/>
  <c r="CL64" i="7" s="1"/>
  <c r="CJ81" i="5"/>
  <c r="CK74" i="5"/>
  <c r="CI64" i="5"/>
  <c r="CJ34" i="5"/>
  <c r="CK27" i="5"/>
  <c r="CJ19" i="5"/>
  <c r="CJ67" i="5"/>
  <c r="CK11" i="5"/>
  <c r="CK40" i="5"/>
  <c r="CK41" i="5" s="1"/>
  <c r="CI40" i="5"/>
  <c r="CI41" i="5" s="1"/>
  <c r="CJ57" i="5"/>
  <c r="CI11" i="5"/>
  <c r="CQ40" i="7"/>
  <c r="CQ41" i="7" s="1"/>
  <c r="CG65" i="1"/>
  <c r="CF5" i="14" s="1"/>
  <c r="CH87" i="1"/>
  <c r="CH88" i="1" s="1"/>
  <c r="CG55" i="1"/>
  <c r="CF5" i="15" s="1"/>
  <c r="CJ87" i="4"/>
  <c r="CJ89" i="4" s="1"/>
  <c r="CK67" i="4"/>
  <c r="CI67" i="4"/>
  <c r="CK10" i="7"/>
  <c r="CK12" i="7" s="1"/>
  <c r="CJ40" i="4"/>
  <c r="CJ42" i="4" s="1"/>
  <c r="CK57" i="4"/>
  <c r="CI57" i="4"/>
  <c r="CJ81" i="6"/>
  <c r="CK74" i="6"/>
  <c r="CI74" i="6"/>
  <c r="CJ53" i="7"/>
  <c r="CJ54" i="7" s="1"/>
  <c r="CJ87" i="6"/>
  <c r="CJ89" i="6" s="1"/>
  <c r="CI33" i="7"/>
  <c r="CI34" i="7" s="1"/>
  <c r="CK33" i="7"/>
  <c r="CK35" i="7" s="1"/>
  <c r="CJ8" i="26" s="1"/>
  <c r="CK67" i="6"/>
  <c r="CJ38" i="6"/>
  <c r="CJ40" i="6" s="1"/>
  <c r="CJ42" i="6" s="1"/>
  <c r="CI67" i="6"/>
  <c r="CK57" i="6"/>
  <c r="CJ10" i="7"/>
  <c r="CJ12" i="7" s="1"/>
  <c r="CI57" i="6"/>
  <c r="CG35" i="1"/>
  <c r="CG57" i="1"/>
  <c r="CK80" i="7"/>
  <c r="CK82" i="7" s="1"/>
  <c r="CI80" i="7"/>
  <c r="CI82" i="7" s="1"/>
  <c r="CJ80" i="7"/>
  <c r="CJ81" i="7" s="1"/>
  <c r="CI63" i="2"/>
  <c r="CI65" i="2" s="1"/>
  <c r="CH6" i="14" s="1"/>
  <c r="CJ87" i="2"/>
  <c r="CJ89" i="2" s="1"/>
  <c r="CK53" i="7"/>
  <c r="CK55" i="7" s="1"/>
  <c r="CJ12" i="15" s="1"/>
  <c r="CI53" i="7"/>
  <c r="CI54" i="7" s="1"/>
  <c r="CJ33" i="7"/>
  <c r="CJ35" i="7" s="1"/>
  <c r="CI8" i="26" s="1"/>
  <c r="CK18" i="7"/>
  <c r="CK19" i="7" s="1"/>
  <c r="CK18" i="2"/>
  <c r="CK20" i="2" s="1"/>
  <c r="CJ6" i="13" s="1"/>
  <c r="CK39" i="2"/>
  <c r="CJ40" i="2"/>
  <c r="CJ41" i="2" s="1"/>
  <c r="CK57" i="2"/>
  <c r="CI10" i="7"/>
  <c r="CI12" i="7" s="1"/>
  <c r="CI57" i="2"/>
  <c r="CG86" i="2"/>
  <c r="CG87" i="2" s="1"/>
  <c r="CG64" i="2"/>
  <c r="CG62" i="7"/>
  <c r="CG65" i="2"/>
  <c r="CF6" i="14" s="1"/>
  <c r="CF62" i="7"/>
  <c r="CC87" i="2"/>
  <c r="CC88" i="2" s="1"/>
  <c r="CC63" i="2"/>
  <c r="CC65" i="2" s="1"/>
  <c r="CB6" i="14" s="1"/>
  <c r="CH39" i="2"/>
  <c r="CC40" i="2"/>
  <c r="CC42" i="2" s="1"/>
  <c r="CC18" i="2"/>
  <c r="CC20" i="2" s="1"/>
  <c r="CB6" i="13" s="1"/>
  <c r="CF82" i="5"/>
  <c r="CH72" i="7"/>
  <c r="CG71" i="7"/>
  <c r="CG73" i="5"/>
  <c r="CG74" i="5" s="1"/>
  <c r="CF75" i="5"/>
  <c r="CH62" i="7"/>
  <c r="CG61" i="7"/>
  <c r="CF57" i="5"/>
  <c r="CH57" i="5"/>
  <c r="CH54" i="5"/>
  <c r="CG33" i="7"/>
  <c r="CG35" i="7" s="1"/>
  <c r="CF8" i="26" s="1"/>
  <c r="CH27" i="5"/>
  <c r="CF28" i="5"/>
  <c r="CG67" i="5"/>
  <c r="CH80" i="7"/>
  <c r="CH81" i="7" s="1"/>
  <c r="CH33" i="7"/>
  <c r="CH35" i="7" s="1"/>
  <c r="CG8" i="26" s="1"/>
  <c r="CE57" i="5"/>
  <c r="CE55" i="5"/>
  <c r="CD9" i="15" s="1"/>
  <c r="CG57" i="5"/>
  <c r="CG55" i="5"/>
  <c r="CF9" i="15" s="1"/>
  <c r="CG82" i="5"/>
  <c r="CE65" i="5"/>
  <c r="CD9" i="14" s="1"/>
  <c r="CF64" i="5"/>
  <c r="CH64" i="5"/>
  <c r="CG65" i="5"/>
  <c r="CF9" i="14" s="1"/>
  <c r="CH67" i="5"/>
  <c r="CG64" i="5"/>
  <c r="CF55" i="5"/>
  <c r="CE9" i="15" s="1"/>
  <c r="CH85" i="7"/>
  <c r="CG82" i="4"/>
  <c r="CF82" i="4"/>
  <c r="CG75" i="4"/>
  <c r="CG67" i="4"/>
  <c r="CH54" i="4"/>
  <c r="CG55" i="4"/>
  <c r="CF7" i="15" s="1"/>
  <c r="CF57" i="4"/>
  <c r="CF55" i="4"/>
  <c r="CE7" i="15" s="1"/>
  <c r="CF54" i="4"/>
  <c r="CH55" i="4"/>
  <c r="CG7" i="15" s="1"/>
  <c r="CH53" i="7"/>
  <c r="CH54" i="7" s="1"/>
  <c r="CG87" i="4"/>
  <c r="CF53" i="7"/>
  <c r="CF54" i="7" s="1"/>
  <c r="CF33" i="7"/>
  <c r="CF35" i="7" s="1"/>
  <c r="CE8" i="26" s="1"/>
  <c r="CF28" i="4"/>
  <c r="CH40" i="4"/>
  <c r="CH41" i="4" s="1"/>
  <c r="CH10" i="7"/>
  <c r="CH12" i="7" s="1"/>
  <c r="CG12" i="4"/>
  <c r="CF7" i="8" s="1"/>
  <c r="CF12" i="4"/>
  <c r="CE7" i="8" s="1"/>
  <c r="CF11" i="4"/>
  <c r="CF40" i="4"/>
  <c r="CF41" i="4" s="1"/>
  <c r="CG35" i="4"/>
  <c r="CG28" i="4"/>
  <c r="CG40" i="4"/>
  <c r="CG57" i="4"/>
  <c r="CG10" i="7"/>
  <c r="CG12" i="7" s="1"/>
  <c r="CG80" i="7"/>
  <c r="CG81" i="7" s="1"/>
  <c r="CF82" i="6"/>
  <c r="CG82" i="6"/>
  <c r="CF80" i="7"/>
  <c r="CF81" i="7" s="1"/>
  <c r="CG65" i="6"/>
  <c r="CF8" i="14" s="1"/>
  <c r="CF61" i="7"/>
  <c r="CH57" i="6"/>
  <c r="CG53" i="7"/>
  <c r="CG54" i="7" s="1"/>
  <c r="CH55" i="6"/>
  <c r="CG8" i="15" s="1"/>
  <c r="CF55" i="6"/>
  <c r="CE8" i="15" s="1"/>
  <c r="CG35" i="6"/>
  <c r="CF35" i="6"/>
  <c r="CH27" i="6"/>
  <c r="CG28" i="6"/>
  <c r="CF28" i="6"/>
  <c r="CH16" i="7"/>
  <c r="CH20" i="6"/>
  <c r="CG8" i="13" s="1"/>
  <c r="CG20" i="6"/>
  <c r="CF8" i="13" s="1"/>
  <c r="CH40" i="6"/>
  <c r="CH41" i="6" s="1"/>
  <c r="CF10" i="7"/>
  <c r="CF11" i="7" s="1"/>
  <c r="CF40" i="6"/>
  <c r="CF41" i="6" s="1"/>
  <c r="CJ11" i="6"/>
  <c r="CI12" i="6"/>
  <c r="CH8" i="8" s="1"/>
  <c r="CK12" i="6"/>
  <c r="CJ8" i="8" s="1"/>
  <c r="CI19" i="6"/>
  <c r="CK19" i="6"/>
  <c r="CJ20" i="6"/>
  <c r="CI8" i="13" s="1"/>
  <c r="CJ27" i="6"/>
  <c r="CI28" i="6"/>
  <c r="CK28" i="6"/>
  <c r="CI34" i="6"/>
  <c r="CK34" i="6"/>
  <c r="CJ35" i="6"/>
  <c r="CI40" i="6"/>
  <c r="CI42" i="6" s="1"/>
  <c r="CK40" i="6"/>
  <c r="CK42" i="6" s="1"/>
  <c r="CJ54" i="6"/>
  <c r="CI55" i="6"/>
  <c r="CH8" i="15" s="1"/>
  <c r="CK55" i="6"/>
  <c r="CJ8" i="15" s="1"/>
  <c r="CJ57" i="6"/>
  <c r="CJ64" i="6"/>
  <c r="CI65" i="6"/>
  <c r="CH8" i="14" s="1"/>
  <c r="CK65" i="6"/>
  <c r="CJ8" i="14" s="1"/>
  <c r="CJ67" i="6"/>
  <c r="CJ74" i="6"/>
  <c r="CI81" i="6"/>
  <c r="CK81" i="6"/>
  <c r="CI87" i="6"/>
  <c r="CI89" i="6" s="1"/>
  <c r="CK87" i="6"/>
  <c r="CK89" i="6" s="1"/>
  <c r="CI54" i="6"/>
  <c r="CK54" i="6"/>
  <c r="CJ12" i="5"/>
  <c r="CI9" i="8" s="1"/>
  <c r="CI20" i="5"/>
  <c r="CH9" i="13" s="1"/>
  <c r="CK20" i="5"/>
  <c r="CJ9" i="13" s="1"/>
  <c r="CJ28" i="5"/>
  <c r="CI35" i="5"/>
  <c r="CK35" i="5"/>
  <c r="CJ40" i="5"/>
  <c r="CJ42" i="5" s="1"/>
  <c r="CI54" i="5"/>
  <c r="CK54" i="5"/>
  <c r="CI57" i="5"/>
  <c r="CK57" i="5"/>
  <c r="CI67" i="5"/>
  <c r="CJ75" i="5"/>
  <c r="CI82" i="5"/>
  <c r="CK82" i="5"/>
  <c r="CJ87" i="5"/>
  <c r="CJ89" i="5" s="1"/>
  <c r="CJ54" i="5"/>
  <c r="CJ11" i="4"/>
  <c r="CI12" i="4"/>
  <c r="CH7" i="8" s="1"/>
  <c r="CK12" i="4"/>
  <c r="CJ7" i="8" s="1"/>
  <c r="CI19" i="4"/>
  <c r="CK19" i="4"/>
  <c r="CJ20" i="4"/>
  <c r="CI7" i="13" s="1"/>
  <c r="CJ27" i="4"/>
  <c r="CI28" i="4"/>
  <c r="CK28" i="4"/>
  <c r="CI34" i="4"/>
  <c r="CK34" i="4"/>
  <c r="CJ35" i="4"/>
  <c r="CI40" i="4"/>
  <c r="CI41" i="4" s="1"/>
  <c r="CK40" i="4"/>
  <c r="CK41" i="4" s="1"/>
  <c r="CJ54" i="4"/>
  <c r="CI55" i="4"/>
  <c r="CH7" i="15" s="1"/>
  <c r="CK55" i="4"/>
  <c r="CJ7" i="15" s="1"/>
  <c r="CJ57" i="4"/>
  <c r="CJ64" i="4"/>
  <c r="CI65" i="4"/>
  <c r="CH7" i="14" s="1"/>
  <c r="CK65" i="4"/>
  <c r="CJ7" i="14" s="1"/>
  <c r="CJ67" i="4"/>
  <c r="CJ74" i="4"/>
  <c r="CI75" i="4"/>
  <c r="CK75" i="4"/>
  <c r="CI81" i="4"/>
  <c r="CK81" i="4"/>
  <c r="CJ82" i="4"/>
  <c r="CI87" i="4"/>
  <c r="CI89" i="4" s="1"/>
  <c r="CK87" i="4"/>
  <c r="CK89" i="4" s="1"/>
  <c r="CI54" i="4"/>
  <c r="CK54" i="4"/>
  <c r="CI64" i="4"/>
  <c r="CK64" i="4"/>
  <c r="CJ11" i="2"/>
  <c r="CI12" i="2"/>
  <c r="CH6" i="8" s="1"/>
  <c r="CK12" i="2"/>
  <c r="CJ6" i="8" s="1"/>
  <c r="CK19" i="2"/>
  <c r="CJ20" i="2"/>
  <c r="CI6" i="13" s="1"/>
  <c r="CI28" i="2"/>
  <c r="CI34" i="2"/>
  <c r="CK34" i="2"/>
  <c r="CJ35" i="2"/>
  <c r="CJ54" i="2"/>
  <c r="CI55" i="2"/>
  <c r="CH6" i="15" s="1"/>
  <c r="CK55" i="2"/>
  <c r="CJ6" i="15" s="1"/>
  <c r="CJ57" i="2"/>
  <c r="CJ64" i="2"/>
  <c r="CK65" i="2"/>
  <c r="CJ6" i="14" s="1"/>
  <c r="CI81" i="2"/>
  <c r="CK81" i="2"/>
  <c r="CJ82" i="2"/>
  <c r="CI54" i="2"/>
  <c r="CK54" i="2"/>
  <c r="CK64" i="2"/>
  <c r="CK57" i="1"/>
  <c r="CI57" i="1"/>
  <c r="CI54" i="1"/>
  <c r="CI55" i="1"/>
  <c r="CH5" i="15" s="1"/>
  <c r="CI64" i="1"/>
  <c r="CJ75" i="1"/>
  <c r="CI11" i="1"/>
  <c r="CK11" i="1"/>
  <c r="CJ12" i="1"/>
  <c r="CI5" i="8" s="1"/>
  <c r="CI18" i="1"/>
  <c r="CI19" i="1" s="1"/>
  <c r="CK18" i="1"/>
  <c r="CK19" i="1" s="1"/>
  <c r="CJ34" i="1"/>
  <c r="CI35" i="1"/>
  <c r="CK35" i="1"/>
  <c r="CJ38" i="1"/>
  <c r="CJ54" i="1"/>
  <c r="CK55" i="1"/>
  <c r="CJ5" i="15" s="1"/>
  <c r="CJ57" i="1"/>
  <c r="CK63" i="1"/>
  <c r="CI65" i="1"/>
  <c r="CH5" i="14" s="1"/>
  <c r="CI81" i="1"/>
  <c r="CK81" i="1"/>
  <c r="CJ82" i="1"/>
  <c r="CI85" i="1"/>
  <c r="CJ86" i="1"/>
  <c r="CJ86" i="7" s="1"/>
  <c r="CJ20" i="1"/>
  <c r="CI5" i="13" s="1"/>
  <c r="CK54" i="1"/>
  <c r="CJ63" i="1"/>
  <c r="CC57" i="1"/>
  <c r="CE82" i="1"/>
  <c r="CC82" i="1"/>
  <c r="CC75" i="1"/>
  <c r="CD64" i="1"/>
  <c r="CD65" i="1"/>
  <c r="CC5" i="14" s="1"/>
  <c r="CD67" i="1"/>
  <c r="CD57" i="1"/>
  <c r="CD35" i="1"/>
  <c r="CD20" i="1"/>
  <c r="CC5" i="13" s="1"/>
  <c r="CD75" i="6"/>
  <c r="CD65" i="6"/>
  <c r="CC8" i="14" s="1"/>
  <c r="CE34" i="6"/>
  <c r="CC35" i="6"/>
  <c r="CE28" i="6"/>
  <c r="CC28" i="6"/>
  <c r="CE40" i="6"/>
  <c r="CE41" i="6" s="1"/>
  <c r="CC20" i="6"/>
  <c r="CB8" i="13" s="1"/>
  <c r="CC40" i="6"/>
  <c r="CC41" i="6" s="1"/>
  <c r="CD82" i="4"/>
  <c r="CE75" i="4"/>
  <c r="CC75" i="4"/>
  <c r="CC65" i="4"/>
  <c r="CB7" i="14" s="1"/>
  <c r="CC64" i="4"/>
  <c r="CD67" i="4"/>
  <c r="CD20" i="4"/>
  <c r="CC7" i="13" s="1"/>
  <c r="CE40" i="4"/>
  <c r="CE41" i="4" s="1"/>
  <c r="CD12" i="4"/>
  <c r="CC7" i="8" s="1"/>
  <c r="CC12" i="4"/>
  <c r="CB7" i="8" s="1"/>
  <c r="CD82" i="5"/>
  <c r="CD87" i="5"/>
  <c r="CD88" i="5" s="1"/>
  <c r="CD65" i="5"/>
  <c r="CC9" i="14" s="1"/>
  <c r="CC65" i="5"/>
  <c r="CB9" i="14" s="1"/>
  <c r="CD55" i="5"/>
  <c r="CC9" i="15" s="1"/>
  <c r="CC55" i="5"/>
  <c r="CB9" i="15" s="1"/>
  <c r="CD57" i="5"/>
  <c r="CD35" i="5"/>
  <c r="CD28" i="5"/>
  <c r="CE20" i="5"/>
  <c r="CD9" i="13" s="1"/>
  <c r="CC20" i="5"/>
  <c r="CB9" i="13" s="1"/>
  <c r="CB72" i="1"/>
  <c r="CA72" i="1"/>
  <c r="BZ72" i="1"/>
  <c r="CA71" i="1"/>
  <c r="BZ71" i="1"/>
  <c r="CB62" i="1"/>
  <c r="CA62" i="1"/>
  <c r="BY62" i="1"/>
  <c r="BZ62" i="1"/>
  <c r="CB61" i="1"/>
  <c r="CA61" i="1"/>
  <c r="BZ61" i="1"/>
  <c r="CH26" i="7" l="1"/>
  <c r="CH28" i="7" s="1"/>
  <c r="CG7" i="26" s="1"/>
  <c r="CG87" i="6"/>
  <c r="CG88" i="6" s="1"/>
  <c r="CE87" i="6"/>
  <c r="CE88" i="6" s="1"/>
  <c r="CC40" i="1"/>
  <c r="CC41" i="1" s="1"/>
  <c r="CF28" i="1"/>
  <c r="CE87" i="1"/>
  <c r="CE88" i="1" s="1"/>
  <c r="CK87" i="5"/>
  <c r="CK88" i="5" s="1"/>
  <c r="CH38" i="7"/>
  <c r="CD28" i="2"/>
  <c r="CH40" i="2"/>
  <c r="CH41" i="2" s="1"/>
  <c r="CK85" i="7"/>
  <c r="CF87" i="2"/>
  <c r="CF88" i="2" s="1"/>
  <c r="CK87" i="2"/>
  <c r="CK88" i="2" s="1"/>
  <c r="CI75" i="2"/>
  <c r="CC87" i="6"/>
  <c r="CC88" i="6" s="1"/>
  <c r="CC28" i="1"/>
  <c r="CI26" i="7"/>
  <c r="CI28" i="7" s="1"/>
  <c r="CH7" i="26" s="1"/>
  <c r="CF65" i="1"/>
  <c r="CE5" i="14" s="1"/>
  <c r="CI19" i="2"/>
  <c r="CG67" i="6"/>
  <c r="CE67" i="2"/>
  <c r="CH27" i="1"/>
  <c r="CK63" i="7"/>
  <c r="CK65" i="7" s="1"/>
  <c r="CJ12" i="14" s="1"/>
  <c r="CF20" i="2"/>
  <c r="CE6" i="13" s="1"/>
  <c r="CI87" i="2"/>
  <c r="CI88" i="2" s="1"/>
  <c r="CE20" i="2"/>
  <c r="CD6" i="13" s="1"/>
  <c r="CK67" i="2"/>
  <c r="CF19" i="6"/>
  <c r="CG28" i="2"/>
  <c r="CH87" i="4"/>
  <c r="CH88" i="4" s="1"/>
  <c r="CM87" i="7"/>
  <c r="CM88" i="7" s="1"/>
  <c r="CG20" i="4"/>
  <c r="CF7" i="13" s="1"/>
  <c r="CE65" i="4"/>
  <c r="CD7" i="14" s="1"/>
  <c r="CT42" i="7"/>
  <c r="CM89" i="2"/>
  <c r="CN89" i="2"/>
  <c r="CE42" i="5"/>
  <c r="CG20" i="1"/>
  <c r="CF5" i="13" s="1"/>
  <c r="CC65" i="1"/>
  <c r="CB5" i="14" s="1"/>
  <c r="CG67" i="1"/>
  <c r="CF85" i="7"/>
  <c r="CF87" i="1"/>
  <c r="CF88" i="1" s="1"/>
  <c r="CC42" i="5"/>
  <c r="CG85" i="7"/>
  <c r="CG28" i="1"/>
  <c r="CF73" i="7"/>
  <c r="CF74" i="7" s="1"/>
  <c r="CV6" i="26"/>
  <c r="CL87" i="7"/>
  <c r="CD20" i="6"/>
  <c r="CC8" i="13" s="1"/>
  <c r="CM89" i="6"/>
  <c r="CD67" i="6"/>
  <c r="CC75" i="6"/>
  <c r="CF75" i="6"/>
  <c r="CD42" i="2"/>
  <c r="CJ27" i="2"/>
  <c r="CI75" i="1"/>
  <c r="CD75" i="5"/>
  <c r="CI65" i="7"/>
  <c r="CH12" i="14" s="1"/>
  <c r="CC87" i="1"/>
  <c r="CC89" i="1" s="1"/>
  <c r="CI39" i="7"/>
  <c r="CH28" i="2"/>
  <c r="CE75" i="5"/>
  <c r="CI86" i="7"/>
  <c r="CK86" i="7"/>
  <c r="CK39" i="7"/>
  <c r="CT12" i="13"/>
  <c r="CD89" i="5"/>
  <c r="CI89" i="5"/>
  <c r="CF38" i="7"/>
  <c r="CE89" i="6"/>
  <c r="CG75" i="6"/>
  <c r="CG42" i="6"/>
  <c r="CF39" i="7"/>
  <c r="CD75" i="1"/>
  <c r="CI87" i="1"/>
  <c r="CI88" i="1" s="1"/>
  <c r="CK40" i="1"/>
  <c r="CK41" i="1" s="1"/>
  <c r="CJ42" i="2"/>
  <c r="CK38" i="7"/>
  <c r="CK26" i="7"/>
  <c r="CK28" i="7" s="1"/>
  <c r="CJ7" i="26" s="1"/>
  <c r="CH40" i="1"/>
  <c r="CH41" i="1" s="1"/>
  <c r="CI28" i="1"/>
  <c r="CE28" i="1"/>
  <c r="CI74" i="5"/>
  <c r="CI42" i="5"/>
  <c r="CH86" i="7"/>
  <c r="CH87" i="7" s="1"/>
  <c r="CH88" i="7" s="1"/>
  <c r="CI73" i="7"/>
  <c r="CI74" i="7" s="1"/>
  <c r="CD75" i="4"/>
  <c r="CL42" i="7"/>
  <c r="CJ74" i="2"/>
  <c r="CH88" i="2"/>
  <c r="CK75" i="2"/>
  <c r="CD89" i="2"/>
  <c r="CE27" i="2"/>
  <c r="CE40" i="2"/>
  <c r="CE42" i="2" s="1"/>
  <c r="CH75" i="1"/>
  <c r="CG75" i="1"/>
  <c r="CG42" i="1"/>
  <c r="CG41" i="1"/>
  <c r="CK28" i="1"/>
  <c r="CE40" i="1"/>
  <c r="CE41" i="1" s="1"/>
  <c r="CF40" i="1"/>
  <c r="CF41" i="1" s="1"/>
  <c r="CD40" i="1"/>
  <c r="CD41" i="1" s="1"/>
  <c r="CI18" i="7"/>
  <c r="CR5" i="24"/>
  <c r="CR7" i="26"/>
  <c r="CQ7" i="26"/>
  <c r="CP82" i="7"/>
  <c r="CG18" i="7"/>
  <c r="CG20" i="7" s="1"/>
  <c r="CF6" i="26" s="1"/>
  <c r="CM75" i="7"/>
  <c r="CL6" i="24" s="1"/>
  <c r="CO65" i="7"/>
  <c r="CN12" i="14" s="1"/>
  <c r="CP28" i="7"/>
  <c r="CO7" i="26" s="1"/>
  <c r="CO75" i="7"/>
  <c r="CN6" i="24" s="1"/>
  <c r="CN42" i="7"/>
  <c r="CN75" i="7"/>
  <c r="CM6" i="24" s="1"/>
  <c r="CJ18" i="7"/>
  <c r="CQ12" i="13"/>
  <c r="CG41" i="5"/>
  <c r="CG42" i="5"/>
  <c r="CE88" i="5"/>
  <c r="CE89" i="5"/>
  <c r="CF89" i="5"/>
  <c r="CF88" i="5"/>
  <c r="CG86" i="7"/>
  <c r="CH74" i="6"/>
  <c r="CH75" i="6"/>
  <c r="CD42" i="5"/>
  <c r="CC75" i="5"/>
  <c r="CJ40" i="1"/>
  <c r="CJ41" i="1" s="1"/>
  <c r="CJ67" i="2"/>
  <c r="CK28" i="2"/>
  <c r="CJ64" i="5"/>
  <c r="CQ57" i="7"/>
  <c r="CF67" i="4"/>
  <c r="CF67" i="5"/>
  <c r="CG67" i="2"/>
  <c r="CE75" i="2"/>
  <c r="CI67" i="2"/>
  <c r="CO35" i="7"/>
  <c r="CN8" i="26" s="1"/>
  <c r="CP89" i="7"/>
  <c r="CK64" i="5"/>
  <c r="CE64" i="4"/>
  <c r="CG38" i="7"/>
  <c r="CF67" i="6"/>
  <c r="CD75" i="2"/>
  <c r="CC54" i="2"/>
  <c r="CC55" i="2"/>
  <c r="CB6" i="15" s="1"/>
  <c r="CC20" i="4"/>
  <c r="CB7" i="13" s="1"/>
  <c r="CK75" i="1"/>
  <c r="CK67" i="5"/>
  <c r="CQ55" i="7"/>
  <c r="CP12" i="15" s="1"/>
  <c r="CH67" i="6"/>
  <c r="CF75" i="1"/>
  <c r="CD87" i="1"/>
  <c r="CD88" i="1" s="1"/>
  <c r="CN57" i="7"/>
  <c r="CH63" i="7"/>
  <c r="CM64" i="7"/>
  <c r="CO42" i="7"/>
  <c r="CP75" i="7"/>
  <c r="CO6" i="24" s="1"/>
  <c r="CK81" i="7"/>
  <c r="CP41" i="7"/>
  <c r="CQ19" i="7"/>
  <c r="CF18" i="7"/>
  <c r="CF20" i="7" s="1"/>
  <c r="CE6" i="26" s="1"/>
  <c r="CQ89" i="7"/>
  <c r="CQ67" i="7"/>
  <c r="CG73" i="7"/>
  <c r="CG74" i="7" s="1"/>
  <c r="CL65" i="7"/>
  <c r="CK12" i="14" s="1"/>
  <c r="CO82" i="7"/>
  <c r="CI35" i="7"/>
  <c r="CH8" i="26" s="1"/>
  <c r="CV89" i="7"/>
  <c r="CQ65" i="7"/>
  <c r="CP12" i="14" s="1"/>
  <c r="CF42" i="2"/>
  <c r="CF41" i="2"/>
  <c r="CJ75" i="7"/>
  <c r="CI6" i="24" s="1"/>
  <c r="CJ74" i="7"/>
  <c r="CF67" i="2"/>
  <c r="CF64" i="2"/>
  <c r="CG40" i="2"/>
  <c r="CG41" i="2" s="1"/>
  <c r="CJ28" i="1"/>
  <c r="CJ88" i="6"/>
  <c r="CP57" i="7"/>
  <c r="CQ75" i="7"/>
  <c r="CP6" i="24" s="1"/>
  <c r="CK64" i="7"/>
  <c r="CH18" i="7"/>
  <c r="CH20" i="7" s="1"/>
  <c r="CF89" i="6"/>
  <c r="CF86" i="7"/>
  <c r="CF87" i="4"/>
  <c r="CC19" i="2"/>
  <c r="CH39" i="7"/>
  <c r="CI38" i="7"/>
  <c r="CG87" i="1"/>
  <c r="CG88" i="1" s="1"/>
  <c r="CC67" i="5"/>
  <c r="CE75" i="1"/>
  <c r="CC27" i="4"/>
  <c r="CC28" i="4"/>
  <c r="CF65" i="2"/>
  <c r="CE6" i="14" s="1"/>
  <c r="CF64" i="6"/>
  <c r="CH64" i="6"/>
  <c r="CH65" i="6"/>
  <c r="CG8" i="14" s="1"/>
  <c r="CC42" i="6"/>
  <c r="CN82" i="7"/>
  <c r="CH42" i="5"/>
  <c r="CG87" i="5"/>
  <c r="CH73" i="7"/>
  <c r="CJ64" i="7"/>
  <c r="CK42" i="5"/>
  <c r="CE67" i="1"/>
  <c r="CD40" i="4"/>
  <c r="CD11" i="4"/>
  <c r="CF74" i="2"/>
  <c r="CF75" i="2"/>
  <c r="CD20" i="2"/>
  <c r="CC6" i="13" s="1"/>
  <c r="CD19" i="2"/>
  <c r="CD67" i="2"/>
  <c r="CC19" i="4"/>
  <c r="CE20" i="6"/>
  <c r="CD8" i="13" s="1"/>
  <c r="CC40" i="4"/>
  <c r="CC41" i="4" s="1"/>
  <c r="CE42" i="6"/>
  <c r="CD41" i="6"/>
  <c r="CD28" i="1"/>
  <c r="CK89" i="1"/>
  <c r="CJ41" i="6"/>
  <c r="CF74" i="4"/>
  <c r="CE88" i="2"/>
  <c r="CM81" i="7"/>
  <c r="CE65" i="1"/>
  <c r="CD5" i="14" s="1"/>
  <c r="CG39" i="7"/>
  <c r="CC65" i="6"/>
  <c r="CB8" i="14" s="1"/>
  <c r="CC64" i="6"/>
  <c r="CC67" i="6"/>
  <c r="CD20" i="5"/>
  <c r="CC9" i="13" s="1"/>
  <c r="CD19" i="5"/>
  <c r="CH64" i="2"/>
  <c r="CH67" i="2"/>
  <c r="CH65" i="2"/>
  <c r="CG6" i="14" s="1"/>
  <c r="CH20" i="2"/>
  <c r="CG6" i="13" s="1"/>
  <c r="CH19" i="2"/>
  <c r="CE74" i="6"/>
  <c r="CE75" i="6"/>
  <c r="CF28" i="2"/>
  <c r="CM12" i="7"/>
  <c r="CH67" i="1"/>
  <c r="CH19" i="1"/>
  <c r="CJ57" i="7"/>
  <c r="CP67" i="7"/>
  <c r="CL82" i="7"/>
  <c r="CO89" i="7"/>
  <c r="CO67" i="7"/>
  <c r="CO12" i="7"/>
  <c r="CN9" i="26" s="1"/>
  <c r="CF67" i="1"/>
  <c r="CF19" i="1"/>
  <c r="CF20" i="1"/>
  <c r="CE5" i="13" s="1"/>
  <c r="CT89" i="7"/>
  <c r="CS88" i="7"/>
  <c r="CR12" i="13"/>
  <c r="CR6" i="26"/>
  <c r="CN27" i="7"/>
  <c r="CF55" i="7"/>
  <c r="CE12" i="15" s="1"/>
  <c r="CH55" i="7"/>
  <c r="CG12" i="15" s="1"/>
  <c r="CL28" i="7"/>
  <c r="CK5" i="24" s="1"/>
  <c r="CR42" i="7"/>
  <c r="CR88" i="7"/>
  <c r="CS41" i="7"/>
  <c r="CF12" i="8"/>
  <c r="CF9" i="26"/>
  <c r="CF5" i="26"/>
  <c r="CK12" i="8"/>
  <c r="CK9" i="26"/>
  <c r="CK5" i="26"/>
  <c r="CP7" i="26"/>
  <c r="CP5" i="24"/>
  <c r="CO5" i="26"/>
  <c r="CO12" i="8"/>
  <c r="CO9" i="26"/>
  <c r="CG12" i="8"/>
  <c r="CG9" i="26"/>
  <c r="CG5" i="26"/>
  <c r="CE12" i="13"/>
  <c r="CF5" i="24"/>
  <c r="CF7" i="26"/>
  <c r="CI5" i="24"/>
  <c r="CI7" i="26"/>
  <c r="CN12" i="13"/>
  <c r="CN6" i="26"/>
  <c r="CP12" i="13"/>
  <c r="CP6" i="26"/>
  <c r="CJ12" i="8"/>
  <c r="CJ9" i="26"/>
  <c r="CJ5" i="26"/>
  <c r="CM5" i="24"/>
  <c r="CM7" i="26"/>
  <c r="CH12" i="8"/>
  <c r="CH9" i="26"/>
  <c r="CH5" i="26"/>
  <c r="CL12" i="13"/>
  <c r="CL6" i="26"/>
  <c r="CI12" i="8"/>
  <c r="CI9" i="26"/>
  <c r="CI5" i="26"/>
  <c r="CM12" i="8"/>
  <c r="CM9" i="26"/>
  <c r="CM5" i="26"/>
  <c r="CO19" i="7"/>
  <c r="CP54" i="7"/>
  <c r="CH64" i="4"/>
  <c r="CH65" i="4"/>
  <c r="CG7" i="14" s="1"/>
  <c r="CH20" i="4"/>
  <c r="CG7" i="13" s="1"/>
  <c r="CF20" i="4"/>
  <c r="CE7" i="13" s="1"/>
  <c r="CQ34" i="7"/>
  <c r="CO28" i="7"/>
  <c r="CP20" i="7"/>
  <c r="CQ82" i="7"/>
  <c r="CP65" i="7"/>
  <c r="CO12" i="14" s="1"/>
  <c r="CP11" i="7"/>
  <c r="CQ12" i="7"/>
  <c r="CO57" i="7"/>
  <c r="CO55" i="7"/>
  <c r="CN12" i="15" s="1"/>
  <c r="CC19" i="1"/>
  <c r="CC67" i="1"/>
  <c r="CE19" i="1"/>
  <c r="CE20" i="1"/>
  <c r="CD5" i="13" s="1"/>
  <c r="CF63" i="7"/>
  <c r="CN34" i="7"/>
  <c r="CQ27" i="7"/>
  <c r="CL75" i="7"/>
  <c r="CK6" i="24" s="1"/>
  <c r="CL57" i="7"/>
  <c r="CL55" i="7"/>
  <c r="CK12" i="15" s="1"/>
  <c r="CL67" i="7"/>
  <c r="CM67" i="7"/>
  <c r="CL11" i="7"/>
  <c r="CN67" i="7"/>
  <c r="CN11" i="7"/>
  <c r="CL35" i="7"/>
  <c r="CK8" i="26" s="1"/>
  <c r="CM19" i="7"/>
  <c r="CL20" i="7"/>
  <c r="CN65" i="7"/>
  <c r="CM12" i="14" s="1"/>
  <c r="CN55" i="7"/>
  <c r="CM12" i="15" s="1"/>
  <c r="CM35" i="7"/>
  <c r="CL8" i="26" s="1"/>
  <c r="CN20" i="7"/>
  <c r="CM57" i="7"/>
  <c r="CN89" i="7"/>
  <c r="CM55" i="7"/>
  <c r="CL12" i="15" s="1"/>
  <c r="CM28" i="7"/>
  <c r="CH11" i="7"/>
  <c r="CP34" i="7"/>
  <c r="CG34" i="7"/>
  <c r="CM42" i="7"/>
  <c r="CJ41" i="4"/>
  <c r="CI55" i="7"/>
  <c r="CH12" i="15" s="1"/>
  <c r="CI57" i="7"/>
  <c r="CQ42" i="7"/>
  <c r="CJ82" i="7"/>
  <c r="CG63" i="7"/>
  <c r="CG64" i="7" s="1"/>
  <c r="CH89" i="1"/>
  <c r="CJ87" i="7"/>
  <c r="CJ88" i="7" s="1"/>
  <c r="CI85" i="7"/>
  <c r="CI20" i="1"/>
  <c r="CH5" i="13" s="1"/>
  <c r="CI42" i="1"/>
  <c r="CK57" i="7"/>
  <c r="CJ38" i="7"/>
  <c r="CJ40" i="7" s="1"/>
  <c r="CJ42" i="7" s="1"/>
  <c r="CJ11" i="7"/>
  <c r="CI81" i="7"/>
  <c r="CK75" i="7"/>
  <c r="CJ6" i="24" s="1"/>
  <c r="CJ88" i="4"/>
  <c r="CK54" i="7"/>
  <c r="CJ55" i="7"/>
  <c r="CI12" i="15" s="1"/>
  <c r="CJ27" i="7"/>
  <c r="CK11" i="7"/>
  <c r="CK34" i="7"/>
  <c r="CJ34" i="7"/>
  <c r="CG27" i="7"/>
  <c r="CI64" i="2"/>
  <c r="CJ88" i="2"/>
  <c r="CK40" i="2"/>
  <c r="CK42" i="2" s="1"/>
  <c r="CK67" i="7"/>
  <c r="CK20" i="7"/>
  <c r="CI11" i="7"/>
  <c r="CF82" i="7"/>
  <c r="CG88" i="2"/>
  <c r="CG89" i="2"/>
  <c r="CC64" i="2"/>
  <c r="CC67" i="2"/>
  <c r="CC89" i="2"/>
  <c r="CF34" i="7"/>
  <c r="CH27" i="7"/>
  <c r="CF28" i="7"/>
  <c r="CC41" i="2"/>
  <c r="CF12" i="7"/>
  <c r="CG82" i="7"/>
  <c r="CH82" i="7"/>
  <c r="CH88" i="5"/>
  <c r="CG75" i="5"/>
  <c r="CG55" i="7"/>
  <c r="CF12" i="15" s="1"/>
  <c r="CH34" i="7"/>
  <c r="CF42" i="5"/>
  <c r="CH57" i="7"/>
  <c r="CF57" i="7"/>
  <c r="CG88" i="4"/>
  <c r="CG89" i="4"/>
  <c r="CF42" i="4"/>
  <c r="CH42" i="4"/>
  <c r="CG41" i="4"/>
  <c r="CG42" i="4"/>
  <c r="CG57" i="7"/>
  <c r="CG11" i="7"/>
  <c r="CH88" i="6"/>
  <c r="CH89" i="6"/>
  <c r="CH19" i="7"/>
  <c r="CH42" i="6"/>
  <c r="CF42" i="6"/>
  <c r="CK88" i="6"/>
  <c r="CI41" i="6"/>
  <c r="CI88" i="6"/>
  <c r="CK41" i="6"/>
  <c r="CJ88" i="5"/>
  <c r="CJ41" i="5"/>
  <c r="CK88" i="4"/>
  <c r="CI42" i="4"/>
  <c r="CI88" i="4"/>
  <c r="CK42" i="4"/>
  <c r="CI41" i="2"/>
  <c r="CK67" i="1"/>
  <c r="CK64" i="1"/>
  <c r="CJ67" i="1"/>
  <c r="CJ64" i="1"/>
  <c r="CK65" i="1"/>
  <c r="CJ5" i="14" s="1"/>
  <c r="CK20" i="1"/>
  <c r="CJ5" i="13" s="1"/>
  <c r="CJ87" i="1"/>
  <c r="CJ88" i="1" s="1"/>
  <c r="CJ65" i="1"/>
  <c r="CI5" i="14" s="1"/>
  <c r="CI67" i="1"/>
  <c r="CD89" i="6"/>
  <c r="CE42" i="4"/>
  <c r="CC89" i="5"/>
  <c r="CA16" i="4"/>
  <c r="CA38" i="4" s="1"/>
  <c r="CB25" i="1"/>
  <c r="CB39" i="1" s="1"/>
  <c r="CA25" i="1"/>
  <c r="BZ25" i="1"/>
  <c r="CB24" i="1"/>
  <c r="CA24" i="1"/>
  <c r="BZ24" i="1"/>
  <c r="CB17" i="1"/>
  <c r="CA17" i="1"/>
  <c r="BZ17" i="1"/>
  <c r="BZ39" i="1" s="1"/>
  <c r="CB16" i="1"/>
  <c r="CA16" i="1"/>
  <c r="BZ16" i="1"/>
  <c r="CB72" i="5"/>
  <c r="CA72" i="5"/>
  <c r="BZ72" i="5"/>
  <c r="CB71" i="5"/>
  <c r="CA71" i="5"/>
  <c r="BZ71" i="5"/>
  <c r="CB62" i="5"/>
  <c r="CA62" i="5"/>
  <c r="BZ62" i="5"/>
  <c r="CB61" i="5"/>
  <c r="CA61" i="5"/>
  <c r="BZ61" i="5"/>
  <c r="BZ63" i="5" s="1"/>
  <c r="BZ65" i="5" s="1"/>
  <c r="BY9" i="14" s="1"/>
  <c r="CB17" i="5"/>
  <c r="CB39" i="5" s="1"/>
  <c r="CA17" i="5"/>
  <c r="BZ17" i="5"/>
  <c r="BZ39" i="5" s="1"/>
  <c r="CB16" i="5"/>
  <c r="CB38" i="5" s="1"/>
  <c r="CA16" i="5"/>
  <c r="CA38" i="5" s="1"/>
  <c r="BZ16" i="5"/>
  <c r="CB80" i="5"/>
  <c r="CB82" i="5" s="1"/>
  <c r="CA80" i="5"/>
  <c r="CA82" i="5" s="1"/>
  <c r="BZ80" i="5"/>
  <c r="BZ82" i="5" s="1"/>
  <c r="CB53" i="5"/>
  <c r="CB55" i="5" s="1"/>
  <c r="CA9" i="15" s="1"/>
  <c r="CA53" i="5"/>
  <c r="BZ53" i="5"/>
  <c r="BZ55" i="5" s="1"/>
  <c r="BY9" i="15" s="1"/>
  <c r="CB33" i="5"/>
  <c r="CB34" i="5" s="1"/>
  <c r="CA33" i="5"/>
  <c r="CA35" i="5" s="1"/>
  <c r="BZ33" i="5"/>
  <c r="BZ34" i="5" s="1"/>
  <c r="CB26" i="5"/>
  <c r="CB27" i="5" s="1"/>
  <c r="CA26" i="5"/>
  <c r="CA28" i="5" s="1"/>
  <c r="BZ26" i="5"/>
  <c r="BZ27" i="5" s="1"/>
  <c r="CB10" i="5"/>
  <c r="CB11" i="5" s="1"/>
  <c r="CA10" i="5"/>
  <c r="CA12" i="5" s="1"/>
  <c r="BZ9" i="8" s="1"/>
  <c r="BZ10" i="5"/>
  <c r="BZ11" i="5" s="1"/>
  <c r="CB61" i="4"/>
  <c r="CB85" i="4" s="1"/>
  <c r="CA61" i="4"/>
  <c r="BZ61" i="4"/>
  <c r="CB72" i="4"/>
  <c r="CB73" i="4" s="1"/>
  <c r="CB75" i="4" s="1"/>
  <c r="CA72" i="4"/>
  <c r="BZ72" i="4"/>
  <c r="CB62" i="4"/>
  <c r="CA62" i="4"/>
  <c r="BZ62" i="4"/>
  <c r="CB17" i="4"/>
  <c r="CA17" i="4"/>
  <c r="CA39" i="4" s="1"/>
  <c r="BZ17" i="4"/>
  <c r="BZ39" i="4" s="1"/>
  <c r="CB16" i="4"/>
  <c r="CB38" i="4" s="1"/>
  <c r="BZ16" i="4"/>
  <c r="CB62" i="6"/>
  <c r="CA62" i="6"/>
  <c r="BZ62" i="6"/>
  <c r="CB72" i="6"/>
  <c r="CA72" i="6"/>
  <c r="CA86" i="6" s="1"/>
  <c r="BZ72" i="6"/>
  <c r="CB71" i="6"/>
  <c r="CA71" i="6"/>
  <c r="BZ71" i="6"/>
  <c r="CB61" i="6"/>
  <c r="CA61" i="6"/>
  <c r="BZ61" i="6"/>
  <c r="BZ24" i="6"/>
  <c r="BZ26" i="6" s="1"/>
  <c r="BZ28" i="6" s="1"/>
  <c r="CB16" i="6"/>
  <c r="CB38" i="6" s="1"/>
  <c r="CA16" i="6"/>
  <c r="CA38" i="6" s="1"/>
  <c r="BZ16" i="6"/>
  <c r="CB17" i="6"/>
  <c r="CB39" i="6" s="1"/>
  <c r="CA17" i="6"/>
  <c r="CA39" i="6" s="1"/>
  <c r="BZ17" i="6"/>
  <c r="BZ39" i="6" s="1"/>
  <c r="CB72" i="2"/>
  <c r="CA72" i="2"/>
  <c r="BZ72" i="2"/>
  <c r="CB71" i="2"/>
  <c r="CA71" i="2"/>
  <c r="BZ71" i="2"/>
  <c r="CB62" i="2"/>
  <c r="CA62" i="2"/>
  <c r="BZ62" i="2"/>
  <c r="CB61" i="2"/>
  <c r="CB85" i="2" s="1"/>
  <c r="CA61" i="2"/>
  <c r="BZ61" i="2"/>
  <c r="CB25" i="2"/>
  <c r="CA25" i="2"/>
  <c r="BZ25" i="2"/>
  <c r="CB24" i="2"/>
  <c r="CB38" i="2" s="1"/>
  <c r="CA24" i="2"/>
  <c r="BZ24" i="2"/>
  <c r="CB17" i="2"/>
  <c r="CA17" i="2"/>
  <c r="BZ17" i="2"/>
  <c r="CA16" i="2"/>
  <c r="CB16" i="2"/>
  <c r="BZ16" i="2"/>
  <c r="BY72" i="6"/>
  <c r="BX72" i="6"/>
  <c r="BW72" i="6"/>
  <c r="BY71" i="6"/>
  <c r="BX71" i="6"/>
  <c r="BW71" i="6"/>
  <c r="BY62" i="6"/>
  <c r="BX62" i="6"/>
  <c r="BW62" i="6"/>
  <c r="BY61" i="6"/>
  <c r="BX61" i="6"/>
  <c r="BW61" i="6"/>
  <c r="BY17" i="6"/>
  <c r="BX17" i="6"/>
  <c r="BX39" i="6" s="1"/>
  <c r="BW17" i="6"/>
  <c r="BY16" i="6"/>
  <c r="BY38" i="6" s="1"/>
  <c r="BX16" i="6"/>
  <c r="BX38" i="6" s="1"/>
  <c r="BW16" i="6"/>
  <c r="BW38" i="6" s="1"/>
  <c r="CB80" i="6"/>
  <c r="CB81" i="6" s="1"/>
  <c r="CA80" i="6"/>
  <c r="CA82" i="6" s="1"/>
  <c r="BZ80" i="6"/>
  <c r="BZ82" i="6" s="1"/>
  <c r="BY80" i="6"/>
  <c r="BY82" i="6" s="1"/>
  <c r="BX80" i="6"/>
  <c r="BX82" i="6" s="1"/>
  <c r="BW80" i="6"/>
  <c r="BW82" i="6" s="1"/>
  <c r="CB53" i="6"/>
  <c r="CB55" i="6" s="1"/>
  <c r="CA8" i="15" s="1"/>
  <c r="CA53" i="6"/>
  <c r="BZ53" i="6"/>
  <c r="BY53" i="6"/>
  <c r="BX53" i="6"/>
  <c r="BX54" i="6" s="1"/>
  <c r="BW53" i="6"/>
  <c r="CB33" i="6"/>
  <c r="CB35" i="6" s="1"/>
  <c r="CA33" i="6"/>
  <c r="CA35" i="6" s="1"/>
  <c r="BZ33" i="6"/>
  <c r="BZ35" i="6" s="1"/>
  <c r="BY33" i="6"/>
  <c r="BY35" i="6" s="1"/>
  <c r="BX33" i="6"/>
  <c r="BX35" i="6" s="1"/>
  <c r="BW33" i="6"/>
  <c r="BW35" i="6" s="1"/>
  <c r="CB26" i="6"/>
  <c r="CB28" i="6" s="1"/>
  <c r="CA26" i="6"/>
  <c r="CA28" i="6" s="1"/>
  <c r="CB10" i="6"/>
  <c r="CB11" i="6" s="1"/>
  <c r="CA10" i="6"/>
  <c r="CA12" i="6" s="1"/>
  <c r="BZ8" i="8" s="1"/>
  <c r="BZ10" i="6"/>
  <c r="BZ12" i="6" s="1"/>
  <c r="BY8" i="8" s="1"/>
  <c r="BY10" i="6"/>
  <c r="BY12" i="6" s="1"/>
  <c r="BX8" i="8" s="1"/>
  <c r="BX10" i="6"/>
  <c r="BX11" i="6" s="1"/>
  <c r="BW10" i="6"/>
  <c r="BW12" i="6" s="1"/>
  <c r="BV8" i="8" s="1"/>
  <c r="CE79" i="7"/>
  <c r="CD79" i="7"/>
  <c r="CC79" i="7"/>
  <c r="CB79" i="7"/>
  <c r="CA79" i="7"/>
  <c r="BZ79" i="7"/>
  <c r="BY79" i="7"/>
  <c r="BX79" i="7"/>
  <c r="BW79" i="7"/>
  <c r="CE78" i="7"/>
  <c r="CD78" i="7"/>
  <c r="CC78" i="7"/>
  <c r="CB78" i="7"/>
  <c r="CA78" i="7"/>
  <c r="BZ78" i="7"/>
  <c r="BY78" i="7"/>
  <c r="BX78" i="7"/>
  <c r="BW78" i="7"/>
  <c r="CE72" i="7"/>
  <c r="CD72" i="7"/>
  <c r="CC72" i="7"/>
  <c r="CE71" i="7"/>
  <c r="CD71" i="7"/>
  <c r="CC71" i="7"/>
  <c r="CB71" i="7"/>
  <c r="CE62" i="7"/>
  <c r="CD62" i="7"/>
  <c r="CC62" i="7"/>
  <c r="CE61" i="7"/>
  <c r="CD61" i="7"/>
  <c r="CC61" i="7"/>
  <c r="CE52" i="7"/>
  <c r="CD52" i="7"/>
  <c r="CC52" i="7"/>
  <c r="CB52" i="7"/>
  <c r="CA52" i="7"/>
  <c r="BZ52" i="7"/>
  <c r="BY52" i="7"/>
  <c r="BX52" i="7"/>
  <c r="BW52" i="7"/>
  <c r="CE51" i="7"/>
  <c r="CD51" i="7"/>
  <c r="CC51" i="7"/>
  <c r="CB51" i="7"/>
  <c r="CA51" i="7"/>
  <c r="BZ51" i="7"/>
  <c r="BY51" i="7"/>
  <c r="BX51" i="7"/>
  <c r="CE32" i="7"/>
  <c r="CD32" i="7"/>
  <c r="CC32" i="7"/>
  <c r="CB32" i="7"/>
  <c r="CA32" i="7"/>
  <c r="BZ32" i="7"/>
  <c r="BY32" i="7"/>
  <c r="BX32" i="7"/>
  <c r="BW32" i="7"/>
  <c r="CE31" i="7"/>
  <c r="CD31" i="7"/>
  <c r="CC31" i="7"/>
  <c r="CB31" i="7"/>
  <c r="CA31" i="7"/>
  <c r="BZ31" i="7"/>
  <c r="BY31" i="7"/>
  <c r="BX31" i="7"/>
  <c r="BW31" i="7"/>
  <c r="CE25" i="7"/>
  <c r="CD25" i="7"/>
  <c r="CC25" i="7"/>
  <c r="BZ25" i="7"/>
  <c r="CE24" i="7"/>
  <c r="CD24" i="7"/>
  <c r="CC24" i="7"/>
  <c r="CE17" i="7"/>
  <c r="CD17" i="7"/>
  <c r="CC17" i="7"/>
  <c r="CE16" i="7"/>
  <c r="CD16" i="7"/>
  <c r="CC16" i="7"/>
  <c r="CE9" i="7"/>
  <c r="CD9" i="7"/>
  <c r="CC9" i="7"/>
  <c r="CB9" i="7"/>
  <c r="CA9" i="7"/>
  <c r="BZ9" i="7"/>
  <c r="BY9" i="7"/>
  <c r="BX9" i="7"/>
  <c r="BW9" i="7"/>
  <c r="CE8" i="7"/>
  <c r="CD8" i="7"/>
  <c r="CC8" i="7"/>
  <c r="CB8" i="7"/>
  <c r="CA8" i="7"/>
  <c r="BZ8" i="7"/>
  <c r="BY8" i="7"/>
  <c r="BX8" i="7"/>
  <c r="BW8" i="7"/>
  <c r="BY72" i="1"/>
  <c r="BY86" i="1" s="1"/>
  <c r="BX72" i="1"/>
  <c r="BW72" i="1"/>
  <c r="BY71" i="1"/>
  <c r="BX71" i="1"/>
  <c r="BW71" i="1"/>
  <c r="BX62" i="1"/>
  <c r="BW62" i="1"/>
  <c r="BY61" i="1"/>
  <c r="BX61" i="1"/>
  <c r="BW61" i="1"/>
  <c r="BW51" i="1"/>
  <c r="BY25" i="1"/>
  <c r="BX25" i="1"/>
  <c r="BW25" i="1"/>
  <c r="BY24" i="1"/>
  <c r="BX24" i="1"/>
  <c r="BX24" i="7" s="1"/>
  <c r="BW24" i="1"/>
  <c r="BY17" i="1"/>
  <c r="BX17" i="1"/>
  <c r="BX39" i="1" s="1"/>
  <c r="BW17" i="1"/>
  <c r="BY16" i="1"/>
  <c r="BX16" i="1"/>
  <c r="BW16" i="1"/>
  <c r="CB80" i="1"/>
  <c r="CB82" i="1" s="1"/>
  <c r="CA80" i="1"/>
  <c r="CA82" i="1" s="1"/>
  <c r="BZ80" i="1"/>
  <c r="BZ82" i="1" s="1"/>
  <c r="BY80" i="1"/>
  <c r="BY82" i="1" s="1"/>
  <c r="BX80" i="1"/>
  <c r="BX82" i="1" s="1"/>
  <c r="BW80" i="1"/>
  <c r="BW82" i="1" s="1"/>
  <c r="CA86" i="1"/>
  <c r="CA85" i="1"/>
  <c r="CB53" i="1"/>
  <c r="CA53" i="1"/>
  <c r="CA54" i="1" s="1"/>
  <c r="BZ53" i="1"/>
  <c r="BY53" i="1"/>
  <c r="BY57" i="1" s="1"/>
  <c r="BX53" i="1"/>
  <c r="CB33" i="1"/>
  <c r="CB35" i="1" s="1"/>
  <c r="CA33" i="1"/>
  <c r="CA35" i="1" s="1"/>
  <c r="BZ33" i="1"/>
  <c r="BZ35" i="1" s="1"/>
  <c r="BY33" i="1"/>
  <c r="BY35" i="1" s="1"/>
  <c r="BX33" i="1"/>
  <c r="BX35" i="1" s="1"/>
  <c r="BW33" i="1"/>
  <c r="BW35" i="1" s="1"/>
  <c r="CB10" i="1"/>
  <c r="CA10" i="1"/>
  <c r="BZ10" i="1"/>
  <c r="BZ12" i="1" s="1"/>
  <c r="BY5" i="8" s="1"/>
  <c r="BY10" i="1"/>
  <c r="BY12" i="1" s="1"/>
  <c r="BX5" i="8" s="1"/>
  <c r="BX10" i="1"/>
  <c r="BX12" i="1" s="1"/>
  <c r="BW5" i="8" s="1"/>
  <c r="BW10" i="1"/>
  <c r="BW12" i="1" s="1"/>
  <c r="BV5" i="8" s="1"/>
  <c r="BY72" i="2"/>
  <c r="BY71" i="2"/>
  <c r="BX72" i="2"/>
  <c r="BW72" i="2"/>
  <c r="BX71" i="2"/>
  <c r="BW71" i="2"/>
  <c r="BY62" i="2"/>
  <c r="BX62" i="2"/>
  <c r="BW62" i="2"/>
  <c r="BY61" i="2"/>
  <c r="BY85" i="2" s="1"/>
  <c r="BX61" i="2"/>
  <c r="BW61" i="2"/>
  <c r="BY17" i="2"/>
  <c r="BX17" i="2"/>
  <c r="BX39" i="2" s="1"/>
  <c r="BW17" i="2"/>
  <c r="BY16" i="2"/>
  <c r="BX16" i="2"/>
  <c r="BW16" i="2"/>
  <c r="CB80" i="2"/>
  <c r="CB82" i="2" s="1"/>
  <c r="CA80" i="2"/>
  <c r="CA82" i="2" s="1"/>
  <c r="BZ80" i="2"/>
  <c r="BZ82" i="2" s="1"/>
  <c r="BY80" i="2"/>
  <c r="BY82" i="2" s="1"/>
  <c r="BX80" i="2"/>
  <c r="BX81" i="2" s="1"/>
  <c r="BW80" i="2"/>
  <c r="BW82" i="2" s="1"/>
  <c r="BY86" i="2"/>
  <c r="BZ85" i="2"/>
  <c r="CB53" i="2"/>
  <c r="CA53" i="2"/>
  <c r="BZ53" i="2"/>
  <c r="BY53" i="2"/>
  <c r="BX53" i="2"/>
  <c r="BW53" i="2"/>
  <c r="CB33" i="2"/>
  <c r="CB35" i="2" s="1"/>
  <c r="CA33" i="2"/>
  <c r="CA35" i="2" s="1"/>
  <c r="BZ33" i="2"/>
  <c r="BZ35" i="2" s="1"/>
  <c r="BY33" i="2"/>
  <c r="BY35" i="2" s="1"/>
  <c r="BX33" i="2"/>
  <c r="BX35" i="2" s="1"/>
  <c r="BW33" i="2"/>
  <c r="BW35" i="2" s="1"/>
  <c r="BZ38" i="2"/>
  <c r="BX38" i="2"/>
  <c r="CB10" i="2"/>
  <c r="CB12" i="2" s="1"/>
  <c r="CA6" i="8" s="1"/>
  <c r="CA10" i="2"/>
  <c r="CA12" i="2" s="1"/>
  <c r="BZ6" i="8" s="1"/>
  <c r="BZ10" i="2"/>
  <c r="BZ12" i="2" s="1"/>
  <c r="BY6" i="8" s="1"/>
  <c r="BY10" i="2"/>
  <c r="BY12" i="2" s="1"/>
  <c r="BX6" i="8" s="1"/>
  <c r="BX10" i="2"/>
  <c r="BX12" i="2" s="1"/>
  <c r="BW6" i="8" s="1"/>
  <c r="BW10" i="2"/>
  <c r="BW12" i="2" s="1"/>
  <c r="BV6" i="8" s="1"/>
  <c r="BY71" i="4"/>
  <c r="BX71" i="4"/>
  <c r="BX73" i="4" s="1"/>
  <c r="BX75" i="4" s="1"/>
  <c r="BW71" i="4"/>
  <c r="BW85" i="4" s="1"/>
  <c r="BY61" i="4"/>
  <c r="BX61" i="4"/>
  <c r="BW61" i="4"/>
  <c r="BY72" i="4"/>
  <c r="BX72" i="4"/>
  <c r="BX86" i="4" s="1"/>
  <c r="BW72" i="4"/>
  <c r="BY62" i="4"/>
  <c r="BY63" i="4" s="1"/>
  <c r="BX62" i="4"/>
  <c r="BW62" i="4"/>
  <c r="CA85" i="4"/>
  <c r="CB80" i="4"/>
  <c r="CB82" i="4" s="1"/>
  <c r="CA80" i="4"/>
  <c r="CA82" i="4" s="1"/>
  <c r="BZ80" i="4"/>
  <c r="BZ82" i="4" s="1"/>
  <c r="BY80" i="4"/>
  <c r="BY82" i="4" s="1"/>
  <c r="BX80" i="4"/>
  <c r="BX82" i="4" s="1"/>
  <c r="BW80" i="4"/>
  <c r="BW82" i="4" s="1"/>
  <c r="CA73" i="4"/>
  <c r="CA75" i="4" s="1"/>
  <c r="CB63" i="4"/>
  <c r="CB65" i="4" s="1"/>
  <c r="CA7" i="14" s="1"/>
  <c r="CE53" i="4"/>
  <c r="CD53" i="4"/>
  <c r="CC53" i="4"/>
  <c r="CB53" i="4"/>
  <c r="CA53" i="4"/>
  <c r="BZ53" i="4"/>
  <c r="BY53" i="4"/>
  <c r="BY54" i="4" s="1"/>
  <c r="BX53" i="4"/>
  <c r="BW53" i="4"/>
  <c r="CB33" i="4"/>
  <c r="CB35" i="4" s="1"/>
  <c r="CA33" i="4"/>
  <c r="CA35" i="4" s="1"/>
  <c r="BZ33" i="4"/>
  <c r="BZ35" i="4" s="1"/>
  <c r="BY33" i="4"/>
  <c r="BY35" i="4" s="1"/>
  <c r="BX33" i="4"/>
  <c r="BX35" i="4" s="1"/>
  <c r="BW33" i="4"/>
  <c r="BW35" i="4" s="1"/>
  <c r="CB26" i="4"/>
  <c r="CB28" i="4" s="1"/>
  <c r="CA26" i="4"/>
  <c r="CA28" i="4" s="1"/>
  <c r="BZ26" i="4"/>
  <c r="BZ28" i="4" s="1"/>
  <c r="CB10" i="4"/>
  <c r="CB12" i="4" s="1"/>
  <c r="CA7" i="8" s="1"/>
  <c r="CA10" i="4"/>
  <c r="CA12" i="4" s="1"/>
  <c r="BZ7" i="8" s="1"/>
  <c r="BZ10" i="4"/>
  <c r="BZ12" i="4" s="1"/>
  <c r="BY7" i="8" s="1"/>
  <c r="BY10" i="4"/>
  <c r="BY12" i="4" s="1"/>
  <c r="BX7" i="8" s="1"/>
  <c r="BX10" i="4"/>
  <c r="BX12" i="4" s="1"/>
  <c r="BW7" i="8" s="1"/>
  <c r="BW10" i="4"/>
  <c r="BW12" i="4" s="1"/>
  <c r="BV7" i="8" s="1"/>
  <c r="BY25" i="4"/>
  <c r="BX25" i="4"/>
  <c r="BW25" i="4"/>
  <c r="BW24" i="4"/>
  <c r="BY17" i="4"/>
  <c r="BY16" i="4"/>
  <c r="BY38" i="4" s="1"/>
  <c r="BX17" i="4"/>
  <c r="BX16" i="4"/>
  <c r="BX38" i="4" s="1"/>
  <c r="BW17" i="4"/>
  <c r="BW16" i="4"/>
  <c r="BY72" i="5"/>
  <c r="BX72" i="5"/>
  <c r="BX73" i="5" s="1"/>
  <c r="BX74" i="5" s="1"/>
  <c r="BW72" i="5"/>
  <c r="BY71" i="5"/>
  <c r="BY73" i="5" s="1"/>
  <c r="BY75" i="5" s="1"/>
  <c r="BX71" i="5"/>
  <c r="BW71" i="5"/>
  <c r="BY62" i="5"/>
  <c r="BX62" i="5"/>
  <c r="BW62" i="5"/>
  <c r="BW86" i="5" s="1"/>
  <c r="BY61" i="5"/>
  <c r="BX61" i="5"/>
  <c r="BW61" i="5"/>
  <c r="BW85" i="5" s="1"/>
  <c r="BW51" i="5"/>
  <c r="BW53" i="5" s="1"/>
  <c r="BY80" i="5"/>
  <c r="BY82" i="5" s="1"/>
  <c r="BX80" i="5"/>
  <c r="BX81" i="5" s="1"/>
  <c r="BW80" i="5"/>
  <c r="BW82" i="5" s="1"/>
  <c r="BY53" i="5"/>
  <c r="BX53" i="5"/>
  <c r="BX55" i="5" s="1"/>
  <c r="BW9" i="15" s="1"/>
  <c r="BY17" i="5"/>
  <c r="BY39" i="5" s="1"/>
  <c r="BX17" i="5"/>
  <c r="BX39" i="5" s="1"/>
  <c r="BW17" i="5"/>
  <c r="BW39" i="5" s="1"/>
  <c r="BY16" i="5"/>
  <c r="BY38" i="5" s="1"/>
  <c r="BX16" i="5"/>
  <c r="BW16" i="5"/>
  <c r="BW38" i="5" s="1"/>
  <c r="BY33" i="5"/>
  <c r="BY35" i="5" s="1"/>
  <c r="BX33" i="5"/>
  <c r="BX35" i="5" s="1"/>
  <c r="BW33" i="5"/>
  <c r="BW35" i="5" s="1"/>
  <c r="BY26" i="5"/>
  <c r="BY27" i="5" s="1"/>
  <c r="BX26" i="5"/>
  <c r="BX28" i="5" s="1"/>
  <c r="BW26" i="5"/>
  <c r="BW28" i="5" s="1"/>
  <c r="BY10" i="5"/>
  <c r="BY11" i="5" s="1"/>
  <c r="BX10" i="5"/>
  <c r="BX11" i="5" s="1"/>
  <c r="BW10" i="5"/>
  <c r="BW11" i="5" s="1"/>
  <c r="N71" i="7"/>
  <c r="M71" i="7"/>
  <c r="L71" i="7"/>
  <c r="K71" i="7"/>
  <c r="J71" i="7"/>
  <c r="I71" i="7"/>
  <c r="H71" i="7"/>
  <c r="G71" i="7"/>
  <c r="F71" i="7"/>
  <c r="E71" i="7"/>
  <c r="D71" i="7"/>
  <c r="BU61" i="1"/>
  <c r="BV25" i="4"/>
  <c r="BU25" i="4"/>
  <c r="BT25" i="4"/>
  <c r="BU24" i="4"/>
  <c r="BT24" i="4"/>
  <c r="BV17" i="4"/>
  <c r="BU17" i="4"/>
  <c r="BT17" i="4"/>
  <c r="BV16" i="4"/>
  <c r="BU16" i="4"/>
  <c r="BT16" i="4"/>
  <c r="BV72" i="4"/>
  <c r="BU72" i="4"/>
  <c r="BT72" i="4"/>
  <c r="BV71" i="4"/>
  <c r="BU71" i="4"/>
  <c r="BT71" i="4"/>
  <c r="BT73" i="4" s="1"/>
  <c r="BV62" i="4"/>
  <c r="BU62" i="4"/>
  <c r="BT62" i="4"/>
  <c r="BV61" i="4"/>
  <c r="BV63" i="4" s="1"/>
  <c r="BV65" i="4" s="1"/>
  <c r="BU7" i="14" s="1"/>
  <c r="BU61" i="4"/>
  <c r="BT61" i="4"/>
  <c r="BT63" i="4" s="1"/>
  <c r="BV72" i="1"/>
  <c r="BU72" i="1"/>
  <c r="BT72" i="1"/>
  <c r="BU71" i="1"/>
  <c r="BV71" i="1"/>
  <c r="BT71" i="1"/>
  <c r="BV61" i="1"/>
  <c r="BU62" i="1"/>
  <c r="BV62" i="1"/>
  <c r="BT62" i="1"/>
  <c r="BT61" i="1"/>
  <c r="BV17" i="1"/>
  <c r="BU17" i="1"/>
  <c r="BU39" i="1" s="1"/>
  <c r="BT17" i="1"/>
  <c r="BV24" i="1"/>
  <c r="BT24" i="1"/>
  <c r="BV16" i="1"/>
  <c r="BU16" i="1"/>
  <c r="BT16" i="1"/>
  <c r="BV72" i="6"/>
  <c r="BU72" i="6"/>
  <c r="BT72" i="6"/>
  <c r="BV71" i="6"/>
  <c r="BU71" i="6"/>
  <c r="BT71" i="6"/>
  <c r="BV62" i="6"/>
  <c r="BU62" i="6"/>
  <c r="BU86" i="6" s="1"/>
  <c r="BT62" i="6"/>
  <c r="BT61" i="6"/>
  <c r="BT85" i="6" s="1"/>
  <c r="BV61" i="6"/>
  <c r="BU61" i="6"/>
  <c r="BV17" i="6"/>
  <c r="BV39" i="6" s="1"/>
  <c r="BU17" i="6"/>
  <c r="BU39" i="6" s="1"/>
  <c r="BT17" i="6"/>
  <c r="BV16" i="6"/>
  <c r="BV38" i="6" s="1"/>
  <c r="BU16" i="6"/>
  <c r="BT16" i="6"/>
  <c r="BT38" i="6" s="1"/>
  <c r="BV80" i="6"/>
  <c r="BV82" i="6" s="1"/>
  <c r="BU80" i="6"/>
  <c r="BU82" i="6" s="1"/>
  <c r="BT80" i="6"/>
  <c r="BT81" i="6" s="1"/>
  <c r="BV53" i="6"/>
  <c r="BU53" i="6"/>
  <c r="BT53" i="6"/>
  <c r="BU54" i="6"/>
  <c r="BV33" i="6"/>
  <c r="BV35" i="6" s="1"/>
  <c r="BU33" i="6"/>
  <c r="BU35" i="6" s="1"/>
  <c r="BT33" i="6"/>
  <c r="BV26" i="6"/>
  <c r="BV28" i="6" s="1"/>
  <c r="BU26" i="6"/>
  <c r="BU27" i="6" s="1"/>
  <c r="BT26" i="6"/>
  <c r="BT28" i="6" s="1"/>
  <c r="BV10" i="6"/>
  <c r="BV12" i="6" s="1"/>
  <c r="BU8" i="8" s="1"/>
  <c r="BU10" i="6"/>
  <c r="BU12" i="6" s="1"/>
  <c r="BT8" i="8" s="1"/>
  <c r="BT10" i="6"/>
  <c r="BT12" i="6" s="1"/>
  <c r="BS8" i="8" s="1"/>
  <c r="BV72" i="2"/>
  <c r="BU72" i="2"/>
  <c r="BT72" i="2"/>
  <c r="BV71" i="2"/>
  <c r="BU71" i="2"/>
  <c r="BU73" i="2" s="1"/>
  <c r="BU74" i="2" s="1"/>
  <c r="BT71" i="2"/>
  <c r="BV62" i="2"/>
  <c r="BU62" i="2"/>
  <c r="BT62" i="2"/>
  <c r="BV61" i="2"/>
  <c r="BU61" i="2"/>
  <c r="BU63" i="2" s="1"/>
  <c r="BT61" i="2"/>
  <c r="BU51" i="2"/>
  <c r="BT31" i="2"/>
  <c r="BT31" i="7" s="1"/>
  <c r="BV25" i="2"/>
  <c r="BU25" i="2"/>
  <c r="BU25" i="7" s="1"/>
  <c r="BT25" i="2"/>
  <c r="BV24" i="2"/>
  <c r="BU24" i="2"/>
  <c r="BT24" i="2"/>
  <c r="BV17" i="2"/>
  <c r="BU17" i="2"/>
  <c r="BT17" i="2"/>
  <c r="BT18" i="2" s="1"/>
  <c r="BV16" i="2"/>
  <c r="BU16" i="2"/>
  <c r="BU18" i="2" s="1"/>
  <c r="BU19" i="2" s="1"/>
  <c r="BT16" i="2"/>
  <c r="BT33" i="1"/>
  <c r="BT34" i="1" s="1"/>
  <c r="BU33" i="1"/>
  <c r="BU34" i="1" s="1"/>
  <c r="BV33" i="1"/>
  <c r="BT80" i="1"/>
  <c r="BT81" i="1" s="1"/>
  <c r="BU80" i="1"/>
  <c r="BU81" i="1" s="1"/>
  <c r="BV80" i="1"/>
  <c r="BV81" i="1" s="1"/>
  <c r="BV86" i="1"/>
  <c r="BT53" i="1"/>
  <c r="BT54" i="1" s="1"/>
  <c r="BU53" i="1"/>
  <c r="BU54" i="1" s="1"/>
  <c r="BV53" i="1"/>
  <c r="BV54" i="1" s="1"/>
  <c r="BT10" i="1"/>
  <c r="BT12" i="1" s="1"/>
  <c r="BS5" i="8" s="1"/>
  <c r="BU10" i="1"/>
  <c r="BU11" i="1" s="1"/>
  <c r="BV10" i="1"/>
  <c r="BU26" i="1"/>
  <c r="BT11" i="1"/>
  <c r="BV78" i="7"/>
  <c r="BV79" i="7"/>
  <c r="BV85" i="2"/>
  <c r="BV86" i="4"/>
  <c r="BV51" i="7"/>
  <c r="BV52" i="7"/>
  <c r="BV8" i="7"/>
  <c r="BV9" i="7"/>
  <c r="BT85" i="2"/>
  <c r="BT86" i="4"/>
  <c r="BU86" i="2"/>
  <c r="BT51" i="7"/>
  <c r="BT52" i="7"/>
  <c r="BU52" i="7"/>
  <c r="BT8" i="7"/>
  <c r="BT9" i="7"/>
  <c r="BU8" i="7"/>
  <c r="BU9" i="7"/>
  <c r="BT78" i="7"/>
  <c r="BU78" i="7"/>
  <c r="BT79" i="7"/>
  <c r="BU79" i="7"/>
  <c r="BU31" i="7"/>
  <c r="BV31" i="7"/>
  <c r="BT32" i="7"/>
  <c r="BU32" i="7"/>
  <c r="BV32" i="7"/>
  <c r="BU38" i="4"/>
  <c r="BU39" i="2"/>
  <c r="BV72" i="5"/>
  <c r="BU72" i="5"/>
  <c r="BT72" i="5"/>
  <c r="BV71" i="5"/>
  <c r="BU71" i="5"/>
  <c r="BT71" i="5"/>
  <c r="BV62" i="5"/>
  <c r="BU62" i="5"/>
  <c r="BT62" i="5"/>
  <c r="BV61" i="5"/>
  <c r="BU61" i="5"/>
  <c r="BT61" i="5"/>
  <c r="BT24" i="5"/>
  <c r="BV17" i="5"/>
  <c r="BV39" i="5" s="1"/>
  <c r="BU17" i="5"/>
  <c r="BT17" i="5"/>
  <c r="BT39" i="5" s="1"/>
  <c r="BV16" i="5"/>
  <c r="BU16" i="5"/>
  <c r="BT16" i="5"/>
  <c r="BV85" i="5"/>
  <c r="BT80" i="5"/>
  <c r="BT81" i="5" s="1"/>
  <c r="BU80" i="5"/>
  <c r="BV80" i="5"/>
  <c r="BV81" i="5" s="1"/>
  <c r="BU73" i="5"/>
  <c r="BU74" i="5" s="1"/>
  <c r="BT53" i="5"/>
  <c r="BT54" i="5" s="1"/>
  <c r="BU53" i="5"/>
  <c r="BU55" i="5" s="1"/>
  <c r="BT9" i="15" s="1"/>
  <c r="BV53" i="5"/>
  <c r="BT10" i="5"/>
  <c r="BU10" i="5"/>
  <c r="BU12" i="5" s="1"/>
  <c r="BT9" i="8" s="1"/>
  <c r="BV10" i="5"/>
  <c r="BT33" i="5"/>
  <c r="BT34" i="5" s="1"/>
  <c r="BU33" i="5"/>
  <c r="BU34" i="5" s="1"/>
  <c r="BV33" i="5"/>
  <c r="BV35" i="5" s="1"/>
  <c r="BU38" i="5"/>
  <c r="BU26" i="5"/>
  <c r="BU27" i="5" s="1"/>
  <c r="BV26" i="5"/>
  <c r="BV28" i="5" s="1"/>
  <c r="BU11" i="5"/>
  <c r="BS25" i="1"/>
  <c r="BR25" i="1"/>
  <c r="BQ25" i="1"/>
  <c r="BS17" i="1"/>
  <c r="BR17" i="1"/>
  <c r="BQ17" i="1"/>
  <c r="BS24" i="1"/>
  <c r="BR24" i="1"/>
  <c r="BQ24" i="1"/>
  <c r="BS16" i="1"/>
  <c r="BR16" i="1"/>
  <c r="BQ16" i="1"/>
  <c r="BQ78" i="1"/>
  <c r="BQ80" i="1" s="1"/>
  <c r="BQ81" i="1" s="1"/>
  <c r="BS72" i="1"/>
  <c r="BR72" i="1"/>
  <c r="BQ72" i="1"/>
  <c r="BS71" i="1"/>
  <c r="BR71" i="1"/>
  <c r="BQ71" i="1"/>
  <c r="BS62" i="1"/>
  <c r="BR62" i="1"/>
  <c r="BQ62" i="1"/>
  <c r="BQ86" i="1" s="1"/>
  <c r="BS61" i="1"/>
  <c r="BR61" i="1"/>
  <c r="BQ61" i="1"/>
  <c r="BR80" i="1"/>
  <c r="BR82" i="1" s="1"/>
  <c r="BS80" i="1"/>
  <c r="BS81" i="1" s="1"/>
  <c r="BQ53" i="1"/>
  <c r="BQ54" i="1" s="1"/>
  <c r="BR53" i="1"/>
  <c r="BR54" i="1" s="1"/>
  <c r="BS53" i="1"/>
  <c r="BS54" i="1" s="1"/>
  <c r="BR55" i="1"/>
  <c r="BQ5" i="15" s="1"/>
  <c r="BQ10" i="1"/>
  <c r="BQ12" i="1" s="1"/>
  <c r="BP5" i="8" s="1"/>
  <c r="BR10" i="1"/>
  <c r="BR11" i="1" s="1"/>
  <c r="BS10" i="1"/>
  <c r="BQ33" i="1"/>
  <c r="BQ34" i="1" s="1"/>
  <c r="BR33" i="1"/>
  <c r="BR34" i="1" s="1"/>
  <c r="BS33" i="1"/>
  <c r="BS34" i="1" s="1"/>
  <c r="BQ51" i="7"/>
  <c r="BR51" i="7"/>
  <c r="BS51" i="7"/>
  <c r="BQ52" i="7"/>
  <c r="BR52" i="7"/>
  <c r="BS52" i="7"/>
  <c r="BQ8" i="7"/>
  <c r="BQ9" i="7"/>
  <c r="BR8" i="7"/>
  <c r="BR9" i="7"/>
  <c r="BS8" i="7"/>
  <c r="BS9" i="7"/>
  <c r="BR78" i="7"/>
  <c r="BS78" i="7"/>
  <c r="BQ79" i="7"/>
  <c r="BR79" i="7"/>
  <c r="BS79" i="7"/>
  <c r="BQ31" i="7"/>
  <c r="BR31" i="7"/>
  <c r="BS31" i="7"/>
  <c r="BQ32" i="7"/>
  <c r="BR32" i="7"/>
  <c r="BS32" i="7"/>
  <c r="BS71" i="2"/>
  <c r="BR71" i="2"/>
  <c r="BR85" i="2" s="1"/>
  <c r="BS72" i="2"/>
  <c r="BR72" i="2"/>
  <c r="BQ72" i="2"/>
  <c r="BQ71" i="2"/>
  <c r="BS62" i="2"/>
  <c r="BR62" i="2"/>
  <c r="BQ62" i="2"/>
  <c r="BS61" i="2"/>
  <c r="BR61" i="2"/>
  <c r="BQ61" i="2"/>
  <c r="BS25" i="2"/>
  <c r="BR25" i="2"/>
  <c r="BQ25" i="2"/>
  <c r="BS24" i="2"/>
  <c r="BR24" i="2"/>
  <c r="BQ24" i="2"/>
  <c r="BS17" i="2"/>
  <c r="BR17" i="2"/>
  <c r="BQ17" i="2"/>
  <c r="BS16" i="2"/>
  <c r="BS18" i="2" s="1"/>
  <c r="BR16" i="2"/>
  <c r="BQ16" i="2"/>
  <c r="BS72" i="5"/>
  <c r="BR72" i="5"/>
  <c r="BQ72" i="5"/>
  <c r="BS71" i="5"/>
  <c r="BR71" i="5"/>
  <c r="BQ71" i="5"/>
  <c r="BS62" i="5"/>
  <c r="BR62" i="5"/>
  <c r="BR86" i="5" s="1"/>
  <c r="BQ62" i="5"/>
  <c r="BS61" i="5"/>
  <c r="BR61" i="5"/>
  <c r="BQ61" i="5"/>
  <c r="BS17" i="5"/>
  <c r="BR17" i="5"/>
  <c r="BQ17" i="5"/>
  <c r="BS16" i="5"/>
  <c r="BS38" i="5" s="1"/>
  <c r="BR16" i="5"/>
  <c r="BR38" i="5" s="1"/>
  <c r="BQ16" i="5"/>
  <c r="BQ38" i="5" s="1"/>
  <c r="BQ80" i="5"/>
  <c r="BQ81" i="5" s="1"/>
  <c r="BR80" i="5"/>
  <c r="BR82" i="5" s="1"/>
  <c r="BS80" i="5"/>
  <c r="BQ53" i="5"/>
  <c r="BQ55" i="5" s="1"/>
  <c r="BP9" i="15" s="1"/>
  <c r="BQ54" i="5"/>
  <c r="BR53" i="5"/>
  <c r="BR54" i="5" s="1"/>
  <c r="BS53" i="5"/>
  <c r="BS54" i="5" s="1"/>
  <c r="BR55" i="5"/>
  <c r="BQ9" i="15" s="1"/>
  <c r="BQ10" i="5"/>
  <c r="BQ57" i="5" s="1"/>
  <c r="BR10" i="5"/>
  <c r="BS10" i="5"/>
  <c r="BS12" i="5" s="1"/>
  <c r="BR9" i="8" s="1"/>
  <c r="BQ39" i="5"/>
  <c r="BQ33" i="5"/>
  <c r="BQ34" i="5" s="1"/>
  <c r="BR33" i="5"/>
  <c r="BR34" i="5" s="1"/>
  <c r="BS33" i="5"/>
  <c r="BS34" i="5" s="1"/>
  <c r="BQ26" i="5"/>
  <c r="BQ27" i="5" s="1"/>
  <c r="BR26" i="5"/>
  <c r="BR28" i="5" s="1"/>
  <c r="BS26" i="5"/>
  <c r="BS27" i="5" s="1"/>
  <c r="BQ11" i="5"/>
  <c r="BS17" i="6"/>
  <c r="BS39" i="6" s="1"/>
  <c r="BR17" i="6"/>
  <c r="BR39" i="6" s="1"/>
  <c r="BQ17" i="6"/>
  <c r="BQ39" i="6" s="1"/>
  <c r="BS16" i="6"/>
  <c r="BS38" i="6"/>
  <c r="BR16" i="6"/>
  <c r="BR38" i="6" s="1"/>
  <c r="BQ16" i="6"/>
  <c r="BQ38" i="6" s="1"/>
  <c r="BS72" i="6"/>
  <c r="BR72" i="6"/>
  <c r="BQ72" i="6"/>
  <c r="BS71" i="6"/>
  <c r="BR71" i="6"/>
  <c r="BQ71" i="6"/>
  <c r="BS62" i="6"/>
  <c r="BS86" i="6" s="1"/>
  <c r="BR62" i="6"/>
  <c r="BR86" i="6" s="1"/>
  <c r="BQ62" i="6"/>
  <c r="BS61" i="6"/>
  <c r="BR61" i="6"/>
  <c r="BR85" i="6" s="1"/>
  <c r="BQ61" i="6"/>
  <c r="BS17" i="4"/>
  <c r="BS39" i="4" s="1"/>
  <c r="BR17" i="4"/>
  <c r="BQ17" i="4"/>
  <c r="BQ39" i="4" s="1"/>
  <c r="BS16" i="4"/>
  <c r="BS38" i="4" s="1"/>
  <c r="BR16" i="4"/>
  <c r="BQ16" i="4"/>
  <c r="BS72" i="4"/>
  <c r="BR72" i="4"/>
  <c r="BQ72" i="4"/>
  <c r="BS71" i="4"/>
  <c r="BR71" i="4"/>
  <c r="BR73" i="4" s="1"/>
  <c r="BQ71" i="4"/>
  <c r="BS62" i="4"/>
  <c r="BR62" i="4"/>
  <c r="BQ62" i="4"/>
  <c r="BS61" i="4"/>
  <c r="BR61" i="4"/>
  <c r="BQ61" i="4"/>
  <c r="BQ10" i="6"/>
  <c r="BR10" i="6"/>
  <c r="BS10" i="6"/>
  <c r="BS11" i="6" s="1"/>
  <c r="BQ26" i="6"/>
  <c r="BQ27" i="6" s="1"/>
  <c r="BR26" i="6"/>
  <c r="BR27" i="6" s="1"/>
  <c r="BS26" i="6"/>
  <c r="BS27" i="6" s="1"/>
  <c r="BQ33" i="6"/>
  <c r="BQ34" i="6" s="1"/>
  <c r="BR33" i="6"/>
  <c r="BS33" i="6"/>
  <c r="BQ80" i="6"/>
  <c r="BQ81" i="6" s="1"/>
  <c r="BR80" i="6"/>
  <c r="BR81" i="6" s="1"/>
  <c r="BS80" i="6"/>
  <c r="BS81" i="6" s="1"/>
  <c r="BQ53" i="6"/>
  <c r="BQ55" i="6" s="1"/>
  <c r="BP8" i="15" s="1"/>
  <c r="BR53" i="6"/>
  <c r="BS53" i="6"/>
  <c r="BS55" i="6"/>
  <c r="BR8" i="15" s="1"/>
  <c r="BN53" i="2"/>
  <c r="BN55" i="2" s="1"/>
  <c r="BM6" i="15" s="1"/>
  <c r="BO53" i="2"/>
  <c r="BO55" i="2" s="1"/>
  <c r="BN6" i="15" s="1"/>
  <c r="BP53" i="2"/>
  <c r="BP55" i="2" s="1"/>
  <c r="BO6" i="15" s="1"/>
  <c r="BP72" i="5"/>
  <c r="BO72" i="5"/>
  <c r="BN72" i="5"/>
  <c r="BP71" i="5"/>
  <c r="BP85" i="5" s="1"/>
  <c r="BO71" i="5"/>
  <c r="BN71" i="5"/>
  <c r="BN73" i="5" s="1"/>
  <c r="BN75" i="5" s="1"/>
  <c r="BP62" i="5"/>
  <c r="BP86" i="5" s="1"/>
  <c r="BO62" i="5"/>
  <c r="BN62" i="5"/>
  <c r="BN86" i="5" s="1"/>
  <c r="BP61" i="5"/>
  <c r="BO61" i="5"/>
  <c r="BO85" i="5" s="1"/>
  <c r="BN61" i="5"/>
  <c r="BN53" i="5"/>
  <c r="BN55" i="5" s="1"/>
  <c r="BM9" i="15" s="1"/>
  <c r="BO53" i="5"/>
  <c r="BP53" i="5"/>
  <c r="BP55" i="5" s="1"/>
  <c r="BO9" i="15" s="1"/>
  <c r="BN51" i="7"/>
  <c r="BN52" i="7"/>
  <c r="BO51" i="7"/>
  <c r="BO52" i="7"/>
  <c r="BP51" i="7"/>
  <c r="BP52" i="7"/>
  <c r="BN9" i="7"/>
  <c r="BN8" i="7"/>
  <c r="BO9" i="7"/>
  <c r="BO8" i="7"/>
  <c r="BP9" i="7"/>
  <c r="BP8" i="7"/>
  <c r="BP25" i="5"/>
  <c r="BP26" i="5" s="1"/>
  <c r="BP27" i="5" s="1"/>
  <c r="BO25" i="5"/>
  <c r="BN25" i="5"/>
  <c r="BN26" i="5" s="1"/>
  <c r="BN27" i="5" s="1"/>
  <c r="BP17" i="5"/>
  <c r="BO17" i="5"/>
  <c r="BN17" i="5"/>
  <c r="BP16" i="5"/>
  <c r="BP38" i="5" s="1"/>
  <c r="BO16" i="5"/>
  <c r="BN16" i="5"/>
  <c r="BN38" i="5" s="1"/>
  <c r="BN80" i="5"/>
  <c r="BN81" i="5" s="1"/>
  <c r="BO80" i="5"/>
  <c r="BO82" i="5" s="1"/>
  <c r="BP80" i="5"/>
  <c r="BP81" i="5" s="1"/>
  <c r="BO54" i="5"/>
  <c r="BN10" i="5"/>
  <c r="BO10" i="5"/>
  <c r="BO57" i="5" s="1"/>
  <c r="BP10" i="5"/>
  <c r="BN33" i="5"/>
  <c r="BN34" i="5" s="1"/>
  <c r="BO33" i="5"/>
  <c r="BP33" i="5"/>
  <c r="BP71" i="6"/>
  <c r="BO71" i="6"/>
  <c r="BN71" i="6"/>
  <c r="BP72" i="6"/>
  <c r="BO72" i="6"/>
  <c r="BN72" i="6"/>
  <c r="BP62" i="6"/>
  <c r="BO62" i="6"/>
  <c r="BN62" i="6"/>
  <c r="BP61" i="6"/>
  <c r="BO61" i="6"/>
  <c r="BN61" i="6"/>
  <c r="BP17" i="6"/>
  <c r="BP39" i="6" s="1"/>
  <c r="BO17" i="6"/>
  <c r="BN17" i="6"/>
  <c r="BN39" i="6" s="1"/>
  <c r="BP16" i="6"/>
  <c r="BO16" i="6"/>
  <c r="BO38" i="6" s="1"/>
  <c r="BN16" i="6"/>
  <c r="BN80" i="6"/>
  <c r="BN81" i="6" s="1"/>
  <c r="BO80" i="6"/>
  <c r="BO81" i="6" s="1"/>
  <c r="BP80" i="6"/>
  <c r="BP81" i="6" s="1"/>
  <c r="BN53" i="6"/>
  <c r="BN54" i="6" s="1"/>
  <c r="BO53" i="6"/>
  <c r="BP53" i="6"/>
  <c r="BN33" i="6"/>
  <c r="BO33" i="6"/>
  <c r="BO34" i="6" s="1"/>
  <c r="BP33" i="6"/>
  <c r="BP34" i="6" s="1"/>
  <c r="BN26" i="6"/>
  <c r="BN27" i="6" s="1"/>
  <c r="BO26" i="6"/>
  <c r="BO28" i="6" s="1"/>
  <c r="BP26" i="6"/>
  <c r="BN10" i="6"/>
  <c r="BN12" i="6" s="1"/>
  <c r="BM8" i="8" s="1"/>
  <c r="BO10" i="6"/>
  <c r="BP10" i="6"/>
  <c r="BP11" i="6"/>
  <c r="BP71" i="4"/>
  <c r="BO71" i="4"/>
  <c r="BN71" i="4"/>
  <c r="BP72" i="4"/>
  <c r="BO72" i="4"/>
  <c r="BN72" i="4"/>
  <c r="BP62" i="4"/>
  <c r="BO62" i="4"/>
  <c r="BN62" i="4"/>
  <c r="BP61" i="4"/>
  <c r="BP63" i="4" s="1"/>
  <c r="BO61" i="4"/>
  <c r="BN61" i="4"/>
  <c r="BP25" i="4"/>
  <c r="BO25" i="4"/>
  <c r="BN25" i="4"/>
  <c r="BP24" i="4"/>
  <c r="BO24" i="4"/>
  <c r="BN24" i="4"/>
  <c r="BP17" i="4"/>
  <c r="BP39" i="4" s="1"/>
  <c r="BO17" i="4"/>
  <c r="BN17" i="4"/>
  <c r="BP16" i="4"/>
  <c r="BO16" i="4"/>
  <c r="BN16" i="4"/>
  <c r="BP25" i="2"/>
  <c r="BO25" i="2"/>
  <c r="BN25" i="2"/>
  <c r="BN26" i="2" s="1"/>
  <c r="BN27" i="2" s="1"/>
  <c r="BP24" i="2"/>
  <c r="BO24" i="2"/>
  <c r="BN24" i="2"/>
  <c r="BP16" i="2"/>
  <c r="BO16" i="2"/>
  <c r="BN16" i="2"/>
  <c r="BN38" i="2" s="1"/>
  <c r="BP17" i="2"/>
  <c r="BP39" i="2" s="1"/>
  <c r="BO17" i="2"/>
  <c r="BN17" i="2"/>
  <c r="BP72" i="2"/>
  <c r="BO72" i="2"/>
  <c r="BN72" i="2"/>
  <c r="BP71" i="2"/>
  <c r="BO71" i="2"/>
  <c r="BN71" i="2"/>
  <c r="BN73" i="2" s="1"/>
  <c r="BN75" i="2" s="1"/>
  <c r="BP62" i="2"/>
  <c r="BP86" i="2" s="1"/>
  <c r="BO62" i="2"/>
  <c r="BN62" i="2"/>
  <c r="BN86" i="2" s="1"/>
  <c r="BP61" i="2"/>
  <c r="BO61" i="2"/>
  <c r="BN61" i="2"/>
  <c r="BP72" i="1"/>
  <c r="BO72" i="1"/>
  <c r="BN72" i="1"/>
  <c r="BP62" i="1"/>
  <c r="BO62" i="1"/>
  <c r="BN62" i="1"/>
  <c r="BN62" i="7" s="1"/>
  <c r="BP71" i="1"/>
  <c r="BO71" i="1"/>
  <c r="BN71" i="1"/>
  <c r="BP61" i="1"/>
  <c r="BP61" i="7" s="1"/>
  <c r="BO61" i="1"/>
  <c r="BO85" i="1" s="1"/>
  <c r="BN61" i="1"/>
  <c r="BP25" i="1"/>
  <c r="BP25" i="7" s="1"/>
  <c r="BO25" i="1"/>
  <c r="BN25" i="1"/>
  <c r="BP17" i="1"/>
  <c r="BO17" i="1"/>
  <c r="BN17" i="1"/>
  <c r="BN18" i="1" s="1"/>
  <c r="BN19" i="1" s="1"/>
  <c r="BP24" i="1"/>
  <c r="BO24" i="1"/>
  <c r="BN24" i="1"/>
  <c r="BP16" i="1"/>
  <c r="BO16" i="1"/>
  <c r="BN16" i="1"/>
  <c r="BN80" i="1"/>
  <c r="BN81" i="1" s="1"/>
  <c r="BO80" i="1"/>
  <c r="BO81" i="1" s="1"/>
  <c r="BP80" i="1"/>
  <c r="BP81" i="1" s="1"/>
  <c r="BN53" i="1"/>
  <c r="BN54" i="1" s="1"/>
  <c r="BO53" i="1"/>
  <c r="BO57" i="1" s="1"/>
  <c r="BP53" i="1"/>
  <c r="BP55" i="1" s="1"/>
  <c r="BO5" i="15" s="1"/>
  <c r="BN10" i="1"/>
  <c r="BN57" i="1" s="1"/>
  <c r="BO10" i="1"/>
  <c r="BO12" i="1" s="1"/>
  <c r="BN5" i="8" s="1"/>
  <c r="BP10" i="1"/>
  <c r="BP12" i="1" s="1"/>
  <c r="BO5" i="8" s="1"/>
  <c r="BN33" i="1"/>
  <c r="BN34" i="1" s="1"/>
  <c r="BO33" i="1"/>
  <c r="BO34" i="1" s="1"/>
  <c r="BP33" i="1"/>
  <c r="BN78" i="7"/>
  <c r="BO78" i="7"/>
  <c r="BP78" i="7"/>
  <c r="BN79" i="7"/>
  <c r="BO79" i="7"/>
  <c r="BP79" i="7"/>
  <c r="BN31" i="7"/>
  <c r="BO31" i="7"/>
  <c r="BP31" i="7"/>
  <c r="BN32" i="7"/>
  <c r="BO32" i="7"/>
  <c r="BP32" i="7"/>
  <c r="BK52" i="7"/>
  <c r="BK51" i="7"/>
  <c r="BL52" i="7"/>
  <c r="BL51" i="7"/>
  <c r="BM52" i="7"/>
  <c r="BM51" i="7"/>
  <c r="BK9" i="7"/>
  <c r="BK8" i="7"/>
  <c r="BL9" i="7"/>
  <c r="BL8" i="7"/>
  <c r="BM9" i="7"/>
  <c r="BM8" i="7"/>
  <c r="BM72" i="2"/>
  <c r="BL72" i="2"/>
  <c r="BK72" i="2"/>
  <c r="BK71" i="2"/>
  <c r="BM71" i="2"/>
  <c r="BM73" i="2" s="1"/>
  <c r="BM74" i="2" s="1"/>
  <c r="BL71" i="2"/>
  <c r="BM62" i="2"/>
  <c r="BL62" i="2"/>
  <c r="BK62" i="2"/>
  <c r="BK86" i="2" s="1"/>
  <c r="BM61" i="2"/>
  <c r="BL61" i="2"/>
  <c r="BK61" i="2"/>
  <c r="BK63" i="2" s="1"/>
  <c r="BK65" i="2" s="1"/>
  <c r="BJ6" i="14" s="1"/>
  <c r="BM25" i="2"/>
  <c r="BL25" i="2"/>
  <c r="BL26" i="2" s="1"/>
  <c r="BK25" i="2"/>
  <c r="BM24" i="2"/>
  <c r="BL24" i="2"/>
  <c r="BK24" i="2"/>
  <c r="BK26" i="2"/>
  <c r="BK28" i="2" s="1"/>
  <c r="BM17" i="2"/>
  <c r="BL17" i="2"/>
  <c r="BK17" i="2"/>
  <c r="BM16" i="2"/>
  <c r="BL16" i="2"/>
  <c r="BK16" i="2"/>
  <c r="BK53" i="2"/>
  <c r="BK54" i="2"/>
  <c r="BL53" i="2"/>
  <c r="BM53" i="2"/>
  <c r="BM55" i="2" s="1"/>
  <c r="BL6" i="15" s="1"/>
  <c r="BQ53" i="2"/>
  <c r="BQ55" i="2" s="1"/>
  <c r="BP6" i="15" s="1"/>
  <c r="BR53" i="2"/>
  <c r="BS53" i="2"/>
  <c r="BT53" i="2"/>
  <c r="BV53" i="2"/>
  <c r="BK55" i="2"/>
  <c r="BJ6" i="15" s="1"/>
  <c r="BL55" i="2"/>
  <c r="BK6" i="15" s="1"/>
  <c r="BS55" i="2"/>
  <c r="BR6" i="15" s="1"/>
  <c r="BK10" i="2"/>
  <c r="BK57" i="2" s="1"/>
  <c r="BL10" i="2"/>
  <c r="BL11" i="2" s="1"/>
  <c r="BM10" i="2"/>
  <c r="BN10" i="2"/>
  <c r="BN12" i="2" s="1"/>
  <c r="BM6" i="8" s="1"/>
  <c r="BO10" i="2"/>
  <c r="BO12" i="2" s="1"/>
  <c r="BN6" i="8" s="1"/>
  <c r="BP10" i="2"/>
  <c r="BP12" i="2" s="1"/>
  <c r="BO6" i="8" s="1"/>
  <c r="BQ10" i="2"/>
  <c r="BR10" i="2"/>
  <c r="BR11" i="2" s="1"/>
  <c r="BS10" i="2"/>
  <c r="BT10" i="2"/>
  <c r="BU10" i="2"/>
  <c r="BV10" i="2"/>
  <c r="BV12" i="2" s="1"/>
  <c r="BU6" i="8" s="1"/>
  <c r="BS63" i="2"/>
  <c r="BU64" i="2"/>
  <c r="BU65" i="2"/>
  <c r="BT6" i="14" s="1"/>
  <c r="BS73" i="2"/>
  <c r="BS74" i="2" s="1"/>
  <c r="BK80" i="2"/>
  <c r="BK82" i="2" s="1"/>
  <c r="BL80" i="2"/>
  <c r="BL82" i="2" s="1"/>
  <c r="BM80" i="2"/>
  <c r="BM81" i="2" s="1"/>
  <c r="BN80" i="2"/>
  <c r="BN81" i="2" s="1"/>
  <c r="BO80" i="2"/>
  <c r="BO81" i="2" s="1"/>
  <c r="BP80" i="2"/>
  <c r="BP81" i="2" s="1"/>
  <c r="BQ80" i="2"/>
  <c r="BQ81" i="2" s="1"/>
  <c r="BR80" i="2"/>
  <c r="BR82" i="2" s="1"/>
  <c r="BS80" i="2"/>
  <c r="BS81" i="2" s="1"/>
  <c r="BT80" i="2"/>
  <c r="BT82" i="2" s="1"/>
  <c r="BU80" i="2"/>
  <c r="BU81" i="2" s="1"/>
  <c r="BV80" i="2"/>
  <c r="BV81" i="2" s="1"/>
  <c r="BK81" i="2"/>
  <c r="BM86" i="2"/>
  <c r="BQ86" i="2"/>
  <c r="BS86" i="2"/>
  <c r="BN11" i="2"/>
  <c r="BT11" i="2"/>
  <c r="BV11" i="2"/>
  <c r="BL12" i="2"/>
  <c r="BK6" i="8" s="1"/>
  <c r="BT12" i="2"/>
  <c r="BS6" i="8" s="1"/>
  <c r="BP26" i="2"/>
  <c r="BP27" i="2" s="1"/>
  <c r="BK33" i="2"/>
  <c r="BK35" i="2" s="1"/>
  <c r="BL33" i="2"/>
  <c r="BL35" i="2" s="1"/>
  <c r="BM33" i="2"/>
  <c r="BN33" i="2"/>
  <c r="BN35" i="2" s="1"/>
  <c r="BO33" i="2"/>
  <c r="BO34" i="2" s="1"/>
  <c r="BP33" i="2"/>
  <c r="BP35" i="2" s="1"/>
  <c r="BQ33" i="2"/>
  <c r="BQ34" i="2" s="1"/>
  <c r="BR33" i="2"/>
  <c r="BR35" i="2" s="1"/>
  <c r="BS33" i="2"/>
  <c r="BS35" i="2" s="1"/>
  <c r="BT33" i="2"/>
  <c r="BT34" i="2" s="1"/>
  <c r="BU33" i="2"/>
  <c r="BU35" i="2" s="1"/>
  <c r="BV33" i="2"/>
  <c r="BV35" i="2" s="1"/>
  <c r="BK34" i="2"/>
  <c r="BL34" i="2"/>
  <c r="BN34" i="2"/>
  <c r="BM39" i="2"/>
  <c r="BM72" i="6"/>
  <c r="BL72" i="6"/>
  <c r="BK72" i="6"/>
  <c r="BM71" i="6"/>
  <c r="BM73" i="6" s="1"/>
  <c r="BM75" i="6" s="1"/>
  <c r="BL71" i="6"/>
  <c r="BK71" i="6"/>
  <c r="BM62" i="6"/>
  <c r="BL62" i="6"/>
  <c r="BK62" i="6"/>
  <c r="BM61" i="6"/>
  <c r="BL61" i="6"/>
  <c r="BL85" i="6" s="1"/>
  <c r="BK61" i="6"/>
  <c r="BM25" i="6"/>
  <c r="BL25" i="6"/>
  <c r="BK25" i="6"/>
  <c r="BK26" i="6" s="1"/>
  <c r="BK27" i="6" s="1"/>
  <c r="BM17" i="6"/>
  <c r="BL17" i="6"/>
  <c r="BK17" i="6"/>
  <c r="BM24" i="6"/>
  <c r="BL24" i="6"/>
  <c r="BK24" i="6"/>
  <c r="BM16" i="6"/>
  <c r="BL16" i="6"/>
  <c r="BK16" i="6"/>
  <c r="BM10" i="6"/>
  <c r="BM33" i="6"/>
  <c r="BK53" i="6"/>
  <c r="BK54" i="6" s="1"/>
  <c r="BL53" i="6"/>
  <c r="BM53" i="6"/>
  <c r="BM55" i="6" s="1"/>
  <c r="BL8" i="15" s="1"/>
  <c r="BK10" i="6"/>
  <c r="BL10" i="6"/>
  <c r="BK80" i="6"/>
  <c r="BK81" i="6" s="1"/>
  <c r="BL80" i="6"/>
  <c r="BL81" i="6" s="1"/>
  <c r="BM80" i="6"/>
  <c r="BK33" i="6"/>
  <c r="BK34" i="6" s="1"/>
  <c r="BL33" i="6"/>
  <c r="BM62" i="4"/>
  <c r="BL62" i="4"/>
  <c r="BK62" i="4"/>
  <c r="BM72" i="4"/>
  <c r="BL72" i="4"/>
  <c r="BK72" i="4"/>
  <c r="BM71" i="4"/>
  <c r="BL71" i="4"/>
  <c r="BK71" i="4"/>
  <c r="BM61" i="4"/>
  <c r="BL61" i="4"/>
  <c r="BK61" i="4"/>
  <c r="BM17" i="4"/>
  <c r="BL17" i="4"/>
  <c r="BK17" i="4"/>
  <c r="BM25" i="4"/>
  <c r="BL25" i="4"/>
  <c r="BK25" i="4"/>
  <c r="BM24" i="4"/>
  <c r="BM38" i="4" s="1"/>
  <c r="BL24" i="4"/>
  <c r="BK24" i="4"/>
  <c r="BK38" i="4" s="1"/>
  <c r="BM16" i="4"/>
  <c r="BL16" i="4"/>
  <c r="BK16" i="4"/>
  <c r="BK53" i="4"/>
  <c r="BK54" i="4" s="1"/>
  <c r="BL53" i="4"/>
  <c r="BL55" i="4" s="1"/>
  <c r="BK7" i="15" s="1"/>
  <c r="BM53" i="4"/>
  <c r="BM54" i="4" s="1"/>
  <c r="BN53" i="4"/>
  <c r="BO53" i="4"/>
  <c r="BO54" i="4" s="1"/>
  <c r="BP53" i="4"/>
  <c r="BP55" i="4" s="1"/>
  <c r="BO7" i="15" s="1"/>
  <c r="BQ53" i="4"/>
  <c r="BQ55" i="4" s="1"/>
  <c r="BP7" i="15" s="1"/>
  <c r="BR53" i="4"/>
  <c r="BS53" i="4"/>
  <c r="BS54" i="4" s="1"/>
  <c r="BT53" i="4"/>
  <c r="BT55" i="4" s="1"/>
  <c r="BS7" i="15" s="1"/>
  <c r="BU53" i="4"/>
  <c r="BV53" i="4"/>
  <c r="BL54" i="4"/>
  <c r="BP54" i="4"/>
  <c r="BS55" i="4"/>
  <c r="BR7" i="15" s="1"/>
  <c r="BK10" i="4"/>
  <c r="BL10" i="4"/>
  <c r="BM10" i="4"/>
  <c r="BN10" i="4"/>
  <c r="BN11" i="4" s="1"/>
  <c r="BO10" i="4"/>
  <c r="BP10" i="4"/>
  <c r="BQ10" i="4"/>
  <c r="BQ11" i="4" s="1"/>
  <c r="BR10" i="4"/>
  <c r="BS10" i="4"/>
  <c r="BT10" i="4"/>
  <c r="BU10" i="4"/>
  <c r="BV10" i="4"/>
  <c r="BV12" i="4" s="1"/>
  <c r="BU7" i="8" s="1"/>
  <c r="BV73" i="4"/>
  <c r="BK80" i="4"/>
  <c r="BK81" i="4" s="1"/>
  <c r="BL80" i="4"/>
  <c r="BM80" i="4"/>
  <c r="BN80" i="4"/>
  <c r="BN81" i="4" s="1"/>
  <c r="BO80" i="4"/>
  <c r="BO81" i="4" s="1"/>
  <c r="BP80" i="4"/>
  <c r="BQ80" i="4"/>
  <c r="BR80" i="4"/>
  <c r="BR81" i="4" s="1"/>
  <c r="BS80" i="4"/>
  <c r="BT80" i="4"/>
  <c r="BU80" i="4"/>
  <c r="BU81" i="4" s="1"/>
  <c r="BV80" i="4"/>
  <c r="BV82" i="4" s="1"/>
  <c r="BQ85" i="4"/>
  <c r="BS85" i="4"/>
  <c r="BR86" i="4"/>
  <c r="BM11" i="4"/>
  <c r="BU11" i="4"/>
  <c r="BM12" i="4"/>
  <c r="BL7" i="8" s="1"/>
  <c r="BQ12" i="4"/>
  <c r="BP7" i="8" s="1"/>
  <c r="BU12" i="4"/>
  <c r="BT7" i="8" s="1"/>
  <c r="BQ26" i="4"/>
  <c r="BQ27" i="4" s="1"/>
  <c r="BR26" i="4"/>
  <c r="BR27" i="4" s="1"/>
  <c r="BS26" i="4"/>
  <c r="BS27" i="4" s="1"/>
  <c r="BU26" i="4"/>
  <c r="BU27" i="4" s="1"/>
  <c r="BK33" i="4"/>
  <c r="BK35" i="4" s="1"/>
  <c r="BL33" i="4"/>
  <c r="BL35" i="4" s="1"/>
  <c r="BM33" i="4"/>
  <c r="BM34" i="4" s="1"/>
  <c r="BN33" i="4"/>
  <c r="BN34" i="4" s="1"/>
  <c r="BO33" i="4"/>
  <c r="BO34" i="4" s="1"/>
  <c r="BP33" i="4"/>
  <c r="BP34" i="4" s="1"/>
  <c r="BQ33" i="4"/>
  <c r="BQ34" i="4" s="1"/>
  <c r="BR33" i="4"/>
  <c r="BR34" i="4" s="1"/>
  <c r="BS33" i="4"/>
  <c r="BS34" i="4" s="1"/>
  <c r="BT33" i="4"/>
  <c r="BT35" i="4" s="1"/>
  <c r="BU33" i="4"/>
  <c r="BV33" i="4"/>
  <c r="BV34" i="4" s="1"/>
  <c r="BK34" i="4"/>
  <c r="BL34" i="4"/>
  <c r="BP35" i="4"/>
  <c r="BQ38" i="4"/>
  <c r="BR39" i="4"/>
  <c r="BK78" i="7"/>
  <c r="BL78" i="7"/>
  <c r="BM78" i="7"/>
  <c r="BK79" i="7"/>
  <c r="BL79" i="7"/>
  <c r="BM79" i="7"/>
  <c r="BK31" i="7"/>
  <c r="BL31" i="7"/>
  <c r="BM31" i="7"/>
  <c r="BK32" i="7"/>
  <c r="BL32" i="7"/>
  <c r="BM32" i="7"/>
  <c r="BK71" i="1"/>
  <c r="BL72" i="1"/>
  <c r="BM72" i="1"/>
  <c r="BK72" i="1"/>
  <c r="BM71" i="1"/>
  <c r="BL71" i="1"/>
  <c r="BM62" i="1"/>
  <c r="BM86" i="1" s="1"/>
  <c r="BL62" i="1"/>
  <c r="BK62" i="1"/>
  <c r="BM61" i="1"/>
  <c r="BL61" i="1"/>
  <c r="BK61" i="1"/>
  <c r="BK80" i="1"/>
  <c r="BL80" i="1"/>
  <c r="BL81" i="1" s="1"/>
  <c r="BM80" i="1"/>
  <c r="BM81" i="1" s="1"/>
  <c r="BK53" i="1"/>
  <c r="BK55" i="1" s="1"/>
  <c r="BJ5" i="15" s="1"/>
  <c r="BL53" i="1"/>
  <c r="BL55" i="1" s="1"/>
  <c r="BK5" i="15" s="1"/>
  <c r="BM53" i="1"/>
  <c r="BM25" i="1"/>
  <c r="BL25" i="1"/>
  <c r="BK25" i="1"/>
  <c r="BM24" i="1"/>
  <c r="BL24" i="1"/>
  <c r="BL26" i="1" s="1"/>
  <c r="BL27" i="1" s="1"/>
  <c r="BK24" i="1"/>
  <c r="BM17" i="1"/>
  <c r="BM18" i="1" s="1"/>
  <c r="BM19" i="1" s="1"/>
  <c r="BL17" i="1"/>
  <c r="BK17" i="1"/>
  <c r="BM16" i="1"/>
  <c r="BL16" i="1"/>
  <c r="BK16" i="1"/>
  <c r="BM72" i="5"/>
  <c r="BM86" i="5" s="1"/>
  <c r="BL72" i="5"/>
  <c r="BK72" i="5"/>
  <c r="BM71" i="5"/>
  <c r="BM73" i="5" s="1"/>
  <c r="BM74" i="5" s="1"/>
  <c r="BL71" i="5"/>
  <c r="BK71" i="5"/>
  <c r="BM62" i="5"/>
  <c r="BL62" i="5"/>
  <c r="BK62" i="5"/>
  <c r="BM61" i="5"/>
  <c r="BL61" i="5"/>
  <c r="BK61" i="5"/>
  <c r="BK80" i="5"/>
  <c r="BL80" i="5"/>
  <c r="BL81" i="5" s="1"/>
  <c r="BM80" i="5"/>
  <c r="BM81" i="5" s="1"/>
  <c r="BK53" i="5"/>
  <c r="BL53" i="5"/>
  <c r="BM53" i="5"/>
  <c r="BM54" i="5" s="1"/>
  <c r="BM25" i="5"/>
  <c r="BL25" i="5"/>
  <c r="BK25" i="5"/>
  <c r="BM24" i="5"/>
  <c r="BL24" i="5"/>
  <c r="BK24" i="5"/>
  <c r="BM17" i="5"/>
  <c r="BL17" i="5"/>
  <c r="BK17" i="5"/>
  <c r="BM16" i="5"/>
  <c r="BL16" i="5"/>
  <c r="BK16" i="5"/>
  <c r="BK33" i="5"/>
  <c r="BL33" i="5"/>
  <c r="BM33" i="5"/>
  <c r="BM34" i="5" s="1"/>
  <c r="BK10" i="5"/>
  <c r="BK11" i="5" s="1"/>
  <c r="BL10" i="5"/>
  <c r="BM10" i="5"/>
  <c r="BM12" i="5"/>
  <c r="BL9" i="8" s="1"/>
  <c r="BK10" i="1"/>
  <c r="BL10" i="1"/>
  <c r="BL11" i="1" s="1"/>
  <c r="BM10" i="1"/>
  <c r="BK33" i="1"/>
  <c r="BK34" i="1" s="1"/>
  <c r="BL33" i="1"/>
  <c r="BL34" i="1" s="1"/>
  <c r="BM33" i="1"/>
  <c r="BH51" i="7"/>
  <c r="BI52" i="7"/>
  <c r="BI51" i="7"/>
  <c r="BJ52" i="7"/>
  <c r="BJ51" i="7"/>
  <c r="BH9" i="7"/>
  <c r="BH8" i="7"/>
  <c r="BI9" i="7"/>
  <c r="BI8" i="7"/>
  <c r="BJ9" i="7"/>
  <c r="BJ8" i="7"/>
  <c r="BJ72" i="1"/>
  <c r="BI72" i="1"/>
  <c r="BI72" i="7" s="1"/>
  <c r="BH72" i="1"/>
  <c r="BJ71" i="1"/>
  <c r="BI71" i="1"/>
  <c r="BH71" i="1"/>
  <c r="BJ62" i="1"/>
  <c r="BI62" i="1"/>
  <c r="BH62" i="1"/>
  <c r="BJ61" i="1"/>
  <c r="BJ85" i="1" s="1"/>
  <c r="BI61" i="1"/>
  <c r="BH61" i="1"/>
  <c r="BJ25" i="1"/>
  <c r="BI25" i="1"/>
  <c r="BH25" i="1"/>
  <c r="BJ24" i="1"/>
  <c r="BI24" i="1"/>
  <c r="BH24" i="1"/>
  <c r="BH38" i="1" s="1"/>
  <c r="BJ17" i="1"/>
  <c r="BI17" i="1"/>
  <c r="BH17" i="1"/>
  <c r="BJ16" i="1"/>
  <c r="BI16" i="1"/>
  <c r="BI18" i="1" s="1"/>
  <c r="BH16" i="1"/>
  <c r="BJ72" i="2"/>
  <c r="BI72" i="2"/>
  <c r="BH72" i="2"/>
  <c r="BJ71" i="2"/>
  <c r="BI71" i="2"/>
  <c r="BH71" i="2"/>
  <c r="BJ62" i="2"/>
  <c r="BI62" i="2"/>
  <c r="BH62" i="2"/>
  <c r="BH86" i="2" s="1"/>
  <c r="BJ61" i="2"/>
  <c r="BI61" i="2"/>
  <c r="BH61" i="2"/>
  <c r="BH85" i="2" s="1"/>
  <c r="BH52" i="2"/>
  <c r="BH80" i="2"/>
  <c r="BH81" i="2" s="1"/>
  <c r="BI80" i="2"/>
  <c r="BI81" i="2" s="1"/>
  <c r="BJ80" i="2"/>
  <c r="BJ81" i="2" s="1"/>
  <c r="BH53" i="2"/>
  <c r="BH55" i="2" s="1"/>
  <c r="BG6" i="15" s="1"/>
  <c r="BI53" i="2"/>
  <c r="BI55" i="2" s="1"/>
  <c r="BH6" i="15" s="1"/>
  <c r="BJ53" i="2"/>
  <c r="BJ55" i="2" s="1"/>
  <c r="BI6" i="15" s="1"/>
  <c r="BJ25" i="2"/>
  <c r="BI25" i="2"/>
  <c r="BH25" i="2"/>
  <c r="BJ24" i="2"/>
  <c r="BI24" i="2"/>
  <c r="BH24" i="2"/>
  <c r="BJ17" i="2"/>
  <c r="BI17" i="2"/>
  <c r="BH17" i="2"/>
  <c r="BJ16" i="2"/>
  <c r="BJ38" i="2"/>
  <c r="BI16" i="2"/>
  <c r="BI38" i="2"/>
  <c r="BH16" i="2"/>
  <c r="BH38" i="2" s="1"/>
  <c r="BH33" i="2"/>
  <c r="BH34" i="2" s="1"/>
  <c r="BI33" i="2"/>
  <c r="BI34" i="2" s="1"/>
  <c r="BJ33" i="2"/>
  <c r="BJ26" i="2"/>
  <c r="BJ27" i="2" s="1"/>
  <c r="BH10" i="2"/>
  <c r="BH12" i="2" s="1"/>
  <c r="BG6" i="8" s="1"/>
  <c r="BH11" i="2"/>
  <c r="BI10" i="2"/>
  <c r="BJ10" i="2"/>
  <c r="BJ12" i="2" s="1"/>
  <c r="BI6" i="8" s="1"/>
  <c r="BJ72" i="5"/>
  <c r="BI72" i="5"/>
  <c r="BI73" i="5" s="1"/>
  <c r="BI74" i="5" s="1"/>
  <c r="BH72" i="5"/>
  <c r="BJ71" i="5"/>
  <c r="BI71" i="5"/>
  <c r="BH71" i="5"/>
  <c r="BJ62" i="5"/>
  <c r="BI62" i="5"/>
  <c r="BH62" i="5"/>
  <c r="BJ61" i="5"/>
  <c r="BJ63" i="5" s="1"/>
  <c r="BJ65" i="5" s="1"/>
  <c r="BI9" i="14" s="1"/>
  <c r="BI61" i="5"/>
  <c r="BH61" i="5"/>
  <c r="BH52" i="5"/>
  <c r="BH52" i="7" s="1"/>
  <c r="BH24" i="5"/>
  <c r="BJ17" i="5"/>
  <c r="BI17" i="5"/>
  <c r="BH17" i="5"/>
  <c r="BH18" i="5" s="1"/>
  <c r="BJ16" i="5"/>
  <c r="BJ38" i="5" s="1"/>
  <c r="BI16" i="5"/>
  <c r="BH16" i="5"/>
  <c r="BJ72" i="4"/>
  <c r="BI72" i="4"/>
  <c r="BH72" i="4"/>
  <c r="BH86" i="4" s="1"/>
  <c r="BI71" i="4"/>
  <c r="BH71" i="4"/>
  <c r="BJ62" i="4"/>
  <c r="BI62" i="4"/>
  <c r="BH62" i="4"/>
  <c r="BJ61" i="4"/>
  <c r="BI61" i="4"/>
  <c r="BH61" i="4"/>
  <c r="BH63" i="4" s="1"/>
  <c r="BJ17" i="4"/>
  <c r="BI17" i="4"/>
  <c r="BI17" i="7" s="1"/>
  <c r="BH17" i="4"/>
  <c r="BH39" i="4" s="1"/>
  <c r="BJ16" i="4"/>
  <c r="BI16" i="4"/>
  <c r="BH16" i="4"/>
  <c r="BJ72" i="6"/>
  <c r="BI72" i="6"/>
  <c r="BH72" i="6"/>
  <c r="BJ71" i="6"/>
  <c r="BI71" i="6"/>
  <c r="BH71" i="6"/>
  <c r="BJ62" i="6"/>
  <c r="BI62" i="6"/>
  <c r="BI63" i="6" s="1"/>
  <c r="BH62" i="6"/>
  <c r="BJ61" i="6"/>
  <c r="BI61" i="6"/>
  <c r="BH61" i="6"/>
  <c r="BH24" i="6"/>
  <c r="BJ17" i="6"/>
  <c r="BI17" i="6"/>
  <c r="BH17" i="6"/>
  <c r="BJ16" i="6"/>
  <c r="BI16" i="6"/>
  <c r="BH16" i="6"/>
  <c r="BB17" i="1"/>
  <c r="BE78" i="5"/>
  <c r="BG72" i="5"/>
  <c r="BF72" i="5"/>
  <c r="BE72" i="5"/>
  <c r="BE73" i="5" s="1"/>
  <c r="BE74" i="5" s="1"/>
  <c r="BG71" i="5"/>
  <c r="BF71" i="5"/>
  <c r="BF73" i="5" s="1"/>
  <c r="BF74" i="5" s="1"/>
  <c r="BE71" i="5"/>
  <c r="BG62" i="5"/>
  <c r="BF62" i="5"/>
  <c r="BE62" i="5"/>
  <c r="BG61" i="5"/>
  <c r="BG85" i="5"/>
  <c r="BF61" i="5"/>
  <c r="BE61" i="5"/>
  <c r="BF62" i="2"/>
  <c r="BE53" i="5"/>
  <c r="BE55" i="5" s="1"/>
  <c r="BD9" i="15" s="1"/>
  <c r="BF53" i="5"/>
  <c r="BG53" i="5"/>
  <c r="BG55" i="5" s="1"/>
  <c r="BF9" i="15" s="1"/>
  <c r="BE51" i="7"/>
  <c r="BE52" i="7"/>
  <c r="BF51" i="7"/>
  <c r="BG51" i="7"/>
  <c r="BG52" i="7"/>
  <c r="BE9" i="7"/>
  <c r="BE8" i="7"/>
  <c r="BF9" i="7"/>
  <c r="BF8" i="7"/>
  <c r="BG9" i="7"/>
  <c r="BG8" i="7"/>
  <c r="BG25" i="1"/>
  <c r="BF25" i="1"/>
  <c r="BF39" i="1" s="1"/>
  <c r="BE25" i="1"/>
  <c r="BG17" i="1"/>
  <c r="BF17" i="1"/>
  <c r="BE17" i="1"/>
  <c r="BG24" i="1"/>
  <c r="BF24" i="1"/>
  <c r="BF26" i="1" s="1"/>
  <c r="BE24" i="1"/>
  <c r="BG16" i="1"/>
  <c r="BF16" i="1"/>
  <c r="BF18" i="1" s="1"/>
  <c r="BF19" i="1" s="1"/>
  <c r="BE16" i="1"/>
  <c r="BG72" i="1"/>
  <c r="BF72" i="1"/>
  <c r="BF86" i="1" s="1"/>
  <c r="BE72" i="1"/>
  <c r="BG62" i="1"/>
  <c r="BG86" i="1" s="1"/>
  <c r="BF62" i="1"/>
  <c r="BE62" i="1"/>
  <c r="BG71" i="1"/>
  <c r="BG73" i="1" s="1"/>
  <c r="BG75" i="1" s="1"/>
  <c r="BF71" i="1"/>
  <c r="BE71" i="1"/>
  <c r="BG61" i="1"/>
  <c r="BF61" i="1"/>
  <c r="BE61" i="1"/>
  <c r="BE71" i="2"/>
  <c r="BE61" i="2"/>
  <c r="BE85" i="2" s="1"/>
  <c r="BF72" i="2"/>
  <c r="BF73" i="2" s="1"/>
  <c r="BF74" i="2" s="1"/>
  <c r="BF61" i="2"/>
  <c r="BG72" i="2"/>
  <c r="BG61" i="2"/>
  <c r="BG63" i="2" s="1"/>
  <c r="BE72" i="2"/>
  <c r="BG71" i="2"/>
  <c r="BG85" i="2" s="1"/>
  <c r="BF71" i="2"/>
  <c r="BG62" i="2"/>
  <c r="BG86" i="2" s="1"/>
  <c r="BE62" i="2"/>
  <c r="BE63" i="2" s="1"/>
  <c r="BE64" i="2" s="1"/>
  <c r="BF17" i="2"/>
  <c r="BG17" i="2"/>
  <c r="BE17" i="2"/>
  <c r="BE39" i="2" s="1"/>
  <c r="BG16" i="2"/>
  <c r="BF16" i="2"/>
  <c r="BF38" i="2" s="1"/>
  <c r="BE16" i="2"/>
  <c r="BE80" i="2"/>
  <c r="BE81" i="2" s="1"/>
  <c r="BF80" i="2"/>
  <c r="BG80" i="2"/>
  <c r="BG81" i="2" s="1"/>
  <c r="BE53" i="2"/>
  <c r="BE54" i="2" s="1"/>
  <c r="BF53" i="2"/>
  <c r="BG53" i="2"/>
  <c r="BF55" i="2"/>
  <c r="BE6" i="15" s="1"/>
  <c r="BE33" i="2"/>
  <c r="BE34" i="2" s="1"/>
  <c r="BF33" i="2"/>
  <c r="BF34" i="2" s="1"/>
  <c r="BG33" i="2"/>
  <c r="BG34" i="2" s="1"/>
  <c r="BE26" i="2"/>
  <c r="BF26" i="2"/>
  <c r="BF27" i="2" s="1"/>
  <c r="BG26" i="2"/>
  <c r="BE10" i="2"/>
  <c r="BF10" i="2"/>
  <c r="BF12" i="2" s="1"/>
  <c r="BE6" i="8" s="1"/>
  <c r="BG10" i="2"/>
  <c r="BG11" i="2" s="1"/>
  <c r="BF11" i="2"/>
  <c r="BG25" i="5"/>
  <c r="BF25" i="5"/>
  <c r="BF26" i="5" s="1"/>
  <c r="BF27" i="5" s="1"/>
  <c r="BE25" i="5"/>
  <c r="BG17" i="5"/>
  <c r="BF17" i="5"/>
  <c r="BE17" i="5"/>
  <c r="BG16" i="5"/>
  <c r="BG38" i="5" s="1"/>
  <c r="BF16" i="5"/>
  <c r="BE16" i="5"/>
  <c r="BG72" i="6"/>
  <c r="BF72" i="6"/>
  <c r="BE72" i="6"/>
  <c r="BG71" i="6"/>
  <c r="BF71" i="6"/>
  <c r="BF73" i="6" s="1"/>
  <c r="BE71" i="6"/>
  <c r="BG62" i="6"/>
  <c r="BF62" i="6"/>
  <c r="BE62" i="6"/>
  <c r="BE63" i="6" s="1"/>
  <c r="BE64" i="6" s="1"/>
  <c r="BG61" i="6"/>
  <c r="BF61" i="6"/>
  <c r="BE61" i="6"/>
  <c r="BF52" i="6"/>
  <c r="BG17" i="6"/>
  <c r="BF17" i="6"/>
  <c r="BF39" i="6" s="1"/>
  <c r="BE17" i="6"/>
  <c r="BE39" i="6" s="1"/>
  <c r="BG16" i="6"/>
  <c r="BG38" i="6" s="1"/>
  <c r="BF16" i="6"/>
  <c r="BE16" i="6"/>
  <c r="BG72" i="4"/>
  <c r="BF72" i="4"/>
  <c r="BE72" i="4"/>
  <c r="BG62" i="4"/>
  <c r="BF62" i="4"/>
  <c r="BE62" i="4"/>
  <c r="BG71" i="4"/>
  <c r="BG73" i="4" s="1"/>
  <c r="BG75" i="4" s="1"/>
  <c r="BF71" i="4"/>
  <c r="BE71" i="4"/>
  <c r="BE73" i="4" s="1"/>
  <c r="BE75" i="4" s="1"/>
  <c r="BG61" i="4"/>
  <c r="BF61" i="4"/>
  <c r="BE61" i="4"/>
  <c r="BG25" i="4"/>
  <c r="BF25" i="4"/>
  <c r="BE25" i="4"/>
  <c r="BG24" i="4"/>
  <c r="BF24" i="4"/>
  <c r="BF38" i="4" s="1"/>
  <c r="BE24" i="4"/>
  <c r="BG17" i="4"/>
  <c r="BF17" i="4"/>
  <c r="BE17" i="4"/>
  <c r="BG16" i="4"/>
  <c r="BF16" i="4"/>
  <c r="BF18" i="4" s="1"/>
  <c r="BF20" i="4" s="1"/>
  <c r="BE7" i="13" s="1"/>
  <c r="BE16" i="4"/>
  <c r="E108" i="7"/>
  <c r="BD8" i="7"/>
  <c r="BD9" i="7"/>
  <c r="C9" i="7"/>
  <c r="C52" i="7"/>
  <c r="BB52" i="7"/>
  <c r="BB51" i="7"/>
  <c r="BC52" i="7"/>
  <c r="BC51" i="7"/>
  <c r="BD52" i="7"/>
  <c r="BD51" i="7"/>
  <c r="BB9" i="7"/>
  <c r="BB8" i="7"/>
  <c r="BC9" i="7"/>
  <c r="BC8" i="7"/>
  <c r="BB24" i="6"/>
  <c r="BB26" i="6" s="1"/>
  <c r="BB27" i="6" s="1"/>
  <c r="BD17" i="6"/>
  <c r="BC17" i="6"/>
  <c r="BB17" i="6"/>
  <c r="BD16" i="6"/>
  <c r="BC16" i="6"/>
  <c r="BB16" i="6"/>
  <c r="BD72" i="6"/>
  <c r="BC72" i="6"/>
  <c r="BB72" i="6"/>
  <c r="BD71" i="6"/>
  <c r="BD73" i="6" s="1"/>
  <c r="BC71" i="6"/>
  <c r="BB71" i="6"/>
  <c r="BD62" i="6"/>
  <c r="BC62" i="6"/>
  <c r="BB62" i="6"/>
  <c r="BD61" i="6"/>
  <c r="BC61" i="6"/>
  <c r="BB61" i="6"/>
  <c r="BD72" i="4"/>
  <c r="BC72" i="4"/>
  <c r="BB72" i="4"/>
  <c r="BB86" i="4" s="1"/>
  <c r="BD71" i="4"/>
  <c r="BC71" i="4"/>
  <c r="BB71" i="4"/>
  <c r="BD62" i="4"/>
  <c r="BD63" i="4" s="1"/>
  <c r="BC62" i="4"/>
  <c r="BB62" i="4"/>
  <c r="BD61" i="4"/>
  <c r="BC61" i="4"/>
  <c r="BB61" i="4"/>
  <c r="BD25" i="4"/>
  <c r="BD26" i="4" s="1"/>
  <c r="BC25" i="4"/>
  <c r="BC26" i="4" s="1"/>
  <c r="BC27" i="4" s="1"/>
  <c r="BB25" i="4"/>
  <c r="BB26" i="4" s="1"/>
  <c r="BD17" i="4"/>
  <c r="BC17" i="4"/>
  <c r="BB17" i="4"/>
  <c r="BD16" i="4"/>
  <c r="BD38" i="4" s="1"/>
  <c r="BC16" i="4"/>
  <c r="BB16" i="4"/>
  <c r="BD72" i="1"/>
  <c r="BC72" i="1"/>
  <c r="BB72" i="1"/>
  <c r="BD62" i="1"/>
  <c r="BC62" i="1"/>
  <c r="BB62" i="1"/>
  <c r="BD71" i="1"/>
  <c r="BC71" i="1"/>
  <c r="BB71" i="1"/>
  <c r="BD61" i="1"/>
  <c r="BC61" i="1"/>
  <c r="BB61" i="1"/>
  <c r="BD25" i="1"/>
  <c r="BD17" i="1"/>
  <c r="BD24" i="1"/>
  <c r="BD26" i="1" s="1"/>
  <c r="BD27" i="1" s="1"/>
  <c r="BD16" i="1"/>
  <c r="BC25" i="1"/>
  <c r="BC26" i="1" s="1"/>
  <c r="BC28" i="1" s="1"/>
  <c r="BB25" i="1"/>
  <c r="BC17" i="1"/>
  <c r="BC24" i="1"/>
  <c r="BC24" i="7" s="1"/>
  <c r="BB24" i="1"/>
  <c r="BC16" i="1"/>
  <c r="BB16" i="1"/>
  <c r="BD72" i="5"/>
  <c r="BC72" i="5"/>
  <c r="BB72" i="5"/>
  <c r="BB86" i="5" s="1"/>
  <c r="BD71" i="5"/>
  <c r="BC71" i="5"/>
  <c r="BB71" i="5"/>
  <c r="BD62" i="5"/>
  <c r="BC62" i="5"/>
  <c r="BB62" i="5"/>
  <c r="BD61" i="5"/>
  <c r="BD63" i="5" s="1"/>
  <c r="BC61" i="5"/>
  <c r="BC85" i="5" s="1"/>
  <c r="BB61" i="5"/>
  <c r="BD17" i="5"/>
  <c r="BC17" i="5"/>
  <c r="BB17" i="5"/>
  <c r="BD16" i="5"/>
  <c r="BC16" i="5"/>
  <c r="BB16" i="5"/>
  <c r="BD17" i="2"/>
  <c r="BC17" i="2"/>
  <c r="BB17" i="2"/>
  <c r="BB39" i="2" s="1"/>
  <c r="BD16" i="2"/>
  <c r="BC16" i="2"/>
  <c r="BB16" i="2"/>
  <c r="BD71" i="2"/>
  <c r="BD72" i="2"/>
  <c r="BC72" i="2"/>
  <c r="BB72" i="2"/>
  <c r="BC71" i="2"/>
  <c r="BB71" i="2"/>
  <c r="BD62" i="2"/>
  <c r="BC62" i="2"/>
  <c r="BB62" i="2"/>
  <c r="BD61" i="2"/>
  <c r="BC61" i="2"/>
  <c r="BB61" i="2"/>
  <c r="BB10" i="2"/>
  <c r="BB11" i="2" s="1"/>
  <c r="BC10" i="2"/>
  <c r="BD10" i="2"/>
  <c r="BD11" i="2" s="1"/>
  <c r="BB26" i="2"/>
  <c r="BC26" i="2"/>
  <c r="BC27" i="2" s="1"/>
  <c r="BD26" i="2"/>
  <c r="BD28" i="2" s="1"/>
  <c r="BB33" i="2"/>
  <c r="BC33" i="2"/>
  <c r="BC34" i="2" s="1"/>
  <c r="BD33" i="2"/>
  <c r="BD35" i="2" s="1"/>
  <c r="BB80" i="2"/>
  <c r="BC80" i="2"/>
  <c r="BC81" i="2" s="1"/>
  <c r="BD80" i="2"/>
  <c r="BD82" i="2" s="1"/>
  <c r="BB53" i="2"/>
  <c r="BB54" i="2" s="1"/>
  <c r="BC53" i="2"/>
  <c r="BC54" i="2" s="1"/>
  <c r="BD53" i="2"/>
  <c r="BD55" i="2" s="1"/>
  <c r="BC6" i="15" s="1"/>
  <c r="AY52" i="7"/>
  <c r="AY51" i="7"/>
  <c r="AZ52" i="7"/>
  <c r="AZ51" i="7"/>
  <c r="BA52" i="7"/>
  <c r="BA51" i="7"/>
  <c r="AY9" i="7"/>
  <c r="AY8" i="7"/>
  <c r="AZ9" i="7"/>
  <c r="AZ8" i="7"/>
  <c r="BA9" i="7"/>
  <c r="BA8" i="7"/>
  <c r="BA71" i="6"/>
  <c r="AZ71" i="6"/>
  <c r="AY71" i="6"/>
  <c r="BA61" i="6"/>
  <c r="AZ61" i="6"/>
  <c r="AY61" i="6"/>
  <c r="AY63" i="6" s="1"/>
  <c r="BA72" i="6"/>
  <c r="AZ72" i="6"/>
  <c r="AY72" i="6"/>
  <c r="BA62" i="6"/>
  <c r="BA63" i="6" s="1"/>
  <c r="AZ62" i="6"/>
  <c r="AZ86" i="6" s="1"/>
  <c r="AY62" i="6"/>
  <c r="BB10" i="5"/>
  <c r="BB11" i="5" s="1"/>
  <c r="BB53" i="5"/>
  <c r="BC10" i="5"/>
  <c r="BC53" i="5"/>
  <c r="BD10" i="5"/>
  <c r="BD11" i="5" s="1"/>
  <c r="BD53" i="5"/>
  <c r="BE10" i="5"/>
  <c r="BE11" i="5" s="1"/>
  <c r="BF10" i="5"/>
  <c r="BG10" i="5"/>
  <c r="BH10" i="5"/>
  <c r="BH53" i="5"/>
  <c r="BI10" i="5"/>
  <c r="BI53" i="5"/>
  <c r="BJ10" i="5"/>
  <c r="BJ12" i="5" s="1"/>
  <c r="BI9" i="8" s="1"/>
  <c r="BJ53" i="5"/>
  <c r="AY24" i="6"/>
  <c r="AY26" i="6" s="1"/>
  <c r="AY27" i="6" s="1"/>
  <c r="BA16" i="6"/>
  <c r="BA38" i="6" s="1"/>
  <c r="AZ16" i="6"/>
  <c r="AY16" i="6"/>
  <c r="BA17" i="6"/>
  <c r="BA39" i="6" s="1"/>
  <c r="BA18" i="6"/>
  <c r="BA19" i="6" s="1"/>
  <c r="AZ17" i="6"/>
  <c r="AZ18" i="6" s="1"/>
  <c r="AZ19" i="6" s="1"/>
  <c r="AY17" i="6"/>
  <c r="AY39" i="6" s="1"/>
  <c r="AY10" i="6"/>
  <c r="AZ10" i="6"/>
  <c r="BA10" i="6"/>
  <c r="BB10" i="6"/>
  <c r="BB12" i="6" s="1"/>
  <c r="BA8" i="8" s="1"/>
  <c r="BC10" i="6"/>
  <c r="BC11" i="6" s="1"/>
  <c r="BD10" i="6"/>
  <c r="BE10" i="6"/>
  <c r="BF10" i="6"/>
  <c r="BG10" i="6"/>
  <c r="BH10" i="6"/>
  <c r="BH11" i="6" s="1"/>
  <c r="BH12" i="6"/>
  <c r="BG8" i="8" s="1"/>
  <c r="BI10" i="6"/>
  <c r="BI12" i="6" s="1"/>
  <c r="BH8" i="8" s="1"/>
  <c r="BJ10" i="6"/>
  <c r="BB11" i="6"/>
  <c r="BI11" i="6"/>
  <c r="BD18" i="6"/>
  <c r="AZ26" i="6"/>
  <c r="AZ27" i="6" s="1"/>
  <c r="BA26" i="6"/>
  <c r="BC26" i="6"/>
  <c r="BC28" i="6" s="1"/>
  <c r="BD26" i="6"/>
  <c r="BD27" i="6" s="1"/>
  <c r="BE26" i="6"/>
  <c r="BF26" i="6"/>
  <c r="BF27" i="6" s="1"/>
  <c r="BG26" i="6"/>
  <c r="BG27" i="6" s="1"/>
  <c r="BI26" i="6"/>
  <c r="BJ26" i="6"/>
  <c r="BJ27" i="6" s="1"/>
  <c r="AY33" i="6"/>
  <c r="AZ33" i="6"/>
  <c r="AZ34" i="6" s="1"/>
  <c r="BA33" i="6"/>
  <c r="BB33" i="6"/>
  <c r="BC33" i="6"/>
  <c r="BD33" i="6"/>
  <c r="BE33" i="6"/>
  <c r="BE34" i="6" s="1"/>
  <c r="BF33" i="6"/>
  <c r="BG33" i="6"/>
  <c r="BH33" i="6"/>
  <c r="BH34" i="6" s="1"/>
  <c r="BI33" i="6"/>
  <c r="BJ33" i="6"/>
  <c r="AY34" i="6"/>
  <c r="BA34" i="6"/>
  <c r="BB34" i="6"/>
  <c r="BC34" i="6"/>
  <c r="BD34" i="6"/>
  <c r="BF34" i="6"/>
  <c r="BG34" i="6"/>
  <c r="BI34" i="6"/>
  <c r="BJ34" i="6"/>
  <c r="AY35" i="6"/>
  <c r="BA35" i="6"/>
  <c r="BB35" i="6"/>
  <c r="BC35" i="6"/>
  <c r="BD35" i="6"/>
  <c r="BE35" i="6"/>
  <c r="BF35" i="6"/>
  <c r="BG35" i="6"/>
  <c r="BI35" i="6"/>
  <c r="BJ35" i="6"/>
  <c r="AZ38" i="6"/>
  <c r="BC38" i="6"/>
  <c r="BE38" i="6"/>
  <c r="BJ38" i="6"/>
  <c r="AZ39" i="6"/>
  <c r="BB39" i="6"/>
  <c r="BD39" i="6"/>
  <c r="BI39" i="6"/>
  <c r="AY53" i="6"/>
  <c r="AZ53" i="6"/>
  <c r="AZ54" i="6" s="1"/>
  <c r="BA53" i="6"/>
  <c r="BB53" i="6"/>
  <c r="BC53" i="6"/>
  <c r="BC54" i="6" s="1"/>
  <c r="BD53" i="6"/>
  <c r="BE53" i="6"/>
  <c r="BF53" i="6"/>
  <c r="BG53" i="6"/>
  <c r="BH53" i="6"/>
  <c r="BH57" i="6" s="1"/>
  <c r="BI53" i="6"/>
  <c r="BJ53" i="6"/>
  <c r="AY54" i="6"/>
  <c r="BA54" i="6"/>
  <c r="BB54" i="6"/>
  <c r="BD54" i="6"/>
  <c r="BE54" i="6"/>
  <c r="BF54" i="6"/>
  <c r="BG54" i="6"/>
  <c r="BI54" i="6"/>
  <c r="BJ54" i="6"/>
  <c r="AY55" i="6"/>
  <c r="AX8" i="15" s="1"/>
  <c r="AZ55" i="6"/>
  <c r="AY8" i="15" s="1"/>
  <c r="BA55" i="6"/>
  <c r="AZ8" i="15" s="1"/>
  <c r="BB55" i="6"/>
  <c r="BA8" i="15" s="1"/>
  <c r="BC55" i="6"/>
  <c r="BB8" i="15" s="1"/>
  <c r="BD55" i="6"/>
  <c r="BC8" i="15" s="1"/>
  <c r="BE55" i="6"/>
  <c r="BD8" i="15" s="1"/>
  <c r="BF55" i="6"/>
  <c r="BE8" i="15" s="1"/>
  <c r="BG55" i="6"/>
  <c r="BF8" i="15" s="1"/>
  <c r="BH55" i="6"/>
  <c r="BG8" i="15" s="1"/>
  <c r="BI55" i="6"/>
  <c r="BH8" i="15" s="1"/>
  <c r="BJ55" i="6"/>
  <c r="BI8" i="15" s="1"/>
  <c r="AY57" i="6"/>
  <c r="BD63" i="6"/>
  <c r="BD67" i="6" s="1"/>
  <c r="BH63" i="6"/>
  <c r="BH64" i="6" s="1"/>
  <c r="BG73" i="6"/>
  <c r="AY80" i="6"/>
  <c r="AY82" i="6" s="1"/>
  <c r="AZ80" i="6"/>
  <c r="AZ82" i="6" s="1"/>
  <c r="BA80" i="6"/>
  <c r="BA82" i="6" s="1"/>
  <c r="BB80" i="6"/>
  <c r="BC80" i="6"/>
  <c r="BC82" i="6" s="1"/>
  <c r="BD80" i="6"/>
  <c r="BD81" i="6" s="1"/>
  <c r="BE80" i="6"/>
  <c r="BE81" i="6" s="1"/>
  <c r="BF80" i="6"/>
  <c r="BF81" i="6" s="1"/>
  <c r="BG80" i="6"/>
  <c r="BG81" i="6" s="1"/>
  <c r="BH80" i="6"/>
  <c r="BH82" i="6" s="1"/>
  <c r="BI80" i="6"/>
  <c r="BI82" i="6" s="1"/>
  <c r="BJ80" i="6"/>
  <c r="BJ81" i="6" s="1"/>
  <c r="AZ81" i="6"/>
  <c r="BA81" i="6"/>
  <c r="BC81" i="6"/>
  <c r="BH81" i="6"/>
  <c r="BI81" i="6"/>
  <c r="BA85" i="6"/>
  <c r="BC85" i="6"/>
  <c r="BB86" i="6"/>
  <c r="BH86" i="6"/>
  <c r="BJ86" i="6"/>
  <c r="BA72" i="4"/>
  <c r="AZ72" i="4"/>
  <c r="AY72" i="4"/>
  <c r="BA71" i="4"/>
  <c r="AZ71" i="4"/>
  <c r="AY71" i="4"/>
  <c r="BA62" i="4"/>
  <c r="AZ62" i="4"/>
  <c r="AY62" i="4"/>
  <c r="BA61" i="4"/>
  <c r="AZ61" i="4"/>
  <c r="AZ63" i="4" s="1"/>
  <c r="AZ64" i="4" s="1"/>
  <c r="AY61" i="4"/>
  <c r="BA17" i="4"/>
  <c r="AZ17" i="4"/>
  <c r="AY17" i="4"/>
  <c r="BA25" i="4"/>
  <c r="BA26" i="4" s="1"/>
  <c r="BA27" i="4" s="1"/>
  <c r="AZ25" i="4"/>
  <c r="AZ26" i="4" s="1"/>
  <c r="AZ27" i="4" s="1"/>
  <c r="AY25" i="4"/>
  <c r="BA16" i="4"/>
  <c r="AZ16" i="4"/>
  <c r="AY16" i="4"/>
  <c r="BF63" i="4"/>
  <c r="BF64" i="4" s="1"/>
  <c r="AY10" i="4"/>
  <c r="AZ10" i="4"/>
  <c r="AZ12" i="4" s="1"/>
  <c r="AY7" i="8" s="1"/>
  <c r="BA10" i="4"/>
  <c r="BA12" i="4" s="1"/>
  <c r="AZ7" i="8" s="1"/>
  <c r="BB10" i="4"/>
  <c r="BB12" i="4" s="1"/>
  <c r="BA7" i="8" s="1"/>
  <c r="BC10" i="4"/>
  <c r="BC11" i="4" s="1"/>
  <c r="BD10" i="4"/>
  <c r="BD12" i="4" s="1"/>
  <c r="BC7" i="8" s="1"/>
  <c r="BE10" i="4"/>
  <c r="BF10" i="4"/>
  <c r="BF12" i="4" s="1"/>
  <c r="BE7" i="8" s="1"/>
  <c r="BG10" i="4"/>
  <c r="BH10" i="4"/>
  <c r="BH12" i="4" s="1"/>
  <c r="BG7" i="8" s="1"/>
  <c r="BI10" i="4"/>
  <c r="BI12" i="4" s="1"/>
  <c r="BH7" i="8" s="1"/>
  <c r="BJ10" i="4"/>
  <c r="BJ12" i="4" s="1"/>
  <c r="BI7" i="8" s="1"/>
  <c r="AY11" i="4"/>
  <c r="BB11" i="4"/>
  <c r="BD11" i="4"/>
  <c r="BE11" i="4"/>
  <c r="BF11" i="4"/>
  <c r="BG11" i="4"/>
  <c r="BJ11" i="4"/>
  <c r="AY12" i="4"/>
  <c r="AX7" i="8" s="1"/>
  <c r="BG12" i="4"/>
  <c r="BF7" i="8" s="1"/>
  <c r="BH26" i="4"/>
  <c r="BH28" i="4" s="1"/>
  <c r="BI26" i="4"/>
  <c r="BI27" i="4" s="1"/>
  <c r="BJ26" i="4"/>
  <c r="AY33" i="4"/>
  <c r="AY35" i="4" s="1"/>
  <c r="AZ33" i="4"/>
  <c r="AZ35" i="4" s="1"/>
  <c r="BA33" i="4"/>
  <c r="BA35" i="4" s="1"/>
  <c r="BB33" i="4"/>
  <c r="BB35" i="4" s="1"/>
  <c r="BC33" i="4"/>
  <c r="BC34" i="4" s="1"/>
  <c r="BD33" i="4"/>
  <c r="BE33" i="4"/>
  <c r="BE34" i="4" s="1"/>
  <c r="BF33" i="4"/>
  <c r="BF34" i="4" s="1"/>
  <c r="BG33" i="4"/>
  <c r="BG34" i="4" s="1"/>
  <c r="BH33" i="4"/>
  <c r="BI33" i="4"/>
  <c r="BI34" i="4" s="1"/>
  <c r="BJ33" i="4"/>
  <c r="BJ35" i="4" s="1"/>
  <c r="AZ34" i="4"/>
  <c r="BA34" i="4"/>
  <c r="BB34" i="4"/>
  <c r="BC38" i="4"/>
  <c r="BI38" i="4"/>
  <c r="BE39" i="4"/>
  <c r="BJ39" i="4"/>
  <c r="AY53" i="4"/>
  <c r="AZ53" i="4"/>
  <c r="BA53" i="4"/>
  <c r="BB53" i="4"/>
  <c r="BC53" i="4"/>
  <c r="BC55" i="4" s="1"/>
  <c r="BB7" i="15" s="1"/>
  <c r="BD53" i="4"/>
  <c r="BD55" i="4" s="1"/>
  <c r="BC7" i="15" s="1"/>
  <c r="BE53" i="4"/>
  <c r="BF53" i="4"/>
  <c r="BF55" i="4" s="1"/>
  <c r="BE7" i="15" s="1"/>
  <c r="BG53" i="4"/>
  <c r="BG55" i="4" s="1"/>
  <c r="BF7" i="15" s="1"/>
  <c r="BH53" i="4"/>
  <c r="BH55" i="4" s="1"/>
  <c r="BG7" i="15" s="1"/>
  <c r="BI53" i="4"/>
  <c r="BJ53" i="4"/>
  <c r="AY54" i="4"/>
  <c r="AZ54" i="4"/>
  <c r="BB54" i="4"/>
  <c r="BC54" i="4"/>
  <c r="BD54" i="4"/>
  <c r="BE54" i="4"/>
  <c r="BG54" i="4"/>
  <c r="BH54" i="4"/>
  <c r="BJ54" i="4"/>
  <c r="AY55" i="4"/>
  <c r="AX7" i="15" s="1"/>
  <c r="BE55" i="4"/>
  <c r="BD7" i="15" s="1"/>
  <c r="BI73" i="4"/>
  <c r="AY80" i="4"/>
  <c r="AY82" i="4" s="1"/>
  <c r="AZ80" i="4"/>
  <c r="AZ82" i="4" s="1"/>
  <c r="BA80" i="4"/>
  <c r="BA82" i="4" s="1"/>
  <c r="BB80" i="4"/>
  <c r="BC80" i="4"/>
  <c r="BC81" i="4" s="1"/>
  <c r="BD80" i="4"/>
  <c r="BE80" i="4"/>
  <c r="BE81" i="4" s="1"/>
  <c r="BF80" i="4"/>
  <c r="BF81" i="4" s="1"/>
  <c r="BG80" i="4"/>
  <c r="BG81" i="4" s="1"/>
  <c r="BH80" i="4"/>
  <c r="BI80" i="4"/>
  <c r="BI81" i="4" s="1"/>
  <c r="BJ80" i="4"/>
  <c r="BJ82" i="4" s="1"/>
  <c r="BE85" i="4"/>
  <c r="BI85" i="4"/>
  <c r="BJ85" i="4"/>
  <c r="BG86" i="4"/>
  <c r="BA71" i="5"/>
  <c r="AZ71" i="5"/>
  <c r="AY71" i="5"/>
  <c r="BA61" i="5"/>
  <c r="BA85" i="5" s="1"/>
  <c r="AZ61" i="5"/>
  <c r="AY61" i="5"/>
  <c r="BA72" i="5"/>
  <c r="AZ72" i="5"/>
  <c r="AY72" i="5"/>
  <c r="BA62" i="5"/>
  <c r="AZ62" i="5"/>
  <c r="AY62" i="5"/>
  <c r="BA25" i="5"/>
  <c r="AZ25" i="5"/>
  <c r="AY25" i="5"/>
  <c r="AY24" i="5"/>
  <c r="BA24" i="5"/>
  <c r="AZ24" i="5"/>
  <c r="BA17" i="5"/>
  <c r="AZ17" i="5"/>
  <c r="AY17" i="5"/>
  <c r="AY39" i="5" s="1"/>
  <c r="BA16" i="5"/>
  <c r="AZ16" i="5"/>
  <c r="AY16" i="5"/>
  <c r="AY10" i="5"/>
  <c r="AY11" i="5" s="1"/>
  <c r="AZ10" i="5"/>
  <c r="AZ12" i="5" s="1"/>
  <c r="AY9" i="8" s="1"/>
  <c r="BA10" i="5"/>
  <c r="BA11" i="5" s="1"/>
  <c r="BF11" i="5"/>
  <c r="BH11" i="5"/>
  <c r="BI11" i="5"/>
  <c r="BJ11" i="5"/>
  <c r="BB12" i="5"/>
  <c r="BA9" i="8" s="1"/>
  <c r="BD12" i="5"/>
  <c r="BC9" i="8" s="1"/>
  <c r="BF12" i="5"/>
  <c r="BE9" i="8" s="1"/>
  <c r="BH12" i="5"/>
  <c r="BG9" i="8" s="1"/>
  <c r="BI12" i="5"/>
  <c r="BH9" i="8" s="1"/>
  <c r="BA26" i="5"/>
  <c r="BB26" i="5"/>
  <c r="BB28" i="5" s="1"/>
  <c r="BC26" i="5"/>
  <c r="BC28" i="5" s="1"/>
  <c r="BD26" i="5"/>
  <c r="BD28" i="5" s="1"/>
  <c r="BE26" i="5"/>
  <c r="BG26" i="5"/>
  <c r="BH26" i="5"/>
  <c r="BH27" i="5" s="1"/>
  <c r="BI26" i="5"/>
  <c r="BJ26" i="5"/>
  <c r="BJ28" i="5" s="1"/>
  <c r="AY33" i="5"/>
  <c r="AZ33" i="5"/>
  <c r="BA33" i="5"/>
  <c r="BA34" i="5" s="1"/>
  <c r="BB33" i="5"/>
  <c r="BC33" i="5"/>
  <c r="BC34" i="5" s="1"/>
  <c r="BD33" i="5"/>
  <c r="BE33" i="5"/>
  <c r="BF33" i="5"/>
  <c r="BF34" i="5" s="1"/>
  <c r="BG33" i="5"/>
  <c r="BH33" i="5"/>
  <c r="BI33" i="5"/>
  <c r="BI34" i="5" s="1"/>
  <c r="BJ33" i="5"/>
  <c r="AY34" i="5"/>
  <c r="AZ34" i="5"/>
  <c r="BB34" i="5"/>
  <c r="BD34" i="5"/>
  <c r="BE34" i="5"/>
  <c r="BG34" i="5"/>
  <c r="BH34" i="5"/>
  <c r="BJ34" i="5"/>
  <c r="AY35" i="5"/>
  <c r="AZ35" i="5"/>
  <c r="BA35" i="5"/>
  <c r="BB35" i="5"/>
  <c r="BC35" i="5"/>
  <c r="BD35" i="5"/>
  <c r="BE35" i="5"/>
  <c r="BG35" i="5"/>
  <c r="BH35" i="5"/>
  <c r="BI35" i="5"/>
  <c r="BJ35" i="5"/>
  <c r="BC38" i="5"/>
  <c r="BE38" i="5"/>
  <c r="BF38" i="5"/>
  <c r="BH38" i="5"/>
  <c r="BB39" i="5"/>
  <c r="BD39" i="5"/>
  <c r="BF39" i="5"/>
  <c r="BH39" i="5"/>
  <c r="BI39" i="5"/>
  <c r="AY53" i="5"/>
  <c r="AZ53" i="5"/>
  <c r="AZ54" i="5" s="1"/>
  <c r="BA53" i="5"/>
  <c r="BA57" i="5" s="1"/>
  <c r="BB54" i="5"/>
  <c r="BC54" i="5"/>
  <c r="BG54" i="5"/>
  <c r="BI54" i="5"/>
  <c r="AZ55" i="5"/>
  <c r="AY9" i="15" s="1"/>
  <c r="BB55" i="5"/>
  <c r="BA9" i="15" s="1"/>
  <c r="BC55" i="5"/>
  <c r="BB9" i="15" s="1"/>
  <c r="BI55" i="5"/>
  <c r="BH9" i="15" s="1"/>
  <c r="BJ64" i="5"/>
  <c r="BJ73" i="5"/>
  <c r="AY80" i="5"/>
  <c r="AY82" i="5" s="1"/>
  <c r="AZ80" i="5"/>
  <c r="AZ82" i="5" s="1"/>
  <c r="BA80" i="5"/>
  <c r="BA82" i="5" s="1"/>
  <c r="BB80" i="5"/>
  <c r="BB82" i="5" s="1"/>
  <c r="BC80" i="5"/>
  <c r="BC82" i="5" s="1"/>
  <c r="BD80" i="5"/>
  <c r="BD82" i="5" s="1"/>
  <c r="BF80" i="5"/>
  <c r="BF81" i="5" s="1"/>
  <c r="BG80" i="5"/>
  <c r="BG81" i="5" s="1"/>
  <c r="BH80" i="5"/>
  <c r="BH81" i="5" s="1"/>
  <c r="BI80" i="5"/>
  <c r="BI81" i="5" s="1"/>
  <c r="BJ80" i="5"/>
  <c r="BJ81" i="5" s="1"/>
  <c r="AY81" i="5"/>
  <c r="BD81" i="5"/>
  <c r="BF85" i="5"/>
  <c r="BH85" i="5"/>
  <c r="BI85" i="5"/>
  <c r="BD86" i="5"/>
  <c r="BI86" i="5"/>
  <c r="BJ86" i="5"/>
  <c r="AY31" i="7"/>
  <c r="AZ31" i="7"/>
  <c r="BA31" i="7"/>
  <c r="BB31" i="7"/>
  <c r="BB33" i="7" s="1"/>
  <c r="BB34" i="7" s="1"/>
  <c r="BC31" i="7"/>
  <c r="BD31" i="7"/>
  <c r="BE31" i="7"/>
  <c r="BF31" i="7"/>
  <c r="BG31" i="7"/>
  <c r="BH31" i="7"/>
  <c r="BI31" i="7"/>
  <c r="BJ31" i="7"/>
  <c r="AY32" i="7"/>
  <c r="AY33" i="7" s="1"/>
  <c r="AZ32" i="7"/>
  <c r="BA32" i="7"/>
  <c r="BA33" i="7" s="1"/>
  <c r="BA34" i="7" s="1"/>
  <c r="BB32" i="7"/>
  <c r="BC32" i="7"/>
  <c r="BD32" i="7"/>
  <c r="BE32" i="7"/>
  <c r="BF32" i="7"/>
  <c r="BG32" i="7"/>
  <c r="BG33" i="7" s="1"/>
  <c r="BH32" i="7"/>
  <c r="BI32" i="7"/>
  <c r="BJ32" i="7"/>
  <c r="AZ33" i="7"/>
  <c r="AY78" i="7"/>
  <c r="AZ78" i="7"/>
  <c r="BA78" i="7"/>
  <c r="BB78" i="7"/>
  <c r="BC78" i="7"/>
  <c r="BD78" i="7"/>
  <c r="BF78" i="7"/>
  <c r="BG78" i="7"/>
  <c r="BH78" i="7"/>
  <c r="BI78" i="7"/>
  <c r="BJ78" i="7"/>
  <c r="AZ79" i="7"/>
  <c r="BA79" i="7"/>
  <c r="BB79" i="7"/>
  <c r="BC79" i="7"/>
  <c r="BD79" i="7"/>
  <c r="BE79" i="7"/>
  <c r="BF79" i="7"/>
  <c r="BG79" i="7"/>
  <c r="BH79" i="7"/>
  <c r="BI79" i="7"/>
  <c r="BJ79" i="7"/>
  <c r="BD86" i="1"/>
  <c r="AY79" i="1"/>
  <c r="AY79" i="7" s="1"/>
  <c r="BA72" i="1"/>
  <c r="AZ72" i="1"/>
  <c r="AZ73" i="1" s="1"/>
  <c r="AZ74" i="1" s="1"/>
  <c r="AY72" i="1"/>
  <c r="BA62" i="1"/>
  <c r="AZ62" i="1"/>
  <c r="AY62" i="1"/>
  <c r="BA71" i="1"/>
  <c r="AZ71" i="1"/>
  <c r="AY71" i="1"/>
  <c r="BA61" i="1"/>
  <c r="AZ61" i="1"/>
  <c r="AY61" i="1"/>
  <c r="BA24" i="1"/>
  <c r="AZ24" i="1"/>
  <c r="AY24" i="1"/>
  <c r="BA16" i="1"/>
  <c r="AZ16" i="1"/>
  <c r="AY16" i="1"/>
  <c r="AY18" i="1" s="1"/>
  <c r="BA25" i="1"/>
  <c r="AZ25" i="1"/>
  <c r="AY25" i="1"/>
  <c r="BA17" i="1"/>
  <c r="AZ17" i="1"/>
  <c r="AY17" i="1"/>
  <c r="AZ63" i="1"/>
  <c r="BC18" i="1"/>
  <c r="BC19" i="1" s="1"/>
  <c r="BC73" i="1"/>
  <c r="BC75" i="1" s="1"/>
  <c r="AY80" i="1"/>
  <c r="AY81" i="1" s="1"/>
  <c r="AZ80" i="1"/>
  <c r="BA80" i="1"/>
  <c r="BB80" i="1"/>
  <c r="BC80" i="1"/>
  <c r="BD80" i="1"/>
  <c r="BD81" i="1" s="1"/>
  <c r="BE80" i="1"/>
  <c r="BF80" i="1"/>
  <c r="BG80" i="1"/>
  <c r="BG81" i="1" s="1"/>
  <c r="BH80" i="1"/>
  <c r="BI80" i="1"/>
  <c r="BJ80" i="1"/>
  <c r="AZ81" i="1"/>
  <c r="BA81" i="1"/>
  <c r="BB81" i="1"/>
  <c r="BC81" i="1"/>
  <c r="BE81" i="1"/>
  <c r="BF81" i="1"/>
  <c r="BH81" i="1"/>
  <c r="BI81" i="1"/>
  <c r="BJ81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AY53" i="1"/>
  <c r="AY55" i="1" s="1"/>
  <c r="AX5" i="15" s="1"/>
  <c r="AZ53" i="1"/>
  <c r="AZ55" i="1" s="1"/>
  <c r="AY5" i="15" s="1"/>
  <c r="BA53" i="1"/>
  <c r="BB53" i="1"/>
  <c r="BB55" i="1" s="1"/>
  <c r="BA5" i="15" s="1"/>
  <c r="BC53" i="1"/>
  <c r="BD53" i="1"/>
  <c r="BD54" i="1" s="1"/>
  <c r="BE53" i="1"/>
  <c r="BE55" i="1" s="1"/>
  <c r="BD5" i="15" s="1"/>
  <c r="BF53" i="1"/>
  <c r="BF54" i="1" s="1"/>
  <c r="BG53" i="1"/>
  <c r="BH53" i="1"/>
  <c r="BH54" i="1" s="1"/>
  <c r="BI53" i="1"/>
  <c r="BI55" i="1" s="1"/>
  <c r="BH5" i="15" s="1"/>
  <c r="BJ53" i="1"/>
  <c r="BJ54" i="1" s="1"/>
  <c r="AZ54" i="1"/>
  <c r="AY10" i="1"/>
  <c r="AZ10" i="1"/>
  <c r="BA10" i="1"/>
  <c r="BA11" i="1" s="1"/>
  <c r="BB10" i="1"/>
  <c r="BC10" i="1"/>
  <c r="BD10" i="1"/>
  <c r="BE10" i="1"/>
  <c r="BE11" i="1" s="1"/>
  <c r="BF10" i="1"/>
  <c r="BF11" i="1" s="1"/>
  <c r="BG10" i="1"/>
  <c r="BH10" i="1"/>
  <c r="BH11" i="1" s="1"/>
  <c r="BI10" i="1"/>
  <c r="BI11" i="1" s="1"/>
  <c r="BJ10" i="1"/>
  <c r="BJ11" i="1" s="1"/>
  <c r="AY33" i="1"/>
  <c r="AY35" i="1" s="1"/>
  <c r="AZ33" i="1"/>
  <c r="BA33" i="1"/>
  <c r="BB33" i="1"/>
  <c r="BC33" i="1"/>
  <c r="BC35" i="1" s="1"/>
  <c r="BD33" i="1"/>
  <c r="BD35" i="1" s="1"/>
  <c r="BE33" i="1"/>
  <c r="BE34" i="1" s="1"/>
  <c r="BF33" i="1"/>
  <c r="BF34" i="1" s="1"/>
  <c r="BG33" i="1"/>
  <c r="BG34" i="1" s="1"/>
  <c r="BH33" i="1"/>
  <c r="BI33" i="1"/>
  <c r="BI34" i="1" s="1"/>
  <c r="BJ33" i="1"/>
  <c r="BJ34" i="1" s="1"/>
  <c r="AY34" i="1"/>
  <c r="BA34" i="1"/>
  <c r="BB34" i="1"/>
  <c r="BC34" i="1"/>
  <c r="BD34" i="1"/>
  <c r="BA35" i="1"/>
  <c r="BB35" i="1"/>
  <c r="BG26" i="1"/>
  <c r="BG28" i="1" s="1"/>
  <c r="BJ26" i="1"/>
  <c r="BJ27" i="1" s="1"/>
  <c r="BB11" i="1"/>
  <c r="BA72" i="2"/>
  <c r="AZ72" i="2"/>
  <c r="AY72" i="2"/>
  <c r="BA71" i="2"/>
  <c r="AZ71" i="2"/>
  <c r="AY71" i="2"/>
  <c r="AY85" i="2" s="1"/>
  <c r="BA62" i="2"/>
  <c r="AZ62" i="2"/>
  <c r="BA61" i="2"/>
  <c r="AZ61" i="2"/>
  <c r="AZ61" i="7"/>
  <c r="AY62" i="2"/>
  <c r="AY61" i="2"/>
  <c r="BA25" i="2"/>
  <c r="AZ25" i="2"/>
  <c r="AY25" i="2"/>
  <c r="BA24" i="2"/>
  <c r="AZ24" i="2"/>
  <c r="AY24" i="2"/>
  <c r="AY26" i="2" s="1"/>
  <c r="BA17" i="2"/>
  <c r="AZ17" i="2"/>
  <c r="AY17" i="2"/>
  <c r="BA16" i="2"/>
  <c r="BA18" i="2" s="1"/>
  <c r="BA20" i="2" s="1"/>
  <c r="AZ6" i="13" s="1"/>
  <c r="AZ16" i="2"/>
  <c r="AZ38" i="2" s="1"/>
  <c r="AY16" i="2"/>
  <c r="AY53" i="2"/>
  <c r="AY54" i="2" s="1"/>
  <c r="AZ53" i="2"/>
  <c r="BA53" i="2"/>
  <c r="AY10" i="2"/>
  <c r="AY57" i="2"/>
  <c r="AZ10" i="2"/>
  <c r="BA10" i="2"/>
  <c r="BA12" i="2" s="1"/>
  <c r="AZ6" i="8" s="1"/>
  <c r="AY80" i="2"/>
  <c r="AY81" i="2" s="1"/>
  <c r="AZ80" i="2"/>
  <c r="BA80" i="2"/>
  <c r="BA82" i="2" s="1"/>
  <c r="BA85" i="2"/>
  <c r="AY33" i="2"/>
  <c r="AY34" i="2" s="1"/>
  <c r="AZ33" i="2"/>
  <c r="AZ34" i="2" s="1"/>
  <c r="BA33" i="2"/>
  <c r="BA34" i="2" s="1"/>
  <c r="AY11" i="2"/>
  <c r="AY12" i="2"/>
  <c r="AX6" i="8" s="1"/>
  <c r="D61" i="7"/>
  <c r="D62" i="7"/>
  <c r="D16" i="7"/>
  <c r="D17" i="7"/>
  <c r="E61" i="7"/>
  <c r="E62" i="7"/>
  <c r="E16" i="7"/>
  <c r="E17" i="7"/>
  <c r="F61" i="7"/>
  <c r="F62" i="7"/>
  <c r="F16" i="7"/>
  <c r="F17" i="7"/>
  <c r="G61" i="7"/>
  <c r="G62" i="7"/>
  <c r="G16" i="7"/>
  <c r="G17" i="7"/>
  <c r="H61" i="7"/>
  <c r="H62" i="7"/>
  <c r="H16" i="7"/>
  <c r="H17" i="7"/>
  <c r="I61" i="7"/>
  <c r="I62" i="7"/>
  <c r="I16" i="7"/>
  <c r="I17" i="7"/>
  <c r="J61" i="7"/>
  <c r="J62" i="7"/>
  <c r="J16" i="7"/>
  <c r="J17" i="7"/>
  <c r="K61" i="7"/>
  <c r="K62" i="7"/>
  <c r="K16" i="7"/>
  <c r="K17" i="7"/>
  <c r="L61" i="7"/>
  <c r="L62" i="7"/>
  <c r="L16" i="7"/>
  <c r="L17" i="7"/>
  <c r="M61" i="7"/>
  <c r="M62" i="7"/>
  <c r="M16" i="7"/>
  <c r="M17" i="7"/>
  <c r="N61" i="7"/>
  <c r="N62" i="7"/>
  <c r="N16" i="7"/>
  <c r="N17" i="7"/>
  <c r="O61" i="4"/>
  <c r="O61" i="6"/>
  <c r="O63" i="6" s="1"/>
  <c r="O61" i="5"/>
  <c r="O62" i="4"/>
  <c r="O62" i="6"/>
  <c r="O62" i="5"/>
  <c r="O16" i="4"/>
  <c r="O16" i="6"/>
  <c r="O16" i="5"/>
  <c r="O17" i="4"/>
  <c r="O18" i="4" s="1"/>
  <c r="O17" i="6"/>
  <c r="O17" i="5"/>
  <c r="P61" i="4"/>
  <c r="P61" i="6"/>
  <c r="P61" i="5"/>
  <c r="P62" i="4"/>
  <c r="P62" i="6"/>
  <c r="P62" i="5"/>
  <c r="P16" i="4"/>
  <c r="P16" i="6"/>
  <c r="P16" i="5"/>
  <c r="P16" i="7" s="1"/>
  <c r="P17" i="4"/>
  <c r="P18" i="4" s="1"/>
  <c r="P17" i="6"/>
  <c r="P17" i="5"/>
  <c r="Q61" i="4"/>
  <c r="Q61" i="6"/>
  <c r="Q61" i="7" s="1"/>
  <c r="Q61" i="5"/>
  <c r="Q62" i="4"/>
  <c r="Q62" i="6"/>
  <c r="Q62" i="5"/>
  <c r="Q16" i="4"/>
  <c r="Q16" i="6"/>
  <c r="Q16" i="5"/>
  <c r="Q17" i="4"/>
  <c r="Q18" i="4" s="1"/>
  <c r="Q17" i="6"/>
  <c r="Q17" i="5"/>
  <c r="R61" i="4"/>
  <c r="R61" i="6"/>
  <c r="R61" i="5"/>
  <c r="R62" i="4"/>
  <c r="R62" i="6"/>
  <c r="R62" i="5"/>
  <c r="R16" i="4"/>
  <c r="R16" i="6"/>
  <c r="R38" i="6" s="1"/>
  <c r="R16" i="5"/>
  <c r="R17" i="4"/>
  <c r="R18" i="4" s="1"/>
  <c r="R20" i="4" s="1"/>
  <c r="Q7" i="13" s="1"/>
  <c r="R17" i="6"/>
  <c r="R18" i="6" s="1"/>
  <c r="R20" i="6" s="1"/>
  <c r="Q8" i="13" s="1"/>
  <c r="R17" i="5"/>
  <c r="S61" i="4"/>
  <c r="S61" i="6"/>
  <c r="S61" i="5"/>
  <c r="S62" i="4"/>
  <c r="S62" i="6"/>
  <c r="S62" i="5"/>
  <c r="S16" i="4"/>
  <c r="S16" i="6"/>
  <c r="S38" i="6" s="1"/>
  <c r="S16" i="5"/>
  <c r="S17" i="4"/>
  <c r="S17" i="6"/>
  <c r="S17" i="5"/>
  <c r="T61" i="4"/>
  <c r="T61" i="6"/>
  <c r="T61" i="5"/>
  <c r="T62" i="4"/>
  <c r="T62" i="6"/>
  <c r="T62" i="5"/>
  <c r="T16" i="4"/>
  <c r="T16" i="6"/>
  <c r="T38" i="6" s="1"/>
  <c r="T16" i="5"/>
  <c r="T17" i="4"/>
  <c r="T17" i="6"/>
  <c r="T17" i="5"/>
  <c r="U61" i="4"/>
  <c r="U61" i="6"/>
  <c r="U61" i="5"/>
  <c r="U63" i="4"/>
  <c r="U63" i="6"/>
  <c r="U62" i="5"/>
  <c r="U16" i="4"/>
  <c r="U18" i="6"/>
  <c r="U17" i="6"/>
  <c r="U16" i="5"/>
  <c r="U18" i="4"/>
  <c r="U17" i="5"/>
  <c r="V61" i="4"/>
  <c r="V61" i="6"/>
  <c r="V61" i="5"/>
  <c r="V63" i="4"/>
  <c r="V63" i="6"/>
  <c r="V62" i="5"/>
  <c r="V16" i="4"/>
  <c r="V18" i="6"/>
  <c r="V17" i="6"/>
  <c r="V16" i="5"/>
  <c r="V18" i="4"/>
  <c r="V17" i="4" s="1"/>
  <c r="V17" i="5"/>
  <c r="V18" i="5" s="1"/>
  <c r="W61" i="4"/>
  <c r="W61" i="6"/>
  <c r="W61" i="5"/>
  <c r="W63" i="4"/>
  <c r="W63" i="6"/>
  <c r="W62" i="5"/>
  <c r="W16" i="4"/>
  <c r="W38" i="4" s="1"/>
  <c r="W18" i="6"/>
  <c r="W17" i="6"/>
  <c r="W16" i="5"/>
  <c r="W18" i="4"/>
  <c r="W17" i="4" s="1"/>
  <c r="W20" i="4" s="1"/>
  <c r="V7" i="13" s="1"/>
  <c r="W17" i="5"/>
  <c r="X61" i="4"/>
  <c r="X61" i="6"/>
  <c r="X61" i="5"/>
  <c r="X63" i="4"/>
  <c r="X62" i="6"/>
  <c r="X63" i="6" s="1"/>
  <c r="X62" i="5"/>
  <c r="X16" i="4"/>
  <c r="X16" i="6"/>
  <c r="X16" i="5"/>
  <c r="X18" i="4"/>
  <c r="X17" i="6"/>
  <c r="X17" i="5"/>
  <c r="Y61" i="4"/>
  <c r="Y62" i="4" s="1"/>
  <c r="Y62" i="7" s="1"/>
  <c r="Y61" i="6"/>
  <c r="Y61" i="5"/>
  <c r="Y63" i="4"/>
  <c r="Y62" i="6"/>
  <c r="Y62" i="5"/>
  <c r="Y16" i="4"/>
  <c r="Y16" i="6"/>
  <c r="Y16" i="5"/>
  <c r="Y18" i="5" s="1"/>
  <c r="Y20" i="5" s="1"/>
  <c r="X9" i="13" s="1"/>
  <c r="Y18" i="4"/>
  <c r="Y17" i="6"/>
  <c r="Y17" i="5"/>
  <c r="Z61" i="4"/>
  <c r="Z61" i="6"/>
  <c r="Z61" i="5"/>
  <c r="Z63" i="5" s="1"/>
  <c r="Z63" i="4"/>
  <c r="Z62" i="6"/>
  <c r="Z62" i="5"/>
  <c r="Z16" i="4"/>
  <c r="Z38" i="4" s="1"/>
  <c r="Z16" i="6"/>
  <c r="Z16" i="5"/>
  <c r="Z18" i="4"/>
  <c r="Z17" i="6"/>
  <c r="Z17" i="5"/>
  <c r="AA61" i="4"/>
  <c r="AA63" i="4" s="1"/>
  <c r="AA61" i="6"/>
  <c r="AA61" i="5"/>
  <c r="AA62" i="4"/>
  <c r="AA62" i="6"/>
  <c r="AA62" i="5"/>
  <c r="AA16" i="4"/>
  <c r="AA18" i="4" s="1"/>
  <c r="AA16" i="6"/>
  <c r="AA16" i="5"/>
  <c r="AA18" i="5" s="1"/>
  <c r="AA17" i="4"/>
  <c r="AA17" i="6"/>
  <c r="AA17" i="5"/>
  <c r="AB61" i="4"/>
  <c r="AB61" i="6"/>
  <c r="AB61" i="5"/>
  <c r="AB62" i="4"/>
  <c r="AB62" i="6"/>
  <c r="AB63" i="6" s="1"/>
  <c r="AB64" i="6" s="1"/>
  <c r="AB62" i="5"/>
  <c r="AB16" i="4"/>
  <c r="AB16" i="6"/>
  <c r="AB16" i="5"/>
  <c r="AB17" i="4"/>
  <c r="AB17" i="6"/>
  <c r="AB17" i="5"/>
  <c r="AC61" i="4"/>
  <c r="AC63" i="4" s="1"/>
  <c r="AC65" i="4" s="1"/>
  <c r="AB7" i="14" s="1"/>
  <c r="AC61" i="6"/>
  <c r="AC61" i="5"/>
  <c r="AC62" i="4"/>
  <c r="AC62" i="6"/>
  <c r="AC62" i="5"/>
  <c r="AC16" i="4"/>
  <c r="AC16" i="6"/>
  <c r="AC16" i="5"/>
  <c r="AC17" i="4"/>
  <c r="AC17" i="6"/>
  <c r="AC17" i="5"/>
  <c r="AD61" i="4"/>
  <c r="AD61" i="6"/>
  <c r="AD61" i="5"/>
  <c r="AD62" i="4"/>
  <c r="AD62" i="6"/>
  <c r="AD62" i="5"/>
  <c r="AD16" i="4"/>
  <c r="AD16" i="6"/>
  <c r="AD16" i="5"/>
  <c r="AD17" i="4"/>
  <c r="AD17" i="6"/>
  <c r="AD17" i="5"/>
  <c r="AE61" i="4"/>
  <c r="AE63" i="4" s="1"/>
  <c r="AE65" i="4" s="1"/>
  <c r="AD7" i="14" s="1"/>
  <c r="AE61" i="6"/>
  <c r="AE61" i="5"/>
  <c r="AE62" i="4"/>
  <c r="AE62" i="6"/>
  <c r="AE62" i="5"/>
  <c r="AE16" i="4"/>
  <c r="AE18" i="4" s="1"/>
  <c r="AE16" i="6"/>
  <c r="AE16" i="5"/>
  <c r="AE18" i="5" s="1"/>
  <c r="AE20" i="5" s="1"/>
  <c r="AD9" i="13" s="1"/>
  <c r="AE17" i="4"/>
  <c r="AE17" i="6"/>
  <c r="AE17" i="5"/>
  <c r="AF61" i="4"/>
  <c r="AF61" i="6"/>
  <c r="AF61" i="5"/>
  <c r="AF63" i="5" s="1"/>
  <c r="AF62" i="4"/>
  <c r="AF62" i="6"/>
  <c r="AF62" i="5"/>
  <c r="AF16" i="4"/>
  <c r="AF16" i="6"/>
  <c r="AF16" i="5"/>
  <c r="AF17" i="4"/>
  <c r="AF17" i="6"/>
  <c r="AF17" i="5"/>
  <c r="AG61" i="4"/>
  <c r="AG63" i="4" s="1"/>
  <c r="AG61" i="6"/>
  <c r="AG61" i="5"/>
  <c r="AG62" i="4"/>
  <c r="AG62" i="6"/>
  <c r="AG62" i="5"/>
  <c r="AG16" i="4"/>
  <c r="AG18" i="4" s="1"/>
  <c r="AG20" i="4" s="1"/>
  <c r="AF7" i="13" s="1"/>
  <c r="AG16" i="6"/>
  <c r="AG16" i="5"/>
  <c r="AG17" i="4"/>
  <c r="AG17" i="6"/>
  <c r="AG17" i="5"/>
  <c r="AH61" i="4"/>
  <c r="AH61" i="6"/>
  <c r="AH61" i="5"/>
  <c r="AH62" i="4"/>
  <c r="AH62" i="6"/>
  <c r="AH86" i="6" s="1"/>
  <c r="AH62" i="5"/>
  <c r="AH16" i="4"/>
  <c r="AH16" i="6"/>
  <c r="AH16" i="5"/>
  <c r="AH17" i="4"/>
  <c r="AH17" i="6"/>
  <c r="AH17" i="5"/>
  <c r="AI61" i="4"/>
  <c r="AI61" i="6"/>
  <c r="AI63" i="6" s="1"/>
  <c r="AI61" i="5"/>
  <c r="AI62" i="4"/>
  <c r="AI62" i="6"/>
  <c r="AI62" i="5"/>
  <c r="AI16" i="4"/>
  <c r="AI18" i="4" s="1"/>
  <c r="AI16" i="6"/>
  <c r="AI16" i="5"/>
  <c r="AI17" i="4"/>
  <c r="AI17" i="6"/>
  <c r="AI17" i="5"/>
  <c r="AJ61" i="4"/>
  <c r="AJ61" i="6"/>
  <c r="AJ61" i="5"/>
  <c r="AJ62" i="4"/>
  <c r="AJ62" i="6"/>
  <c r="AJ62" i="5"/>
  <c r="AJ16" i="4"/>
  <c r="AJ16" i="6"/>
  <c r="AJ16" i="5"/>
  <c r="AJ17" i="4"/>
  <c r="AJ17" i="6"/>
  <c r="AJ39" i="6" s="1"/>
  <c r="AJ17" i="5"/>
  <c r="AK61" i="4"/>
  <c r="AK61" i="6"/>
  <c r="AK63" i="6" s="1"/>
  <c r="AK64" i="6" s="1"/>
  <c r="AK61" i="5"/>
  <c r="AK62" i="4"/>
  <c r="AK62" i="6"/>
  <c r="AK62" i="5"/>
  <c r="AK63" i="5" s="1"/>
  <c r="AK16" i="4"/>
  <c r="AK18" i="4" s="1"/>
  <c r="AK16" i="6"/>
  <c r="AK16" i="5"/>
  <c r="AK17" i="4"/>
  <c r="AK17" i="6"/>
  <c r="AK17" i="5"/>
  <c r="AL61" i="4"/>
  <c r="AL61" i="6"/>
  <c r="AL61" i="5"/>
  <c r="AL62" i="4"/>
  <c r="AL62" i="6"/>
  <c r="AL62" i="5"/>
  <c r="AL16" i="4"/>
  <c r="AL38" i="4" s="1"/>
  <c r="AL16" i="6"/>
  <c r="AL16" i="5"/>
  <c r="AL17" i="4"/>
  <c r="AL17" i="6"/>
  <c r="AL39" i="6" s="1"/>
  <c r="AL17" i="5"/>
  <c r="AM61" i="4"/>
  <c r="AM85" i="4" s="1"/>
  <c r="AM61" i="6"/>
  <c r="AM61" i="5"/>
  <c r="AM61" i="2"/>
  <c r="AM62" i="4"/>
  <c r="AM62" i="6"/>
  <c r="AM62" i="5"/>
  <c r="AM62" i="2"/>
  <c r="AM16" i="4"/>
  <c r="AM38" i="4" s="1"/>
  <c r="AM16" i="6"/>
  <c r="AM38" i="6" s="1"/>
  <c r="AM16" i="5"/>
  <c r="AM16" i="2"/>
  <c r="AM17" i="4"/>
  <c r="AM39" i="4" s="1"/>
  <c r="AM17" i="6"/>
  <c r="AM39" i="6" s="1"/>
  <c r="AM17" i="5"/>
  <c r="AN61" i="4"/>
  <c r="AN61" i="6"/>
  <c r="AN63" i="6" s="1"/>
  <c r="AN61" i="5"/>
  <c r="AN61" i="2"/>
  <c r="AN62" i="4"/>
  <c r="AN62" i="6"/>
  <c r="AN62" i="5"/>
  <c r="AN62" i="2"/>
  <c r="AN16" i="4"/>
  <c r="AN16" i="6"/>
  <c r="AN38" i="6" s="1"/>
  <c r="AN16" i="5"/>
  <c r="AN38" i="5" s="1"/>
  <c r="AN16" i="2"/>
  <c r="AN17" i="4"/>
  <c r="AN17" i="6"/>
  <c r="AN39" i="6" s="1"/>
  <c r="AN17" i="5"/>
  <c r="AO61" i="4"/>
  <c r="AO61" i="6"/>
  <c r="AO61" i="5"/>
  <c r="AO85" i="5" s="1"/>
  <c r="AO61" i="2"/>
  <c r="AO62" i="4"/>
  <c r="AO62" i="6"/>
  <c r="AO62" i="5"/>
  <c r="AO62" i="2"/>
  <c r="AO16" i="4"/>
  <c r="AO16" i="6"/>
  <c r="AO16" i="5"/>
  <c r="AO16" i="2"/>
  <c r="AO17" i="4"/>
  <c r="AO17" i="6"/>
  <c r="AO17" i="5"/>
  <c r="AP16" i="4"/>
  <c r="AP16" i="6"/>
  <c r="AP38" i="6" s="1"/>
  <c r="AP16" i="1"/>
  <c r="AP16" i="5"/>
  <c r="AP18" i="5" s="1"/>
  <c r="AP16" i="2"/>
  <c r="AP17" i="4"/>
  <c r="AP17" i="6"/>
  <c r="AP17" i="1"/>
  <c r="AP17" i="5"/>
  <c r="AP39" i="5" s="1"/>
  <c r="AP17" i="2"/>
  <c r="AP61" i="4"/>
  <c r="AP61" i="6"/>
  <c r="AP61" i="5"/>
  <c r="AP61" i="2"/>
  <c r="AP62" i="4"/>
  <c r="AP62" i="6"/>
  <c r="AP62" i="1"/>
  <c r="AP62" i="5"/>
  <c r="AP62" i="2"/>
  <c r="AQ16" i="4"/>
  <c r="AQ16" i="6"/>
  <c r="AQ16" i="1"/>
  <c r="AQ16" i="5"/>
  <c r="AQ16" i="2"/>
  <c r="AQ17" i="4"/>
  <c r="AQ17" i="6"/>
  <c r="AQ39" i="6" s="1"/>
  <c r="AQ17" i="1"/>
  <c r="AQ17" i="5"/>
  <c r="AQ39" i="5" s="1"/>
  <c r="AQ17" i="2"/>
  <c r="AQ61" i="4"/>
  <c r="AQ61" i="6"/>
  <c r="AQ61" i="1"/>
  <c r="AQ63" i="1" s="1"/>
  <c r="AQ61" i="5"/>
  <c r="AQ61" i="2"/>
  <c r="AQ62" i="4"/>
  <c r="AQ62" i="6"/>
  <c r="AQ62" i="1"/>
  <c r="AQ62" i="5"/>
  <c r="AQ62" i="2"/>
  <c r="AR16" i="4"/>
  <c r="AR18" i="4" s="1"/>
  <c r="AR20" i="4" s="1"/>
  <c r="AQ7" i="13" s="1"/>
  <c r="AR16" i="6"/>
  <c r="AR18" i="6" s="1"/>
  <c r="AR16" i="1"/>
  <c r="AR16" i="5"/>
  <c r="AR16" i="2"/>
  <c r="AR18" i="2" s="1"/>
  <c r="AR17" i="4"/>
  <c r="AR17" i="6"/>
  <c r="AR39" i="6" s="1"/>
  <c r="AR17" i="1"/>
  <c r="AR17" i="5"/>
  <c r="AR17" i="2"/>
  <c r="AR61" i="4"/>
  <c r="AR63" i="4" s="1"/>
  <c r="AR65" i="4" s="1"/>
  <c r="AQ7" i="14" s="1"/>
  <c r="AR61" i="6"/>
  <c r="AR61" i="1"/>
  <c r="AR63" i="1" s="1"/>
  <c r="AR61" i="5"/>
  <c r="AR61" i="2"/>
  <c r="AR62" i="4"/>
  <c r="AR62" i="6"/>
  <c r="AR62" i="1"/>
  <c r="AR62" i="5"/>
  <c r="AR62" i="2"/>
  <c r="AS16" i="4"/>
  <c r="AS16" i="6"/>
  <c r="AS38" i="6" s="1"/>
  <c r="AS16" i="1"/>
  <c r="AS16" i="5"/>
  <c r="AS16" i="2"/>
  <c r="AS38" i="2" s="1"/>
  <c r="AS17" i="4"/>
  <c r="AS17" i="6"/>
  <c r="AS17" i="1"/>
  <c r="AS17" i="5"/>
  <c r="AS17" i="2"/>
  <c r="AS61" i="4"/>
  <c r="AS61" i="6"/>
  <c r="AS61" i="1"/>
  <c r="AS63" i="1" s="1"/>
  <c r="AS61" i="5"/>
  <c r="AS61" i="2"/>
  <c r="AS62" i="4"/>
  <c r="AS62" i="6"/>
  <c r="AS63" i="6" s="1"/>
  <c r="AS64" i="6" s="1"/>
  <c r="AS62" i="1"/>
  <c r="AS62" i="5"/>
  <c r="AS62" i="2"/>
  <c r="AT16" i="4"/>
  <c r="AT16" i="6"/>
  <c r="AT38" i="6" s="1"/>
  <c r="AT16" i="1"/>
  <c r="AT16" i="5"/>
  <c r="AT16" i="2"/>
  <c r="AT17" i="4"/>
  <c r="AT17" i="6"/>
  <c r="AT39" i="6" s="1"/>
  <c r="AT17" i="1"/>
  <c r="AT17" i="5"/>
  <c r="AT39" i="5" s="1"/>
  <c r="AT17" i="2"/>
  <c r="AT61" i="4"/>
  <c r="AT61" i="6"/>
  <c r="AT61" i="1"/>
  <c r="AT63" i="1" s="1"/>
  <c r="AT61" i="5"/>
  <c r="AT61" i="2"/>
  <c r="AT62" i="4"/>
  <c r="AT62" i="6"/>
  <c r="AT62" i="1"/>
  <c r="AT62" i="5"/>
  <c r="AT62" i="2"/>
  <c r="AU16" i="4"/>
  <c r="AU38" i="4" s="1"/>
  <c r="AU16" i="6"/>
  <c r="AU16" i="1"/>
  <c r="AU16" i="5"/>
  <c r="AU16" i="2"/>
  <c r="AU17" i="4"/>
  <c r="AU17" i="6"/>
  <c r="AU39" i="6" s="1"/>
  <c r="AU17" i="1"/>
  <c r="AU17" i="5"/>
  <c r="AU17" i="2"/>
  <c r="AU61" i="4"/>
  <c r="AU63" i="4" s="1"/>
  <c r="AU65" i="4" s="1"/>
  <c r="AT7" i="14" s="1"/>
  <c r="AU61" i="6"/>
  <c r="AU61" i="1"/>
  <c r="AU61" i="5"/>
  <c r="AU63" i="5" s="1"/>
  <c r="AU61" i="2"/>
  <c r="AU62" i="4"/>
  <c r="AU62" i="6"/>
  <c r="AU63" i="6" s="1"/>
  <c r="AU62" i="1"/>
  <c r="AU62" i="5"/>
  <c r="AU62" i="2"/>
  <c r="AV16" i="4"/>
  <c r="AV38" i="4" s="1"/>
  <c r="AV16" i="6"/>
  <c r="AV16" i="1"/>
  <c r="AV16" i="5"/>
  <c r="AV16" i="2"/>
  <c r="AV17" i="4"/>
  <c r="AV17" i="6"/>
  <c r="AV39" i="6" s="1"/>
  <c r="AV17" i="1"/>
  <c r="AV17" i="5"/>
  <c r="AV17" i="2"/>
  <c r="AV61" i="4"/>
  <c r="AV63" i="4" s="1"/>
  <c r="AV61" i="6"/>
  <c r="AV61" i="1"/>
  <c r="AV85" i="1" s="1"/>
  <c r="AV61" i="5"/>
  <c r="AV61" i="2"/>
  <c r="AV62" i="4"/>
  <c r="AV62" i="6"/>
  <c r="AV62" i="1"/>
  <c r="AV62" i="5"/>
  <c r="AV62" i="2"/>
  <c r="AW16" i="4"/>
  <c r="AW38" i="4" s="1"/>
  <c r="AW16" i="6"/>
  <c r="AW16" i="1"/>
  <c r="AW16" i="5"/>
  <c r="AW16" i="2"/>
  <c r="AW17" i="4"/>
  <c r="AW17" i="6"/>
  <c r="AW39" i="6" s="1"/>
  <c r="AW17" i="1"/>
  <c r="AW17" i="5"/>
  <c r="AW17" i="2"/>
  <c r="AW61" i="4"/>
  <c r="AW63" i="4" s="1"/>
  <c r="AW61" i="6"/>
  <c r="AW61" i="1"/>
  <c r="AW63" i="1" s="1"/>
  <c r="AW61" i="5"/>
  <c r="AW63" i="5" s="1"/>
  <c r="AW64" i="5" s="1"/>
  <c r="AW61" i="2"/>
  <c r="AW62" i="4"/>
  <c r="AW62" i="6"/>
  <c r="AW63" i="6" s="1"/>
  <c r="AW64" i="6" s="1"/>
  <c r="AW62" i="1"/>
  <c r="AW62" i="5"/>
  <c r="AW62" i="2"/>
  <c r="AX16" i="4"/>
  <c r="AX16" i="6"/>
  <c r="AX38" i="6" s="1"/>
  <c r="AX16" i="1"/>
  <c r="AX16" i="5"/>
  <c r="AX16" i="2"/>
  <c r="AX17" i="4"/>
  <c r="AX17" i="6"/>
  <c r="AX39" i="6" s="1"/>
  <c r="AX17" i="1"/>
  <c r="AX17" i="5"/>
  <c r="AX17" i="2"/>
  <c r="AX61" i="4"/>
  <c r="AX61" i="6"/>
  <c r="AX61" i="1"/>
  <c r="AX61" i="5"/>
  <c r="AX61" i="2"/>
  <c r="AX62" i="4"/>
  <c r="AX62" i="6"/>
  <c r="AX63" i="6" s="1"/>
  <c r="AX62" i="1"/>
  <c r="AX62" i="5"/>
  <c r="AX62" i="2"/>
  <c r="C61" i="4"/>
  <c r="C63" i="4" s="1"/>
  <c r="C61" i="6"/>
  <c r="C63" i="6" s="1"/>
  <c r="C62" i="7"/>
  <c r="C16" i="7"/>
  <c r="C17" i="7"/>
  <c r="AW8" i="7"/>
  <c r="AW9" i="7"/>
  <c r="AW51" i="7"/>
  <c r="AW52" i="7"/>
  <c r="AV8" i="7"/>
  <c r="AV9" i="7"/>
  <c r="AV51" i="7"/>
  <c r="AV52" i="7"/>
  <c r="AU8" i="7"/>
  <c r="AU9" i="4"/>
  <c r="AU9" i="7" s="1"/>
  <c r="AU51" i="7"/>
  <c r="AU52" i="7"/>
  <c r="AT8" i="7"/>
  <c r="AT9" i="4"/>
  <c r="AT9" i="7" s="1"/>
  <c r="AT51" i="7"/>
  <c r="AT52" i="7"/>
  <c r="AS8" i="7"/>
  <c r="AS9" i="4"/>
  <c r="AS51" i="7"/>
  <c r="AS52" i="7"/>
  <c r="AR8" i="7"/>
  <c r="AR9" i="7"/>
  <c r="AR51" i="7"/>
  <c r="AR52" i="7"/>
  <c r="AQ8" i="7"/>
  <c r="AQ9" i="7"/>
  <c r="AQ51" i="7"/>
  <c r="AQ52" i="7"/>
  <c r="AP8" i="7"/>
  <c r="AP9" i="7"/>
  <c r="AP51" i="7"/>
  <c r="AP52" i="7"/>
  <c r="AO51" i="7"/>
  <c r="AO52" i="7"/>
  <c r="AO8" i="7"/>
  <c r="AO9" i="7"/>
  <c r="AN51" i="7"/>
  <c r="AN52" i="7"/>
  <c r="AN8" i="7"/>
  <c r="AN9" i="7"/>
  <c r="AM51" i="7"/>
  <c r="AM52" i="2"/>
  <c r="AM52" i="7" s="1"/>
  <c r="AM8" i="7"/>
  <c r="AM9" i="5"/>
  <c r="AL51" i="7"/>
  <c r="AL52" i="7"/>
  <c r="AL8" i="7"/>
  <c r="AL9" i="7"/>
  <c r="AK51" i="7"/>
  <c r="AK52" i="7"/>
  <c r="AK8" i="7"/>
  <c r="AK9" i="7"/>
  <c r="AJ51" i="7"/>
  <c r="AJ52" i="7"/>
  <c r="AJ8" i="7"/>
  <c r="AJ9" i="7"/>
  <c r="AI51" i="7"/>
  <c r="AI52" i="7"/>
  <c r="AI8" i="7"/>
  <c r="AI9" i="7"/>
  <c r="AH51" i="7"/>
  <c r="AH52" i="7"/>
  <c r="AH8" i="7"/>
  <c r="AH9" i="7"/>
  <c r="AG51" i="7"/>
  <c r="AG52" i="7"/>
  <c r="AG8" i="7"/>
  <c r="AG9" i="7"/>
  <c r="AF51" i="7"/>
  <c r="AF52" i="7"/>
  <c r="AF8" i="7"/>
  <c r="AF9" i="7"/>
  <c r="AE51" i="7"/>
  <c r="AE52" i="7"/>
  <c r="AE8" i="7"/>
  <c r="AE9" i="7"/>
  <c r="AD51" i="7"/>
  <c r="AD52" i="7"/>
  <c r="AD8" i="7"/>
  <c r="AD9" i="7"/>
  <c r="AC51" i="7"/>
  <c r="AC52" i="7"/>
  <c r="AC8" i="7"/>
  <c r="AC9" i="7"/>
  <c r="AB51" i="7"/>
  <c r="AB52" i="7"/>
  <c r="AB8" i="7"/>
  <c r="AB9" i="7"/>
  <c r="AA51" i="7"/>
  <c r="AA52" i="7"/>
  <c r="AA8" i="7"/>
  <c r="AA9" i="7"/>
  <c r="Z51" i="7"/>
  <c r="Z52" i="4"/>
  <c r="Z52" i="7" s="1"/>
  <c r="Z8" i="7"/>
  <c r="Z9" i="4"/>
  <c r="Z9" i="6"/>
  <c r="Y51" i="7"/>
  <c r="Y52" i="4"/>
  <c r="Y52" i="7" s="1"/>
  <c r="Y8" i="7"/>
  <c r="Y9" i="4"/>
  <c r="Y12" i="4" s="1"/>
  <c r="X7" i="8" s="1"/>
  <c r="Y9" i="6"/>
  <c r="X51" i="7"/>
  <c r="X52" i="4"/>
  <c r="X52" i="7" s="1"/>
  <c r="X8" i="7"/>
  <c r="X9" i="4"/>
  <c r="X12" i="4" s="1"/>
  <c r="W7" i="8" s="1"/>
  <c r="X9" i="6"/>
  <c r="W51" i="6"/>
  <c r="W52" i="4"/>
  <c r="W52" i="7" s="1"/>
  <c r="W8" i="6"/>
  <c r="W9" i="4"/>
  <c r="W9" i="7" s="1"/>
  <c r="V51" i="4"/>
  <c r="V52" i="4" s="1"/>
  <c r="V52" i="7" s="1"/>
  <c r="V51" i="6"/>
  <c r="V51" i="7" s="1"/>
  <c r="V8" i="6"/>
  <c r="V8" i="7" s="1"/>
  <c r="V9" i="4"/>
  <c r="U51" i="6"/>
  <c r="U51" i="7" s="1"/>
  <c r="U52" i="4"/>
  <c r="U8" i="6"/>
  <c r="U8" i="7" s="1"/>
  <c r="U9" i="7"/>
  <c r="T51" i="7"/>
  <c r="T52" i="7"/>
  <c r="T8" i="7"/>
  <c r="T9" i="7"/>
  <c r="S51" i="7"/>
  <c r="S52" i="7"/>
  <c r="S8" i="7"/>
  <c r="S9" i="7"/>
  <c r="R51" i="7"/>
  <c r="R52" i="7"/>
  <c r="R8" i="7"/>
  <c r="R9" i="7"/>
  <c r="Q51" i="7"/>
  <c r="Q52" i="7"/>
  <c r="Q8" i="7"/>
  <c r="Q9" i="7"/>
  <c r="P51" i="7"/>
  <c r="P52" i="7"/>
  <c r="P8" i="5"/>
  <c r="P9" i="7"/>
  <c r="O51" i="7"/>
  <c r="O52" i="7"/>
  <c r="O8" i="7"/>
  <c r="O9" i="6"/>
  <c r="O9" i="7"/>
  <c r="N51" i="7"/>
  <c r="N52" i="7"/>
  <c r="N8" i="7"/>
  <c r="N9" i="7"/>
  <c r="M51" i="7"/>
  <c r="M52" i="7"/>
  <c r="M8" i="7"/>
  <c r="M9" i="7"/>
  <c r="L51" i="7"/>
  <c r="L52" i="7"/>
  <c r="L8" i="7"/>
  <c r="L9" i="7"/>
  <c r="K51" i="7"/>
  <c r="K52" i="7"/>
  <c r="K8" i="7"/>
  <c r="K9" i="7"/>
  <c r="J51" i="7"/>
  <c r="J52" i="7"/>
  <c r="J8" i="7"/>
  <c r="J9" i="7"/>
  <c r="I51" i="7"/>
  <c r="I52" i="7"/>
  <c r="I8" i="7"/>
  <c r="I9" i="7"/>
  <c r="H51" i="7"/>
  <c r="H52" i="7"/>
  <c r="H8" i="7"/>
  <c r="H9" i="7"/>
  <c r="G51" i="7"/>
  <c r="G52" i="7"/>
  <c r="G8" i="7"/>
  <c r="G9" i="7"/>
  <c r="F51" i="7"/>
  <c r="F52" i="7"/>
  <c r="F8" i="7"/>
  <c r="F9" i="7"/>
  <c r="E51" i="7"/>
  <c r="E52" i="7"/>
  <c r="E8" i="7"/>
  <c r="E9" i="7"/>
  <c r="D51" i="6"/>
  <c r="D52" i="7"/>
  <c r="D8" i="7"/>
  <c r="D9" i="7"/>
  <c r="C51" i="4"/>
  <c r="C51" i="6"/>
  <c r="C53" i="6" s="1"/>
  <c r="C8" i="5"/>
  <c r="C8" i="7" s="1"/>
  <c r="AX8" i="7"/>
  <c r="AX9" i="7"/>
  <c r="AX51" i="7"/>
  <c r="AX52" i="7"/>
  <c r="C10" i="6"/>
  <c r="E104" i="7" s="1"/>
  <c r="D10" i="6"/>
  <c r="E53" i="6"/>
  <c r="E10" i="6"/>
  <c r="E11" i="6" s="1"/>
  <c r="F53" i="6"/>
  <c r="F10" i="6"/>
  <c r="G53" i="6"/>
  <c r="G10" i="6"/>
  <c r="G12" i="6" s="1"/>
  <c r="F8" i="8" s="1"/>
  <c r="H53" i="6"/>
  <c r="H10" i="6"/>
  <c r="I53" i="6"/>
  <c r="I10" i="6"/>
  <c r="I11" i="6" s="1"/>
  <c r="J53" i="6"/>
  <c r="J54" i="6" s="1"/>
  <c r="J10" i="6"/>
  <c r="K53" i="6"/>
  <c r="K10" i="6"/>
  <c r="L53" i="6"/>
  <c r="L55" i="6" s="1"/>
  <c r="K8" i="15" s="1"/>
  <c r="L10" i="6"/>
  <c r="M53" i="6"/>
  <c r="M10" i="6"/>
  <c r="M12" i="6" s="1"/>
  <c r="L8" i="8" s="1"/>
  <c r="N53" i="6"/>
  <c r="N54" i="6" s="1"/>
  <c r="N10" i="6"/>
  <c r="N11" i="6" s="1"/>
  <c r="O53" i="6"/>
  <c r="O10" i="6"/>
  <c r="O11" i="6" s="1"/>
  <c r="P53" i="6"/>
  <c r="P10" i="6"/>
  <c r="Q53" i="6"/>
  <c r="Q10" i="6"/>
  <c r="R53" i="6"/>
  <c r="R10" i="6"/>
  <c r="S53" i="6"/>
  <c r="S10" i="6"/>
  <c r="S12" i="6" s="1"/>
  <c r="R8" i="8" s="1"/>
  <c r="T53" i="6"/>
  <c r="T10" i="6"/>
  <c r="T12" i="6" s="1"/>
  <c r="S8" i="8" s="1"/>
  <c r="U57" i="6"/>
  <c r="V57" i="6"/>
  <c r="W57" i="6"/>
  <c r="X53" i="6"/>
  <c r="Y53" i="6"/>
  <c r="Y57" i="6" s="1"/>
  <c r="Z53" i="6"/>
  <c r="Z57" i="6" s="1"/>
  <c r="AA53" i="6"/>
  <c r="AA10" i="6"/>
  <c r="AA57" i="6" s="1"/>
  <c r="AB53" i="6"/>
  <c r="AB10" i="6"/>
  <c r="AC53" i="6"/>
  <c r="AC10" i="6"/>
  <c r="AD53" i="6"/>
  <c r="AD10" i="6"/>
  <c r="AD11" i="6" s="1"/>
  <c r="AE53" i="6"/>
  <c r="AE10" i="6"/>
  <c r="AE57" i="6" s="1"/>
  <c r="AF53" i="6"/>
  <c r="AF10" i="6"/>
  <c r="AF11" i="6" s="1"/>
  <c r="AG53" i="6"/>
  <c r="AG10" i="6"/>
  <c r="AH53" i="6"/>
  <c r="AH55" i="6" s="1"/>
  <c r="AG8" i="15" s="1"/>
  <c r="AH10" i="6"/>
  <c r="AI53" i="6"/>
  <c r="AI55" i="6" s="1"/>
  <c r="AH8" i="15" s="1"/>
  <c r="AI10" i="6"/>
  <c r="AJ53" i="6"/>
  <c r="AJ54" i="6" s="1"/>
  <c r="AJ10" i="6"/>
  <c r="AJ12" i="6" s="1"/>
  <c r="AI8" i="8" s="1"/>
  <c r="AK53" i="6"/>
  <c r="AK10" i="6"/>
  <c r="AK12" i="6" s="1"/>
  <c r="AJ8" i="8" s="1"/>
  <c r="AL53" i="6"/>
  <c r="AL55" i="6" s="1"/>
  <c r="AK8" i="15" s="1"/>
  <c r="AL10" i="6"/>
  <c r="AL57" i="6" s="1"/>
  <c r="AM53" i="6"/>
  <c r="AM54" i="6" s="1"/>
  <c r="AM10" i="6"/>
  <c r="AN53" i="6"/>
  <c r="AN10" i="6"/>
  <c r="AN12" i="6" s="1"/>
  <c r="AM8" i="8" s="1"/>
  <c r="AO53" i="6"/>
  <c r="AO54" i="6" s="1"/>
  <c r="AO10" i="6"/>
  <c r="AP53" i="6"/>
  <c r="AP10" i="6"/>
  <c r="AP12" i="6" s="1"/>
  <c r="AO8" i="8" s="1"/>
  <c r="AQ53" i="6"/>
  <c r="AQ55" i="6" s="1"/>
  <c r="AP8" i="15" s="1"/>
  <c r="AQ10" i="6"/>
  <c r="AR53" i="6"/>
  <c r="AR54" i="6" s="1"/>
  <c r="AR10" i="6"/>
  <c r="AR12" i="6" s="1"/>
  <c r="AQ8" i="8" s="1"/>
  <c r="AS53" i="6"/>
  <c r="AS54" i="6" s="1"/>
  <c r="AS10" i="6"/>
  <c r="AS11" i="6" s="1"/>
  <c r="AT53" i="6"/>
  <c r="AT55" i="6" s="1"/>
  <c r="AS8" i="15" s="1"/>
  <c r="AT10" i="6"/>
  <c r="AT11" i="6" s="1"/>
  <c r="AU53" i="6"/>
  <c r="AU57" i="6" s="1"/>
  <c r="AU10" i="6"/>
  <c r="AU12" i="6" s="1"/>
  <c r="AT8" i="8" s="1"/>
  <c r="AV53" i="6"/>
  <c r="AV54" i="6" s="1"/>
  <c r="AV10" i="6"/>
  <c r="AV11" i="6" s="1"/>
  <c r="AW53" i="6"/>
  <c r="AW55" i="6" s="1"/>
  <c r="AW10" i="6"/>
  <c r="AX53" i="6"/>
  <c r="AX55" i="6" s="1"/>
  <c r="AW8" i="15" s="1"/>
  <c r="AX10" i="6"/>
  <c r="AX11" i="6" s="1"/>
  <c r="C53" i="5"/>
  <c r="C55" i="5" s="1"/>
  <c r="B9" i="15" s="1"/>
  <c r="D53" i="5"/>
  <c r="D10" i="5"/>
  <c r="E53" i="5"/>
  <c r="E10" i="5"/>
  <c r="E12" i="5" s="1"/>
  <c r="D9" i="8" s="1"/>
  <c r="F53" i="5"/>
  <c r="F10" i="5"/>
  <c r="G53" i="5"/>
  <c r="G10" i="5"/>
  <c r="G11" i="5" s="1"/>
  <c r="H53" i="5"/>
  <c r="H10" i="5"/>
  <c r="I53" i="5"/>
  <c r="I10" i="5"/>
  <c r="J53" i="5"/>
  <c r="J10" i="5"/>
  <c r="K53" i="5"/>
  <c r="K10" i="5"/>
  <c r="L53" i="5"/>
  <c r="L10" i="5"/>
  <c r="M53" i="5"/>
  <c r="M10" i="5"/>
  <c r="M11" i="5" s="1"/>
  <c r="N53" i="5"/>
  <c r="N10" i="5"/>
  <c r="O53" i="5"/>
  <c r="O10" i="5"/>
  <c r="P53" i="5"/>
  <c r="P55" i="5" s="1"/>
  <c r="O9" i="15" s="1"/>
  <c r="Q53" i="5"/>
  <c r="Q10" i="5"/>
  <c r="R53" i="5"/>
  <c r="R10" i="5"/>
  <c r="S53" i="5"/>
  <c r="S55" i="5" s="1"/>
  <c r="R9" i="15" s="1"/>
  <c r="S10" i="5"/>
  <c r="T53" i="5"/>
  <c r="T55" i="5" s="1"/>
  <c r="S9" i="15" s="1"/>
  <c r="T10" i="5"/>
  <c r="U53" i="5"/>
  <c r="U54" i="5" s="1"/>
  <c r="U10" i="5"/>
  <c r="U12" i="5" s="1"/>
  <c r="T9" i="8" s="1"/>
  <c r="V53" i="5"/>
  <c r="V10" i="5"/>
  <c r="W53" i="5"/>
  <c r="W10" i="5"/>
  <c r="W11" i="5" s="1"/>
  <c r="X53" i="5"/>
  <c r="X10" i="5"/>
  <c r="Y53" i="5"/>
  <c r="Y55" i="5" s="1"/>
  <c r="X9" i="15" s="1"/>
  <c r="Y10" i="5"/>
  <c r="Z53" i="5"/>
  <c r="Z10" i="5"/>
  <c r="AA53" i="5"/>
  <c r="AA10" i="5"/>
  <c r="AB53" i="5"/>
  <c r="AB54" i="5" s="1"/>
  <c r="AB10" i="5"/>
  <c r="AC53" i="5"/>
  <c r="AC10" i="5"/>
  <c r="AC12" i="5" s="1"/>
  <c r="AB9" i="8" s="1"/>
  <c r="AD53" i="5"/>
  <c r="AD10" i="5"/>
  <c r="AE53" i="5"/>
  <c r="AE10" i="5"/>
  <c r="AF53" i="5"/>
  <c r="AF55" i="5" s="1"/>
  <c r="AE9" i="15" s="1"/>
  <c r="AF10" i="5"/>
  <c r="AG53" i="5"/>
  <c r="AG10" i="5"/>
  <c r="AH53" i="5"/>
  <c r="AH10" i="5"/>
  <c r="AI53" i="5"/>
  <c r="AI54" i="5" s="1"/>
  <c r="AI10" i="5"/>
  <c r="AJ53" i="5"/>
  <c r="AJ55" i="5" s="1"/>
  <c r="AI9" i="15" s="1"/>
  <c r="AJ10" i="5"/>
  <c r="AK53" i="5"/>
  <c r="AK10" i="5"/>
  <c r="AL53" i="5"/>
  <c r="AL55" i="5" s="1"/>
  <c r="AK9" i="15" s="1"/>
  <c r="AL10" i="5"/>
  <c r="AL12" i="5" s="1"/>
  <c r="AK9" i="8" s="1"/>
  <c r="AM53" i="5"/>
  <c r="AN53" i="5"/>
  <c r="AN10" i="5"/>
  <c r="AO53" i="5"/>
  <c r="AO55" i="5" s="1"/>
  <c r="AN9" i="15" s="1"/>
  <c r="AO10" i="5"/>
  <c r="AP53" i="5"/>
  <c r="AP10" i="5"/>
  <c r="AP12" i="5" s="1"/>
  <c r="AO9" i="8" s="1"/>
  <c r="AQ53" i="5"/>
  <c r="AQ10" i="5"/>
  <c r="AR53" i="5"/>
  <c r="AR10" i="5"/>
  <c r="AS53" i="5"/>
  <c r="AS10" i="5"/>
  <c r="AT53" i="5"/>
  <c r="AT54" i="5" s="1"/>
  <c r="AT10" i="5"/>
  <c r="AT11" i="5" s="1"/>
  <c r="AU53" i="5"/>
  <c r="AU10" i="5"/>
  <c r="AU57" i="5" s="1"/>
  <c r="AV53" i="5"/>
  <c r="AV54" i="5" s="1"/>
  <c r="AV10" i="5"/>
  <c r="AV11" i="5" s="1"/>
  <c r="AW53" i="5"/>
  <c r="AW10" i="5"/>
  <c r="AX53" i="5"/>
  <c r="AX54" i="5" s="1"/>
  <c r="AX10" i="5"/>
  <c r="AX11" i="5" s="1"/>
  <c r="C10" i="4"/>
  <c r="E103" i="7" s="1"/>
  <c r="D53" i="4"/>
  <c r="D10" i="4"/>
  <c r="D11" i="4" s="1"/>
  <c r="E53" i="4"/>
  <c r="E10" i="4"/>
  <c r="E12" i="4" s="1"/>
  <c r="D7" i="8" s="1"/>
  <c r="F53" i="4"/>
  <c r="F10" i="4"/>
  <c r="F11" i="4" s="1"/>
  <c r="G53" i="4"/>
  <c r="G10" i="4"/>
  <c r="G11" i="4" s="1"/>
  <c r="H53" i="4"/>
  <c r="H10" i="4"/>
  <c r="H11" i="4" s="1"/>
  <c r="I53" i="4"/>
  <c r="I10" i="4"/>
  <c r="J53" i="4"/>
  <c r="J10" i="4"/>
  <c r="J11" i="4" s="1"/>
  <c r="K53" i="4"/>
  <c r="K10" i="4"/>
  <c r="L53" i="4"/>
  <c r="L10" i="4"/>
  <c r="L11" i="4" s="1"/>
  <c r="M53" i="4"/>
  <c r="M10" i="4"/>
  <c r="N53" i="4"/>
  <c r="N10" i="4"/>
  <c r="O53" i="4"/>
  <c r="O10" i="4"/>
  <c r="O11" i="4" s="1"/>
  <c r="P53" i="4"/>
  <c r="P10" i="4"/>
  <c r="P12" i="4" s="1"/>
  <c r="O7" i="8" s="1"/>
  <c r="Q53" i="4"/>
  <c r="Q10" i="4"/>
  <c r="R53" i="4"/>
  <c r="R10" i="4"/>
  <c r="S53" i="4"/>
  <c r="S10" i="4"/>
  <c r="T53" i="4"/>
  <c r="T10" i="4"/>
  <c r="T12" i="4" s="1"/>
  <c r="S7" i="8" s="1"/>
  <c r="U57" i="4"/>
  <c r="V57" i="4"/>
  <c r="W57" i="4"/>
  <c r="X57" i="4"/>
  <c r="Y57" i="4"/>
  <c r="Z57" i="4"/>
  <c r="AA53" i="4"/>
  <c r="AA10" i="4"/>
  <c r="AB53" i="4"/>
  <c r="AB10" i="4"/>
  <c r="AB11" i="4" s="1"/>
  <c r="AC53" i="4"/>
  <c r="AC10" i="4"/>
  <c r="AD53" i="4"/>
  <c r="AD10" i="4"/>
  <c r="AD11" i="4" s="1"/>
  <c r="AE53" i="4"/>
  <c r="AE10" i="4"/>
  <c r="AF53" i="4"/>
  <c r="AF10" i="4"/>
  <c r="AF11" i="4" s="1"/>
  <c r="AG53" i="4"/>
  <c r="AG10" i="4"/>
  <c r="AH53" i="4"/>
  <c r="AH10" i="4"/>
  <c r="AI53" i="4"/>
  <c r="AI10" i="4"/>
  <c r="AJ53" i="4"/>
  <c r="AJ10" i="4"/>
  <c r="AJ11" i="4" s="1"/>
  <c r="AK53" i="4"/>
  <c r="AK10" i="4"/>
  <c r="AL53" i="4"/>
  <c r="AL10" i="4"/>
  <c r="AM53" i="4"/>
  <c r="AM10" i="4"/>
  <c r="AN53" i="4"/>
  <c r="AN54" i="4" s="1"/>
  <c r="AN10" i="4"/>
  <c r="AN11" i="4" s="1"/>
  <c r="AO53" i="4"/>
  <c r="AO10" i="4"/>
  <c r="AP53" i="4"/>
  <c r="AP10" i="4"/>
  <c r="AQ53" i="4"/>
  <c r="AQ54" i="4" s="1"/>
  <c r="AQ10" i="4"/>
  <c r="AQ11" i="4" s="1"/>
  <c r="AR53" i="4"/>
  <c r="AR10" i="4"/>
  <c r="AS53" i="4"/>
  <c r="AS10" i="4"/>
  <c r="AT53" i="4"/>
  <c r="AT10" i="4"/>
  <c r="AT11" i="4" s="1"/>
  <c r="AU53" i="4"/>
  <c r="AU10" i="4"/>
  <c r="AV53" i="4"/>
  <c r="AV10" i="4"/>
  <c r="AV11" i="4" s="1"/>
  <c r="AW53" i="4"/>
  <c r="AW55" i="4" s="1"/>
  <c r="AV7" i="15" s="1"/>
  <c r="AW10" i="4"/>
  <c r="AX53" i="4"/>
  <c r="AX10" i="4"/>
  <c r="AX11" i="4" s="1"/>
  <c r="C53" i="1"/>
  <c r="C10" i="1"/>
  <c r="C57" i="1" s="1"/>
  <c r="D53" i="1"/>
  <c r="D10" i="1"/>
  <c r="D11" i="1" s="1"/>
  <c r="E53" i="1"/>
  <c r="E10" i="1"/>
  <c r="E12" i="1" s="1"/>
  <c r="D5" i="8" s="1"/>
  <c r="F53" i="1"/>
  <c r="F55" i="1" s="1"/>
  <c r="E5" i="15" s="1"/>
  <c r="F10" i="1"/>
  <c r="F12" i="1" s="1"/>
  <c r="E5" i="8" s="1"/>
  <c r="G53" i="1"/>
  <c r="G10" i="1"/>
  <c r="G12" i="1" s="1"/>
  <c r="F5" i="8" s="1"/>
  <c r="H53" i="1"/>
  <c r="H54" i="1" s="1"/>
  <c r="H10" i="1"/>
  <c r="H11" i="1" s="1"/>
  <c r="I53" i="1"/>
  <c r="I10" i="1"/>
  <c r="I11" i="1" s="1"/>
  <c r="J53" i="1"/>
  <c r="J55" i="1" s="1"/>
  <c r="I5" i="15" s="1"/>
  <c r="J10" i="1"/>
  <c r="J12" i="1" s="1"/>
  <c r="I5" i="8" s="1"/>
  <c r="K53" i="1"/>
  <c r="K10" i="1"/>
  <c r="K57" i="1" s="1"/>
  <c r="L53" i="1"/>
  <c r="L55" i="1" s="1"/>
  <c r="K5" i="15" s="1"/>
  <c r="L10" i="1"/>
  <c r="M53" i="1"/>
  <c r="M10" i="1"/>
  <c r="N53" i="1"/>
  <c r="N54" i="1" s="1"/>
  <c r="N10" i="1"/>
  <c r="N11" i="1" s="1"/>
  <c r="O53" i="1"/>
  <c r="O10" i="1"/>
  <c r="O12" i="1" s="1"/>
  <c r="N5" i="8" s="1"/>
  <c r="P53" i="1"/>
  <c r="P10" i="1"/>
  <c r="P11" i="1" s="1"/>
  <c r="Q53" i="1"/>
  <c r="Q10" i="1"/>
  <c r="Q12" i="1" s="1"/>
  <c r="P5" i="8" s="1"/>
  <c r="R53" i="1"/>
  <c r="R10" i="1"/>
  <c r="R11" i="1" s="1"/>
  <c r="S53" i="1"/>
  <c r="S10" i="1"/>
  <c r="S11" i="1" s="1"/>
  <c r="T53" i="1"/>
  <c r="T54" i="1" s="1"/>
  <c r="T10" i="1"/>
  <c r="T12" i="1" s="1"/>
  <c r="S5" i="8" s="1"/>
  <c r="U53" i="1"/>
  <c r="U10" i="1"/>
  <c r="V53" i="1"/>
  <c r="V54" i="1" s="1"/>
  <c r="V10" i="1"/>
  <c r="V12" i="1" s="1"/>
  <c r="U5" i="8" s="1"/>
  <c r="W53" i="1"/>
  <c r="W10" i="1"/>
  <c r="W11" i="1" s="1"/>
  <c r="X53" i="1"/>
  <c r="X54" i="1" s="1"/>
  <c r="X10" i="1"/>
  <c r="X12" i="1" s="1"/>
  <c r="W5" i="8" s="1"/>
  <c r="Y53" i="1"/>
  <c r="Y10" i="1"/>
  <c r="Z53" i="1"/>
  <c r="Z10" i="1"/>
  <c r="Z11" i="1" s="1"/>
  <c r="AA53" i="1"/>
  <c r="AA10" i="1"/>
  <c r="AB53" i="1"/>
  <c r="AB10" i="1"/>
  <c r="AB11" i="1" s="1"/>
  <c r="AC53" i="1"/>
  <c r="AC10" i="1"/>
  <c r="AD53" i="1"/>
  <c r="AD54" i="1" s="1"/>
  <c r="AD10" i="1"/>
  <c r="AE53" i="1"/>
  <c r="AE10" i="1"/>
  <c r="AF53" i="1"/>
  <c r="AF10" i="1"/>
  <c r="AF12" i="1" s="1"/>
  <c r="AE5" i="8" s="1"/>
  <c r="AG53" i="1"/>
  <c r="AG10" i="1"/>
  <c r="AH53" i="1"/>
  <c r="AH10" i="1"/>
  <c r="AH12" i="1" s="1"/>
  <c r="AG5" i="8" s="1"/>
  <c r="AI53" i="1"/>
  <c r="AI10" i="1"/>
  <c r="AJ53" i="1"/>
  <c r="AJ10" i="1"/>
  <c r="AK53" i="1"/>
  <c r="AK10" i="1"/>
  <c r="AK11" i="1" s="1"/>
  <c r="AL53" i="1"/>
  <c r="AL54" i="1" s="1"/>
  <c r="AL10" i="1"/>
  <c r="AL12" i="1" s="1"/>
  <c r="AK5" i="8" s="1"/>
  <c r="AM53" i="1"/>
  <c r="AM55" i="1" s="1"/>
  <c r="AM10" i="1"/>
  <c r="AN53" i="1"/>
  <c r="AN55" i="1" s="1"/>
  <c r="AM5" i="15" s="1"/>
  <c r="AN10" i="1"/>
  <c r="AN11" i="1" s="1"/>
  <c r="AO53" i="1"/>
  <c r="AO55" i="1" s="1"/>
  <c r="AN5" i="15" s="1"/>
  <c r="AO10" i="1"/>
  <c r="AP53" i="1"/>
  <c r="AP10" i="1"/>
  <c r="AQ53" i="1"/>
  <c r="AQ55" i="1" s="1"/>
  <c r="AP5" i="15" s="1"/>
  <c r="AQ10" i="1"/>
  <c r="AQ11" i="1" s="1"/>
  <c r="AR53" i="1"/>
  <c r="AR55" i="1" s="1"/>
  <c r="AQ5" i="15" s="1"/>
  <c r="AR10" i="1"/>
  <c r="AR11" i="1" s="1"/>
  <c r="AS53" i="1"/>
  <c r="AS55" i="1" s="1"/>
  <c r="AR5" i="15" s="1"/>
  <c r="AS10" i="1"/>
  <c r="AT53" i="1"/>
  <c r="AT10" i="1"/>
  <c r="AT11" i="1" s="1"/>
  <c r="AU53" i="1"/>
  <c r="AU10" i="1"/>
  <c r="AU12" i="1" s="1"/>
  <c r="AT5" i="8" s="1"/>
  <c r="AV53" i="1"/>
  <c r="AV10" i="1"/>
  <c r="AV12" i="1" s="1"/>
  <c r="AU5" i="8" s="1"/>
  <c r="AW53" i="1"/>
  <c r="AW10" i="1"/>
  <c r="AW12" i="1" s="1"/>
  <c r="AV5" i="8" s="1"/>
  <c r="AX53" i="1"/>
  <c r="AX10" i="1"/>
  <c r="AX12" i="1" s="1"/>
  <c r="AW5" i="8" s="1"/>
  <c r="Z53" i="2"/>
  <c r="Z10" i="2"/>
  <c r="AA53" i="2"/>
  <c r="AA54" i="2" s="1"/>
  <c r="AA10" i="2"/>
  <c r="AB53" i="2"/>
  <c r="AB10" i="2"/>
  <c r="AC53" i="2"/>
  <c r="AC55" i="2" s="1"/>
  <c r="AB6" i="15" s="1"/>
  <c r="AC10" i="2"/>
  <c r="AD53" i="2"/>
  <c r="AD10" i="2"/>
  <c r="AE53" i="2"/>
  <c r="AE10" i="2"/>
  <c r="AF53" i="2"/>
  <c r="AF10" i="2"/>
  <c r="AF57" i="2" s="1"/>
  <c r="AG53" i="2"/>
  <c r="AG10" i="2"/>
  <c r="AH53" i="2"/>
  <c r="AH10" i="2"/>
  <c r="AH11" i="2" s="1"/>
  <c r="AI53" i="2"/>
  <c r="AI10" i="2"/>
  <c r="AJ53" i="2"/>
  <c r="AJ54" i="2" s="1"/>
  <c r="AJ10" i="2"/>
  <c r="AJ12" i="2" s="1"/>
  <c r="AI6" i="8" s="1"/>
  <c r="AK53" i="2"/>
  <c r="AK55" i="2" s="1"/>
  <c r="AJ6" i="15" s="1"/>
  <c r="AK10" i="2"/>
  <c r="AL53" i="2"/>
  <c r="AL10" i="2"/>
  <c r="AL12" i="2" s="1"/>
  <c r="AK6" i="8" s="1"/>
  <c r="AM53" i="2"/>
  <c r="AM54" i="2" s="1"/>
  <c r="AM10" i="2"/>
  <c r="AN53" i="2"/>
  <c r="AN10" i="2"/>
  <c r="AO53" i="2"/>
  <c r="AO10" i="2"/>
  <c r="AP53" i="2"/>
  <c r="AP55" i="2" s="1"/>
  <c r="AO6" i="15" s="1"/>
  <c r="AP10" i="2"/>
  <c r="AQ53" i="2"/>
  <c r="AQ54" i="2" s="1"/>
  <c r="AQ10" i="2"/>
  <c r="AR53" i="2"/>
  <c r="AR10" i="2"/>
  <c r="AS53" i="2"/>
  <c r="AS55" i="2" s="1"/>
  <c r="AR6" i="15" s="1"/>
  <c r="AS10" i="2"/>
  <c r="AT53" i="2"/>
  <c r="AT10" i="2"/>
  <c r="AT11" i="2" s="1"/>
  <c r="AU53" i="2"/>
  <c r="AU55" i="2" s="1"/>
  <c r="AU10" i="2"/>
  <c r="AV53" i="2"/>
  <c r="AV54" i="2" s="1"/>
  <c r="AV55" i="2"/>
  <c r="AU6" i="15" s="1"/>
  <c r="AV10" i="2"/>
  <c r="AV12" i="2" s="1"/>
  <c r="AU6" i="8" s="1"/>
  <c r="AW53" i="2"/>
  <c r="AW10" i="2"/>
  <c r="AW12" i="2" s="1"/>
  <c r="AX53" i="2"/>
  <c r="AX55" i="2" s="1"/>
  <c r="AW6" i="15" s="1"/>
  <c r="AX10" i="2"/>
  <c r="AX72" i="5"/>
  <c r="AX86" i="5" s="1"/>
  <c r="AX71" i="5"/>
  <c r="AX73" i="5" s="1"/>
  <c r="AX74" i="5" s="1"/>
  <c r="AX72" i="6"/>
  <c r="AX71" i="6"/>
  <c r="AX72" i="4"/>
  <c r="AX80" i="4"/>
  <c r="AX71" i="4"/>
  <c r="AX72" i="2"/>
  <c r="AX86" i="2" s="1"/>
  <c r="AX71" i="2"/>
  <c r="AX72" i="1"/>
  <c r="AX71" i="1"/>
  <c r="AX39" i="5"/>
  <c r="AX38" i="5"/>
  <c r="AX25" i="4"/>
  <c r="AX26" i="4" s="1"/>
  <c r="AX27" i="4" s="1"/>
  <c r="AX33" i="4"/>
  <c r="AX34" i="4" s="1"/>
  <c r="AX25" i="2"/>
  <c r="AX24" i="2"/>
  <c r="AX25" i="1"/>
  <c r="AX24" i="1"/>
  <c r="AX38" i="4"/>
  <c r="AV63" i="2"/>
  <c r="AV64" i="2" s="1"/>
  <c r="AW63" i="2"/>
  <c r="AX63" i="2"/>
  <c r="AV63" i="6"/>
  <c r="AV64" i="6" s="1"/>
  <c r="AV63" i="5"/>
  <c r="AW55" i="2"/>
  <c r="AV6" i="15" s="1"/>
  <c r="AV55" i="6"/>
  <c r="AU8" i="15" s="1"/>
  <c r="AW12" i="5"/>
  <c r="AV9" i="8" s="1"/>
  <c r="AV25" i="4"/>
  <c r="AV26" i="4" s="1"/>
  <c r="AV27" i="4" s="1"/>
  <c r="AV25" i="1"/>
  <c r="AV25" i="2"/>
  <c r="AV24" i="1"/>
  <c r="AV24" i="2"/>
  <c r="AW25" i="4"/>
  <c r="AW26" i="4" s="1"/>
  <c r="AW28" i="4" s="1"/>
  <c r="AW25" i="1"/>
  <c r="AW25" i="7" s="1"/>
  <c r="AW25" i="2"/>
  <c r="AW26" i="2" s="1"/>
  <c r="AW27" i="2" s="1"/>
  <c r="AW24" i="1"/>
  <c r="AW38" i="1" s="1"/>
  <c r="AW24" i="2"/>
  <c r="AV72" i="4"/>
  <c r="AV86" i="4" s="1"/>
  <c r="AV72" i="6"/>
  <c r="AV86" i="6" s="1"/>
  <c r="AV72" i="1"/>
  <c r="AV72" i="5"/>
  <c r="AV72" i="2"/>
  <c r="AV86" i="2" s="1"/>
  <c r="AV71" i="4"/>
  <c r="AV71" i="6"/>
  <c r="AV85" i="6" s="1"/>
  <c r="AV71" i="1"/>
  <c r="AV71" i="5"/>
  <c r="AW72" i="4"/>
  <c r="AW86" i="4" s="1"/>
  <c r="AW72" i="6"/>
  <c r="AW73" i="6" s="1"/>
  <c r="AW74" i="6" s="1"/>
  <c r="AW72" i="1"/>
  <c r="AW72" i="5"/>
  <c r="AW86" i="5" s="1"/>
  <c r="AW72" i="2"/>
  <c r="AW71" i="4"/>
  <c r="AW71" i="6"/>
  <c r="AW71" i="1"/>
  <c r="AW71" i="5"/>
  <c r="AW85" i="5" s="1"/>
  <c r="AW18" i="1"/>
  <c r="AX18" i="5"/>
  <c r="AX20" i="5" s="1"/>
  <c r="AW9" i="13" s="1"/>
  <c r="AW71" i="2"/>
  <c r="AV71" i="2"/>
  <c r="AV85" i="2" s="1"/>
  <c r="AV31" i="7"/>
  <c r="AW31" i="7"/>
  <c r="AX31" i="7"/>
  <c r="AV32" i="7"/>
  <c r="AW32" i="7"/>
  <c r="AX32" i="7"/>
  <c r="AV38" i="1"/>
  <c r="AV38" i="5"/>
  <c r="AW38" i="5"/>
  <c r="AW38" i="2"/>
  <c r="AV78" i="7"/>
  <c r="AW78" i="7"/>
  <c r="AX78" i="7"/>
  <c r="AV79" i="7"/>
  <c r="AW79" i="7"/>
  <c r="AX79" i="7"/>
  <c r="AW85" i="6"/>
  <c r="AV86" i="5"/>
  <c r="AW54" i="4"/>
  <c r="AV80" i="4"/>
  <c r="AV82" i="4" s="1"/>
  <c r="AW80" i="4"/>
  <c r="AV33" i="4"/>
  <c r="AV35" i="4" s="1"/>
  <c r="AW33" i="4"/>
  <c r="AW34" i="4" s="1"/>
  <c r="AU72" i="6"/>
  <c r="AT72" i="6"/>
  <c r="AS72" i="6"/>
  <c r="AR72" i="6"/>
  <c r="AQ72" i="6"/>
  <c r="AP72" i="6"/>
  <c r="AP86" i="6" s="1"/>
  <c r="AO72" i="6"/>
  <c r="AO86" i="6" s="1"/>
  <c r="AN72" i="6"/>
  <c r="AM72" i="6"/>
  <c r="AU71" i="6"/>
  <c r="AT71" i="6"/>
  <c r="AT85" i="6" s="1"/>
  <c r="AS71" i="6"/>
  <c r="AS85" i="6" s="1"/>
  <c r="AR71" i="6"/>
  <c r="AQ71" i="6"/>
  <c r="AP71" i="6"/>
  <c r="AO71" i="6"/>
  <c r="AO85" i="6" s="1"/>
  <c r="AN71" i="6"/>
  <c r="AV80" i="6"/>
  <c r="AV81" i="6" s="1"/>
  <c r="AW80" i="6"/>
  <c r="AW81" i="6" s="1"/>
  <c r="AX80" i="6"/>
  <c r="AX81" i="6" s="1"/>
  <c r="AV33" i="6"/>
  <c r="AV34" i="6" s="1"/>
  <c r="AW33" i="6"/>
  <c r="AW34" i="6" s="1"/>
  <c r="AX33" i="6"/>
  <c r="AV26" i="6"/>
  <c r="AV27" i="6" s="1"/>
  <c r="AW26" i="6"/>
  <c r="AW27" i="6" s="1"/>
  <c r="AX26" i="6"/>
  <c r="AX27" i="6" s="1"/>
  <c r="AW11" i="5"/>
  <c r="AV26" i="5"/>
  <c r="AV27" i="5" s="1"/>
  <c r="AW26" i="5"/>
  <c r="AW27" i="5" s="1"/>
  <c r="AX26" i="5"/>
  <c r="AX27" i="5" s="1"/>
  <c r="AV33" i="5"/>
  <c r="AV34" i="5" s="1"/>
  <c r="AW33" i="5"/>
  <c r="AW34" i="5" s="1"/>
  <c r="AX33" i="5"/>
  <c r="AX35" i="5" s="1"/>
  <c r="AV80" i="5"/>
  <c r="AV81" i="5" s="1"/>
  <c r="AW80" i="5"/>
  <c r="AX80" i="5"/>
  <c r="AX82" i="5" s="1"/>
  <c r="AV11" i="2"/>
  <c r="AV33" i="2"/>
  <c r="AV34" i="2" s="1"/>
  <c r="AW33" i="2"/>
  <c r="AW34" i="2" s="1"/>
  <c r="AX33" i="2"/>
  <c r="AX35" i="2" s="1"/>
  <c r="AW54" i="2"/>
  <c r="AV80" i="2"/>
  <c r="AV81" i="2" s="1"/>
  <c r="AW80" i="2"/>
  <c r="AW81" i="2" s="1"/>
  <c r="AX80" i="2"/>
  <c r="AV80" i="1"/>
  <c r="AV81" i="1" s="1"/>
  <c r="AW80" i="1"/>
  <c r="AW81" i="1" s="1"/>
  <c r="AX80" i="1"/>
  <c r="AX81" i="1" s="1"/>
  <c r="AV33" i="1"/>
  <c r="AV34" i="1" s="1"/>
  <c r="AW33" i="1"/>
  <c r="AW35" i="1" s="1"/>
  <c r="AX33" i="1"/>
  <c r="AX34" i="1" s="1"/>
  <c r="AW11" i="1"/>
  <c r="AU38" i="5"/>
  <c r="AU63" i="2"/>
  <c r="AT63" i="5"/>
  <c r="AT18" i="5"/>
  <c r="AT20" i="5" s="1"/>
  <c r="AS9" i="13" s="1"/>
  <c r="AT6" i="15"/>
  <c r="AT55" i="5"/>
  <c r="AS9" i="15" s="1"/>
  <c r="AS12" i="1"/>
  <c r="AR5" i="8" s="1"/>
  <c r="AT12" i="2"/>
  <c r="AS6" i="8" s="1"/>
  <c r="AS12" i="6"/>
  <c r="AR8" i="8" s="1"/>
  <c r="AS12" i="5"/>
  <c r="AR9" i="8" s="1"/>
  <c r="AS24" i="1"/>
  <c r="AS24" i="5"/>
  <c r="AT24" i="1"/>
  <c r="AU24" i="1"/>
  <c r="AU24" i="7" s="1"/>
  <c r="AS25" i="1"/>
  <c r="AS25" i="7" s="1"/>
  <c r="AT25" i="1"/>
  <c r="AT25" i="7" s="1"/>
  <c r="AU25" i="1"/>
  <c r="AS31" i="7"/>
  <c r="AT31" i="7"/>
  <c r="AU31" i="7"/>
  <c r="AS32" i="7"/>
  <c r="AT32" i="7"/>
  <c r="AU32" i="7"/>
  <c r="AT38" i="5"/>
  <c r="AU38" i="2"/>
  <c r="AS39" i="6"/>
  <c r="AS39" i="2"/>
  <c r="AT39" i="2"/>
  <c r="AU39" i="4"/>
  <c r="AS71" i="4"/>
  <c r="AS71" i="1"/>
  <c r="AS71" i="5"/>
  <c r="AS72" i="2"/>
  <c r="AT71" i="4"/>
  <c r="AT71" i="1"/>
  <c r="AT71" i="5"/>
  <c r="AT85" i="5" s="1"/>
  <c r="AT72" i="2"/>
  <c r="AU71" i="4"/>
  <c r="AU71" i="1"/>
  <c r="AU71" i="5"/>
  <c r="AU73" i="5" s="1"/>
  <c r="AU74" i="5" s="1"/>
  <c r="AU72" i="2"/>
  <c r="AS72" i="4"/>
  <c r="AS72" i="1"/>
  <c r="AS72" i="5"/>
  <c r="AT72" i="4"/>
  <c r="AT72" i="1"/>
  <c r="AT72" i="5"/>
  <c r="AU72" i="4"/>
  <c r="AU86" i="4" s="1"/>
  <c r="AU72" i="1"/>
  <c r="AU72" i="5"/>
  <c r="AS78" i="7"/>
  <c r="AT78" i="7"/>
  <c r="AU78" i="7"/>
  <c r="AS79" i="7"/>
  <c r="AT79" i="7"/>
  <c r="AU79" i="7"/>
  <c r="AS71" i="2"/>
  <c r="AT71" i="2"/>
  <c r="AT85" i="2" s="1"/>
  <c r="AU71" i="2"/>
  <c r="AS86" i="2"/>
  <c r="AT86" i="2"/>
  <c r="AU86" i="1"/>
  <c r="AQ24" i="1"/>
  <c r="AR24" i="1"/>
  <c r="AR38" i="1" s="1"/>
  <c r="AQ25" i="1"/>
  <c r="AS11" i="1"/>
  <c r="AS33" i="1"/>
  <c r="AS34" i="1" s="1"/>
  <c r="AT33" i="1"/>
  <c r="AT34" i="1" s="1"/>
  <c r="AU33" i="1"/>
  <c r="AU35" i="1" s="1"/>
  <c r="AS54" i="1"/>
  <c r="AS73" i="1"/>
  <c r="AS74" i="1" s="1"/>
  <c r="AS80" i="1"/>
  <c r="AS81" i="1" s="1"/>
  <c r="AT80" i="1"/>
  <c r="AU80" i="1"/>
  <c r="AU81" i="1" s="1"/>
  <c r="AS18" i="2"/>
  <c r="AS19" i="2" s="1"/>
  <c r="AS26" i="2"/>
  <c r="AT26" i="2"/>
  <c r="AT27" i="2" s="1"/>
  <c r="AU26" i="2"/>
  <c r="AU28" i="2" s="1"/>
  <c r="AS33" i="2"/>
  <c r="AS34" i="2" s="1"/>
  <c r="AT33" i="2"/>
  <c r="AU33" i="2"/>
  <c r="AS54" i="2"/>
  <c r="AU54" i="2"/>
  <c r="AS80" i="2"/>
  <c r="AT80" i="2"/>
  <c r="AT82" i="2" s="1"/>
  <c r="AU80" i="2"/>
  <c r="AU81" i="2" s="1"/>
  <c r="AU11" i="6"/>
  <c r="AS26" i="6"/>
  <c r="AS27" i="6" s="1"/>
  <c r="AT26" i="6"/>
  <c r="AT27" i="6" s="1"/>
  <c r="AU26" i="6"/>
  <c r="AU27" i="6" s="1"/>
  <c r="AS33" i="6"/>
  <c r="AS34" i="6" s="1"/>
  <c r="AT33" i="6"/>
  <c r="AU33" i="6"/>
  <c r="AU35" i="6" s="1"/>
  <c r="AS80" i="6"/>
  <c r="AS81" i="6" s="1"/>
  <c r="AT80" i="6"/>
  <c r="AT81" i="6" s="1"/>
  <c r="AU80" i="6"/>
  <c r="AS11" i="5"/>
  <c r="AU11" i="5"/>
  <c r="AT26" i="5"/>
  <c r="AT28" i="5" s="1"/>
  <c r="AU26" i="5"/>
  <c r="AS33" i="5"/>
  <c r="AS34" i="5" s="1"/>
  <c r="AT33" i="5"/>
  <c r="AT34" i="5" s="1"/>
  <c r="AU33" i="5"/>
  <c r="AS80" i="5"/>
  <c r="AS81" i="5" s="1"/>
  <c r="AT80" i="5"/>
  <c r="AT81" i="5" s="1"/>
  <c r="AU80" i="5"/>
  <c r="AU81" i="5" s="1"/>
  <c r="AS80" i="4"/>
  <c r="AS82" i="4" s="1"/>
  <c r="AT80" i="4"/>
  <c r="AU80" i="4"/>
  <c r="AU81" i="4" s="1"/>
  <c r="AU64" i="4"/>
  <c r="AS26" i="4"/>
  <c r="AS27" i="4" s="1"/>
  <c r="AS33" i="4"/>
  <c r="AS34" i="4" s="1"/>
  <c r="AT26" i="4"/>
  <c r="AT33" i="4"/>
  <c r="AT34" i="4" s="1"/>
  <c r="AU26" i="4"/>
  <c r="AU33" i="4"/>
  <c r="AU34" i="4" s="1"/>
  <c r="AR25" i="1"/>
  <c r="AP63" i="1"/>
  <c r="AP65" i="1" s="1"/>
  <c r="AO5" i="14" s="1"/>
  <c r="AR63" i="2"/>
  <c r="AQ63" i="5"/>
  <c r="AP18" i="2"/>
  <c r="AQ55" i="4"/>
  <c r="AP7" i="15" s="1"/>
  <c r="AP55" i="5"/>
  <c r="AO9" i="15" s="1"/>
  <c r="AQ12" i="2"/>
  <c r="AP6" i="8" s="1"/>
  <c r="AQ12" i="5"/>
  <c r="AP9" i="8" s="1"/>
  <c r="AP25" i="4"/>
  <c r="AP39" i="4" s="1"/>
  <c r="AP25" i="1"/>
  <c r="AP25" i="2"/>
  <c r="AP39" i="2"/>
  <c r="AP24" i="4"/>
  <c r="AP24" i="1"/>
  <c r="AP26" i="1" s="1"/>
  <c r="AP27" i="1" s="1"/>
  <c r="AP24" i="5"/>
  <c r="AP24" i="2"/>
  <c r="AQ25" i="4"/>
  <c r="AQ25" i="2"/>
  <c r="AQ24" i="2"/>
  <c r="AR25" i="4"/>
  <c r="AR25" i="2"/>
  <c r="AR39" i="2" s="1"/>
  <c r="AR24" i="2"/>
  <c r="AP72" i="4"/>
  <c r="AP86" i="4" s="1"/>
  <c r="AP72" i="1"/>
  <c r="AP72" i="5"/>
  <c r="AP86" i="5" s="1"/>
  <c r="AP72" i="2"/>
  <c r="AP71" i="4"/>
  <c r="AP71" i="1"/>
  <c r="AP71" i="5"/>
  <c r="AP85" i="5" s="1"/>
  <c r="AQ72" i="4"/>
  <c r="AQ72" i="1"/>
  <c r="AQ86" i="1" s="1"/>
  <c r="AQ72" i="5"/>
  <c r="AQ86" i="5" s="1"/>
  <c r="AQ72" i="2"/>
  <c r="AQ73" i="2" s="1"/>
  <c r="AQ74" i="2" s="1"/>
  <c r="AQ71" i="4"/>
  <c r="AQ71" i="1"/>
  <c r="AQ71" i="5"/>
  <c r="AR72" i="4"/>
  <c r="AR86" i="4" s="1"/>
  <c r="AR72" i="1"/>
  <c r="AR86" i="1" s="1"/>
  <c r="AR72" i="5"/>
  <c r="AR72" i="2"/>
  <c r="AR71" i="4"/>
  <c r="AR73" i="4" s="1"/>
  <c r="AR74" i="4" s="1"/>
  <c r="AR71" i="1"/>
  <c r="AR71" i="5"/>
  <c r="AQ38" i="5"/>
  <c r="AR39" i="5"/>
  <c r="AP80" i="5"/>
  <c r="AQ80" i="5"/>
  <c r="AQ81" i="5" s="1"/>
  <c r="AR80" i="5"/>
  <c r="AR82" i="5" s="1"/>
  <c r="AP54" i="5"/>
  <c r="AP33" i="5"/>
  <c r="AQ33" i="5"/>
  <c r="AQ35" i="5" s="1"/>
  <c r="AR33" i="5"/>
  <c r="AR35" i="5" s="1"/>
  <c r="AQ26" i="5"/>
  <c r="AQ27" i="5" s="1"/>
  <c r="AR26" i="5"/>
  <c r="AR28" i="5" s="1"/>
  <c r="AP11" i="5"/>
  <c r="AQ11" i="5"/>
  <c r="AQ78" i="1"/>
  <c r="AN24" i="1"/>
  <c r="AN38" i="1" s="1"/>
  <c r="AM24" i="1"/>
  <c r="AM38" i="1" s="1"/>
  <c r="AO25" i="1"/>
  <c r="AO39" i="1" s="1"/>
  <c r="AN25" i="1"/>
  <c r="AN39" i="1" s="1"/>
  <c r="AM25" i="1"/>
  <c r="AR80" i="1"/>
  <c r="AR81" i="1" s="1"/>
  <c r="AQ54" i="1"/>
  <c r="AQ33" i="1"/>
  <c r="AQ34" i="1" s="1"/>
  <c r="AR33" i="1"/>
  <c r="AR35" i="1" s="1"/>
  <c r="AP31" i="7"/>
  <c r="AQ31" i="7"/>
  <c r="AR31" i="7"/>
  <c r="AP32" i="7"/>
  <c r="AQ32" i="7"/>
  <c r="AR32" i="7"/>
  <c r="AR38" i="4"/>
  <c r="AP78" i="7"/>
  <c r="AR78" i="7"/>
  <c r="AP79" i="7"/>
  <c r="AQ79" i="7"/>
  <c r="AR79" i="7"/>
  <c r="AP71" i="2"/>
  <c r="AP85" i="2" s="1"/>
  <c r="AQ71" i="2"/>
  <c r="AQ85" i="2" s="1"/>
  <c r="AR71" i="2"/>
  <c r="AR85" i="2" s="1"/>
  <c r="AQ86" i="4"/>
  <c r="AP80" i="2"/>
  <c r="AP82" i="2" s="1"/>
  <c r="AQ80" i="2"/>
  <c r="AQ81" i="2" s="1"/>
  <c r="AR80" i="2"/>
  <c r="AR73" i="2"/>
  <c r="AR74" i="2" s="1"/>
  <c r="AN33" i="2"/>
  <c r="AN34" i="2" s="1"/>
  <c r="AO33" i="2"/>
  <c r="AP33" i="2"/>
  <c r="AP34" i="2" s="1"/>
  <c r="AQ33" i="2"/>
  <c r="AR33" i="2"/>
  <c r="AD33" i="2"/>
  <c r="AD34" i="2" s="1"/>
  <c r="AE33" i="2"/>
  <c r="AE34" i="2" s="1"/>
  <c r="AF33" i="2"/>
  <c r="AF34" i="2" s="1"/>
  <c r="AG33" i="2"/>
  <c r="AG35" i="2" s="1"/>
  <c r="AH33" i="2"/>
  <c r="AH35" i="2" s="1"/>
  <c r="AI33" i="2"/>
  <c r="AI35" i="2" s="1"/>
  <c r="AJ33" i="2"/>
  <c r="AJ35" i="2" s="1"/>
  <c r="AK33" i="2"/>
  <c r="AL33" i="2"/>
  <c r="AL35" i="2" s="1"/>
  <c r="AM33" i="2"/>
  <c r="AM34" i="2" s="1"/>
  <c r="AC33" i="2"/>
  <c r="AC35" i="2" s="1"/>
  <c r="AQ11" i="2"/>
  <c r="AP80" i="6"/>
  <c r="AQ80" i="6"/>
  <c r="AQ82" i="6" s="1"/>
  <c r="AR80" i="6"/>
  <c r="AR82" i="6" s="1"/>
  <c r="AP33" i="6"/>
  <c r="AP35" i="6" s="1"/>
  <c r="AQ33" i="6"/>
  <c r="AR33" i="6"/>
  <c r="AR35" i="6" s="1"/>
  <c r="AP26" i="6"/>
  <c r="AP27" i="6" s="1"/>
  <c r="AQ26" i="6"/>
  <c r="AQ27" i="6" s="1"/>
  <c r="AR26" i="6"/>
  <c r="AR27" i="6" s="1"/>
  <c r="AP33" i="4"/>
  <c r="AP34" i="4" s="1"/>
  <c r="AQ33" i="4"/>
  <c r="AQ35" i="4" s="1"/>
  <c r="AR33" i="4"/>
  <c r="AR34" i="4" s="1"/>
  <c r="AP80" i="4"/>
  <c r="AP81" i="4" s="1"/>
  <c r="AQ80" i="4"/>
  <c r="AR80" i="4"/>
  <c r="AM63" i="1"/>
  <c r="AM65" i="1" s="1"/>
  <c r="AL5" i="14" s="1"/>
  <c r="AN63" i="1"/>
  <c r="AO63" i="1"/>
  <c r="AN63" i="4"/>
  <c r="AN64" i="4" s="1"/>
  <c r="AO63" i="4"/>
  <c r="AO64" i="4" s="1"/>
  <c r="AO63" i="6"/>
  <c r="AO64" i="6" s="1"/>
  <c r="AM63" i="5"/>
  <c r="AM65" i="5" s="1"/>
  <c r="AL9" i="14" s="1"/>
  <c r="AM18" i="1"/>
  <c r="AM67" i="1" s="1"/>
  <c r="AN18" i="1"/>
  <c r="AO18" i="1"/>
  <c r="AO20" i="1" s="1"/>
  <c r="AN5" i="13" s="1"/>
  <c r="AM18" i="2"/>
  <c r="AM20" i="2" s="1"/>
  <c r="AL6" i="13" s="1"/>
  <c r="AN18" i="2"/>
  <c r="AN19" i="2" s="1"/>
  <c r="AO18" i="2"/>
  <c r="AO20" i="2" s="1"/>
  <c r="AN6" i="13" s="1"/>
  <c r="AN18" i="4"/>
  <c r="AM18" i="6"/>
  <c r="AN18" i="5"/>
  <c r="AL5" i="15"/>
  <c r="AN55" i="4"/>
  <c r="AM7" i="15" s="1"/>
  <c r="AN55" i="6"/>
  <c r="AM8" i="15" s="1"/>
  <c r="AO12" i="6"/>
  <c r="AN8" i="8" s="1"/>
  <c r="AO12" i="5"/>
  <c r="AN9" i="8" s="1"/>
  <c r="AM25" i="2"/>
  <c r="AM24" i="2"/>
  <c r="AM24" i="5"/>
  <c r="AN25" i="2"/>
  <c r="AN39" i="2" s="1"/>
  <c r="AN24" i="2"/>
  <c r="AO25" i="2"/>
  <c r="AO24" i="2"/>
  <c r="AM72" i="2"/>
  <c r="AM72" i="4"/>
  <c r="AM72" i="5"/>
  <c r="AM86" i="5" s="1"/>
  <c r="AM71" i="4"/>
  <c r="AM71" i="5"/>
  <c r="AN72" i="2"/>
  <c r="AN72" i="4"/>
  <c r="AN72" i="5"/>
  <c r="AN71" i="4"/>
  <c r="AN71" i="5"/>
  <c r="AN85" i="5" s="1"/>
  <c r="AO72" i="2"/>
  <c r="AO72" i="4"/>
  <c r="AO72" i="5"/>
  <c r="AO71" i="4"/>
  <c r="AO71" i="5"/>
  <c r="AO80" i="4"/>
  <c r="AO81" i="4" s="1"/>
  <c r="AO86" i="2"/>
  <c r="AO71" i="2"/>
  <c r="AO85" i="2" s="1"/>
  <c r="AO86" i="1"/>
  <c r="AO85" i="1"/>
  <c r="AO39" i="5"/>
  <c r="AO38" i="6"/>
  <c r="AO39" i="4"/>
  <c r="AO33" i="4"/>
  <c r="AO34" i="4" s="1"/>
  <c r="AO26" i="4"/>
  <c r="AO27" i="4" s="1"/>
  <c r="AO39" i="2"/>
  <c r="AO38" i="1"/>
  <c r="AM85" i="1"/>
  <c r="AN85" i="1"/>
  <c r="AM86" i="1"/>
  <c r="AN86" i="1"/>
  <c r="AM80" i="1"/>
  <c r="AM82" i="1" s="1"/>
  <c r="AN80" i="1"/>
  <c r="AN81" i="1" s="1"/>
  <c r="AO80" i="1"/>
  <c r="AO82" i="1" s="1"/>
  <c r="AP80" i="1"/>
  <c r="AP81" i="1" s="1"/>
  <c r="AM73" i="1"/>
  <c r="AM74" i="1" s="1"/>
  <c r="AN73" i="1"/>
  <c r="AN74" i="1" s="1"/>
  <c r="AO73" i="1"/>
  <c r="AO74" i="1" s="1"/>
  <c r="AM54" i="1"/>
  <c r="AO54" i="1"/>
  <c r="AM33" i="1"/>
  <c r="AM35" i="1" s="1"/>
  <c r="AN33" i="1"/>
  <c r="AN34" i="1" s="1"/>
  <c r="AO33" i="1"/>
  <c r="AO34" i="1" s="1"/>
  <c r="AP33" i="1"/>
  <c r="AP34" i="1" s="1"/>
  <c r="AO26" i="1"/>
  <c r="AO27" i="1" s="1"/>
  <c r="AN71" i="2"/>
  <c r="AN73" i="2" s="1"/>
  <c r="AM71" i="2"/>
  <c r="AO19" i="2"/>
  <c r="AM26" i="2"/>
  <c r="AM27" i="2" s="1"/>
  <c r="AM38" i="2"/>
  <c r="AM39" i="2"/>
  <c r="AO73" i="2"/>
  <c r="AO75" i="2" s="1"/>
  <c r="AM80" i="2"/>
  <c r="AM81" i="2" s="1"/>
  <c r="AN80" i="2"/>
  <c r="AN81" i="2" s="1"/>
  <c r="AO80" i="2"/>
  <c r="AO81" i="2" s="1"/>
  <c r="AN86" i="2"/>
  <c r="AM31" i="7"/>
  <c r="AN31" i="7"/>
  <c r="AO31" i="7"/>
  <c r="AM32" i="7"/>
  <c r="AN32" i="7"/>
  <c r="AO32" i="7"/>
  <c r="AN38" i="4"/>
  <c r="AN39" i="4"/>
  <c r="AN39" i="5"/>
  <c r="AM78" i="7"/>
  <c r="AN78" i="7"/>
  <c r="AO78" i="7"/>
  <c r="AM79" i="7"/>
  <c r="AN79" i="7"/>
  <c r="AO79" i="7"/>
  <c r="AM80" i="5"/>
  <c r="AM81" i="5" s="1"/>
  <c r="AN80" i="5"/>
  <c r="AO80" i="5"/>
  <c r="AM64" i="5"/>
  <c r="AO54" i="5"/>
  <c r="AM33" i="5"/>
  <c r="AM34" i="5" s="1"/>
  <c r="AN33" i="5"/>
  <c r="AN34" i="5" s="1"/>
  <c r="AO33" i="5"/>
  <c r="AO35" i="5" s="1"/>
  <c r="AN26" i="5"/>
  <c r="AN28" i="5" s="1"/>
  <c r="AO26" i="5"/>
  <c r="AO27" i="5" s="1"/>
  <c r="AO11" i="5"/>
  <c r="AM80" i="6"/>
  <c r="AM81" i="6" s="1"/>
  <c r="AN80" i="6"/>
  <c r="AN81" i="6" s="1"/>
  <c r="AO80" i="6"/>
  <c r="AM73" i="6"/>
  <c r="AM75" i="6" s="1"/>
  <c r="AN54" i="6"/>
  <c r="AM33" i="6"/>
  <c r="AM34" i="6" s="1"/>
  <c r="AN33" i="6"/>
  <c r="AN34" i="6" s="1"/>
  <c r="AO33" i="6"/>
  <c r="AO35" i="6" s="1"/>
  <c r="AM26" i="6"/>
  <c r="AM27" i="6" s="1"/>
  <c r="AN26" i="6"/>
  <c r="AN27" i="6" s="1"/>
  <c r="AO26" i="6"/>
  <c r="AO11" i="6"/>
  <c r="AM33" i="4"/>
  <c r="AM26" i="4"/>
  <c r="AM27" i="4" s="1"/>
  <c r="AN33" i="4"/>
  <c r="AN34" i="4" s="1"/>
  <c r="AN26" i="4"/>
  <c r="AM54" i="4"/>
  <c r="AO54" i="4"/>
  <c r="AM80" i="4"/>
  <c r="AN80" i="4"/>
  <c r="AN82" i="4" s="1"/>
  <c r="AJ63" i="1"/>
  <c r="AJ67" i="1" s="1"/>
  <c r="AK63" i="1"/>
  <c r="AK65" i="1" s="1"/>
  <c r="AJ5" i="14" s="1"/>
  <c r="AL63" i="1"/>
  <c r="AL65" i="1" s="1"/>
  <c r="AK5" i="14" s="1"/>
  <c r="AJ63" i="2"/>
  <c r="AK63" i="2"/>
  <c r="AL63" i="2"/>
  <c r="AL64" i="2" s="1"/>
  <c r="AL63" i="5"/>
  <c r="AL65" i="5" s="1"/>
  <c r="AK9" i="14" s="1"/>
  <c r="AJ18" i="1"/>
  <c r="AJ20" i="1" s="1"/>
  <c r="AI5" i="13" s="1"/>
  <c r="AK18" i="1"/>
  <c r="AK20" i="1" s="1"/>
  <c r="AJ5" i="13" s="1"/>
  <c r="AL18" i="1"/>
  <c r="AL20" i="1" s="1"/>
  <c r="AK5" i="13" s="1"/>
  <c r="AJ18" i="2"/>
  <c r="AK18" i="2"/>
  <c r="AK20" i="2" s="1"/>
  <c r="AJ6" i="13" s="1"/>
  <c r="AL18" i="2"/>
  <c r="AJ18" i="5"/>
  <c r="AJ20" i="5" s="1"/>
  <c r="AI9" i="13" s="1"/>
  <c r="AK55" i="1"/>
  <c r="AJ5" i="15" s="1"/>
  <c r="AL55" i="1"/>
  <c r="AK5" i="15" s="1"/>
  <c r="AJ55" i="2"/>
  <c r="AI6" i="15" s="1"/>
  <c r="AJ55" i="4"/>
  <c r="AI7" i="15" s="1"/>
  <c r="AK55" i="4"/>
  <c r="AJ7" i="15" s="1"/>
  <c r="AJ55" i="6"/>
  <c r="AI8" i="15" s="1"/>
  <c r="AK12" i="2"/>
  <c r="AJ6" i="8" s="1"/>
  <c r="AL12" i="4"/>
  <c r="AK7" i="8" s="1"/>
  <c r="AJ12" i="5"/>
  <c r="AI9" i="8" s="1"/>
  <c r="AK12" i="5"/>
  <c r="AJ9" i="8" s="1"/>
  <c r="AK72" i="4"/>
  <c r="AK72" i="5"/>
  <c r="AK86" i="5" s="1"/>
  <c r="AK72" i="6"/>
  <c r="AL72" i="4"/>
  <c r="AL72" i="5"/>
  <c r="AL86" i="5" s="1"/>
  <c r="AL72" i="6"/>
  <c r="AJ72" i="4"/>
  <c r="AJ72" i="5"/>
  <c r="AJ86" i="5" s="1"/>
  <c r="AJ72" i="6"/>
  <c r="AJ25" i="5"/>
  <c r="AJ24" i="4"/>
  <c r="AJ24" i="5"/>
  <c r="AK25" i="5"/>
  <c r="AK25" i="7" s="1"/>
  <c r="AK24" i="5"/>
  <c r="AL25" i="5"/>
  <c r="AL25" i="7" s="1"/>
  <c r="AL24" i="5"/>
  <c r="AJ71" i="4"/>
  <c r="AJ71" i="5"/>
  <c r="AJ71" i="6"/>
  <c r="AK71" i="4"/>
  <c r="AK73" i="4" s="1"/>
  <c r="AK71" i="5"/>
  <c r="AK85" i="5" s="1"/>
  <c r="AK71" i="6"/>
  <c r="AL71" i="4"/>
  <c r="AL71" i="5"/>
  <c r="AL85" i="5" s="1"/>
  <c r="AL71" i="6"/>
  <c r="AL80" i="5"/>
  <c r="AL82" i="5" s="1"/>
  <c r="AK80" i="5"/>
  <c r="AK82" i="5" s="1"/>
  <c r="AJ80" i="5"/>
  <c r="AJ82" i="5" s="1"/>
  <c r="AK64" i="5"/>
  <c r="AL54" i="5"/>
  <c r="AJ54" i="5"/>
  <c r="AL33" i="5"/>
  <c r="AL35" i="5" s="1"/>
  <c r="AK33" i="5"/>
  <c r="AK35" i="5" s="1"/>
  <c r="AJ33" i="5"/>
  <c r="AJ35" i="5" s="1"/>
  <c r="AK11" i="5"/>
  <c r="AJ85" i="2"/>
  <c r="AK85" i="2"/>
  <c r="AL85" i="2"/>
  <c r="AJ86" i="2"/>
  <c r="AK86" i="2"/>
  <c r="AL86" i="2"/>
  <c r="AJ73" i="2"/>
  <c r="AJ74" i="2" s="1"/>
  <c r="AK73" i="2"/>
  <c r="AK74" i="2" s="1"/>
  <c r="AL73" i="2"/>
  <c r="AL75" i="2" s="1"/>
  <c r="AA80" i="2"/>
  <c r="AA81" i="2" s="1"/>
  <c r="AB80" i="2"/>
  <c r="AB81" i="2" s="1"/>
  <c r="AC80" i="2"/>
  <c r="AC82" i="2" s="1"/>
  <c r="AD80" i="2"/>
  <c r="AD81" i="2" s="1"/>
  <c r="AE80" i="2"/>
  <c r="AE82" i="2" s="1"/>
  <c r="AF80" i="2"/>
  <c r="AG80" i="2"/>
  <c r="AG81" i="2" s="1"/>
  <c r="AH80" i="2"/>
  <c r="AH81" i="2" s="1"/>
  <c r="AI80" i="2"/>
  <c r="AL80" i="2"/>
  <c r="AL82" i="2" s="1"/>
  <c r="AK80" i="2"/>
  <c r="AK81" i="2" s="1"/>
  <c r="AJ80" i="2"/>
  <c r="AJ81" i="2" s="1"/>
  <c r="AK54" i="2"/>
  <c r="AJ38" i="2"/>
  <c r="AK38" i="2"/>
  <c r="AL38" i="2"/>
  <c r="AJ39" i="2"/>
  <c r="AK39" i="2"/>
  <c r="AL39" i="2"/>
  <c r="AJ26" i="2"/>
  <c r="AJ27" i="2" s="1"/>
  <c r="AK26" i="2"/>
  <c r="AL26" i="2"/>
  <c r="AJ11" i="2"/>
  <c r="AL11" i="2"/>
  <c r="AJ38" i="1"/>
  <c r="AK38" i="1"/>
  <c r="AL38" i="1"/>
  <c r="AJ39" i="1"/>
  <c r="AK39" i="1"/>
  <c r="AL39" i="1"/>
  <c r="AJ33" i="1"/>
  <c r="AJ34" i="1" s="1"/>
  <c r="AK33" i="1"/>
  <c r="AK34" i="1" s="1"/>
  <c r="AL33" i="1"/>
  <c r="AL35" i="1" s="1"/>
  <c r="AJ26" i="1"/>
  <c r="AJ27" i="1" s="1"/>
  <c r="AK26" i="1"/>
  <c r="AK28" i="1" s="1"/>
  <c r="AL26" i="1"/>
  <c r="AL27" i="1" s="1"/>
  <c r="AJ19" i="1"/>
  <c r="AL11" i="1"/>
  <c r="AJ31" i="7"/>
  <c r="AK31" i="7"/>
  <c r="AL31" i="7"/>
  <c r="AJ32" i="7"/>
  <c r="AK32" i="7"/>
  <c r="AL32" i="7"/>
  <c r="AK38" i="4"/>
  <c r="AJ39" i="4"/>
  <c r="AK39" i="4"/>
  <c r="AK39" i="6"/>
  <c r="AL39" i="4"/>
  <c r="AJ78" i="6"/>
  <c r="AJ80" i="6" s="1"/>
  <c r="AK78" i="7"/>
  <c r="AL78" i="7"/>
  <c r="AJ79" i="7"/>
  <c r="AK79" i="7"/>
  <c r="AL79" i="7"/>
  <c r="AJ85" i="1"/>
  <c r="AK85" i="1"/>
  <c r="AL85" i="1"/>
  <c r="AJ86" i="1"/>
  <c r="AK86" i="1"/>
  <c r="AL86" i="1"/>
  <c r="AK80" i="6"/>
  <c r="AK82" i="6" s="1"/>
  <c r="AL80" i="6"/>
  <c r="AJ33" i="6"/>
  <c r="AJ34" i="6" s="1"/>
  <c r="AK33" i="6"/>
  <c r="AK34" i="6" s="1"/>
  <c r="AL33" i="6"/>
  <c r="AL35" i="6" s="1"/>
  <c r="AJ26" i="6"/>
  <c r="AJ28" i="6" s="1"/>
  <c r="AK26" i="6"/>
  <c r="AK27" i="6" s="1"/>
  <c r="AL26" i="6"/>
  <c r="AK11" i="6"/>
  <c r="AJ80" i="4"/>
  <c r="AJ81" i="4" s="1"/>
  <c r="AK80" i="4"/>
  <c r="AK81" i="4" s="1"/>
  <c r="AL80" i="4"/>
  <c r="AL81" i="4" s="1"/>
  <c r="AJ54" i="4"/>
  <c r="AK54" i="4"/>
  <c r="AJ33" i="4"/>
  <c r="AJ35" i="4" s="1"/>
  <c r="AK33" i="4"/>
  <c r="AK34" i="4" s="1"/>
  <c r="AK26" i="4"/>
  <c r="AK28" i="4" s="1"/>
  <c r="AL33" i="4"/>
  <c r="AL26" i="4"/>
  <c r="AL27" i="4" s="1"/>
  <c r="AL11" i="4"/>
  <c r="AG63" i="1"/>
  <c r="AH63" i="1"/>
  <c r="AI63" i="1"/>
  <c r="AI65" i="1" s="1"/>
  <c r="AH5" i="14" s="1"/>
  <c r="AG63" i="2"/>
  <c r="AG65" i="2" s="1"/>
  <c r="AF6" i="14" s="1"/>
  <c r="AH63" i="2"/>
  <c r="AI63" i="2"/>
  <c r="AH63" i="5"/>
  <c r="AI63" i="5"/>
  <c r="AI64" i="5" s="1"/>
  <c r="AG18" i="1"/>
  <c r="AH18" i="1"/>
  <c r="AI18" i="1"/>
  <c r="AG18" i="2"/>
  <c r="AG20" i="2" s="1"/>
  <c r="AF6" i="13" s="1"/>
  <c r="AH18" i="2"/>
  <c r="AH20" i="2" s="1"/>
  <c r="AG6" i="13" s="1"/>
  <c r="AI18" i="2"/>
  <c r="AI20" i="2" s="1"/>
  <c r="AH6" i="13" s="1"/>
  <c r="AG18" i="6"/>
  <c r="AG55" i="1"/>
  <c r="AF5" i="15" s="1"/>
  <c r="AI55" i="1"/>
  <c r="AH5" i="15" s="1"/>
  <c r="AG55" i="2"/>
  <c r="AF6" i="15" s="1"/>
  <c r="AI55" i="2"/>
  <c r="AH6" i="15" s="1"/>
  <c r="AG55" i="4"/>
  <c r="AF7" i="15" s="1"/>
  <c r="AI55" i="4"/>
  <c r="AH7" i="15" s="1"/>
  <c r="AG55" i="6"/>
  <c r="AF8" i="15" s="1"/>
  <c r="AH55" i="5"/>
  <c r="AG9" i="15" s="1"/>
  <c r="AI55" i="5"/>
  <c r="AH9" i="15" s="1"/>
  <c r="AG12" i="2"/>
  <c r="AF6" i="8" s="1"/>
  <c r="AH12" i="2"/>
  <c r="AG6" i="8" s="1"/>
  <c r="AI12" i="2"/>
  <c r="AH6" i="8" s="1"/>
  <c r="AH12" i="4"/>
  <c r="AG7" i="8" s="1"/>
  <c r="AG12" i="6"/>
  <c r="AF8" i="8" s="1"/>
  <c r="AI12" i="6"/>
  <c r="AH8" i="8" s="1"/>
  <c r="AG12" i="5"/>
  <c r="AF9" i="8" s="1"/>
  <c r="AH12" i="5"/>
  <c r="AG9" i="8" s="1"/>
  <c r="AG25" i="4"/>
  <c r="AG25" i="5"/>
  <c r="AG39" i="5" s="1"/>
  <c r="AG25" i="6"/>
  <c r="AG24" i="4"/>
  <c r="AG24" i="5"/>
  <c r="AG24" i="6"/>
  <c r="AG38" i="6" s="1"/>
  <c r="AH25" i="4"/>
  <c r="AH25" i="5"/>
  <c r="AH25" i="6"/>
  <c r="AH24" i="4"/>
  <c r="AH26" i="4" s="1"/>
  <c r="AH24" i="5"/>
  <c r="AH24" i="6"/>
  <c r="AI25" i="4"/>
  <c r="AI25" i="5"/>
  <c r="AI25" i="6"/>
  <c r="AI24" i="4"/>
  <c r="AI24" i="5"/>
  <c r="AI24" i="6"/>
  <c r="AG72" i="4"/>
  <c r="AG72" i="5"/>
  <c r="AG73" i="5" s="1"/>
  <c r="AG74" i="5" s="1"/>
  <c r="AG72" i="6"/>
  <c r="AG71" i="4"/>
  <c r="AG71" i="6"/>
  <c r="AH72" i="4"/>
  <c r="AH72" i="5"/>
  <c r="AH86" i="5" s="1"/>
  <c r="AH72" i="6"/>
  <c r="AH73" i="6" s="1"/>
  <c r="AH71" i="4"/>
  <c r="AH71" i="5"/>
  <c r="AH85" i="5" s="1"/>
  <c r="AH73" i="5"/>
  <c r="AH74" i="5" s="1"/>
  <c r="AH71" i="6"/>
  <c r="AI72" i="4"/>
  <c r="AI72" i="5"/>
  <c r="AI86" i="5" s="1"/>
  <c r="AI72" i="6"/>
  <c r="AI71" i="4"/>
  <c r="AI71" i="5"/>
  <c r="AI85" i="5" s="1"/>
  <c r="AI71" i="6"/>
  <c r="AI86" i="2"/>
  <c r="AI85" i="2"/>
  <c r="AI39" i="2"/>
  <c r="AI38" i="2"/>
  <c r="AI86" i="1"/>
  <c r="AI85" i="1"/>
  <c r="AI39" i="1"/>
  <c r="AI38" i="1"/>
  <c r="AG11" i="2"/>
  <c r="AI11" i="2"/>
  <c r="AH19" i="2"/>
  <c r="AG26" i="2"/>
  <c r="AG27" i="2" s="1"/>
  <c r="AH26" i="2"/>
  <c r="AH27" i="2" s="1"/>
  <c r="AI26" i="2"/>
  <c r="AI28" i="2" s="1"/>
  <c r="AG38" i="2"/>
  <c r="AH38" i="2"/>
  <c r="AG39" i="2"/>
  <c r="AH39" i="2"/>
  <c r="AG54" i="2"/>
  <c r="AI54" i="2"/>
  <c r="AI64" i="2"/>
  <c r="AG73" i="2"/>
  <c r="AG74" i="2" s="1"/>
  <c r="AH73" i="2"/>
  <c r="AH74" i="2" s="1"/>
  <c r="AI73" i="2"/>
  <c r="AI75" i="2" s="1"/>
  <c r="AG85" i="2"/>
  <c r="AH85" i="2"/>
  <c r="AG86" i="2"/>
  <c r="AH86" i="2"/>
  <c r="AG31" i="4"/>
  <c r="AG31" i="7" s="1"/>
  <c r="AH31" i="7"/>
  <c r="AI31" i="7"/>
  <c r="AG32" i="7"/>
  <c r="AH32" i="7"/>
  <c r="AI32" i="7"/>
  <c r="AG38" i="1"/>
  <c r="AH38" i="1"/>
  <c r="AH38" i="5"/>
  <c r="AG39" i="1"/>
  <c r="AH39" i="1"/>
  <c r="AH39" i="4"/>
  <c r="AG78" i="4"/>
  <c r="AH78" i="7"/>
  <c r="AI78" i="7"/>
  <c r="AG79" i="7"/>
  <c r="AH79" i="7"/>
  <c r="AI79" i="7"/>
  <c r="AG85" i="1"/>
  <c r="AH85" i="1"/>
  <c r="AG86" i="1"/>
  <c r="AG86" i="4"/>
  <c r="AH86" i="1"/>
  <c r="AG11" i="5"/>
  <c r="AH11" i="5"/>
  <c r="AH26" i="5"/>
  <c r="AH27" i="5" s="1"/>
  <c r="AG33" i="5"/>
  <c r="AG34" i="5" s="1"/>
  <c r="AH33" i="5"/>
  <c r="AH34" i="5" s="1"/>
  <c r="AI33" i="5"/>
  <c r="AI34" i="5" s="1"/>
  <c r="AH54" i="5"/>
  <c r="AG80" i="5"/>
  <c r="AG81" i="5" s="1"/>
  <c r="AH80" i="5"/>
  <c r="AH81" i="5" s="1"/>
  <c r="AI80" i="5"/>
  <c r="AH11" i="4"/>
  <c r="AH33" i="4"/>
  <c r="AH34" i="4" s="1"/>
  <c r="AI33" i="4"/>
  <c r="AG54" i="4"/>
  <c r="AI54" i="4"/>
  <c r="AG73" i="4"/>
  <c r="AG74" i="4" s="1"/>
  <c r="AH80" i="4"/>
  <c r="AH81" i="4" s="1"/>
  <c r="AI80" i="4"/>
  <c r="AG80" i="6"/>
  <c r="AG81" i="6" s="1"/>
  <c r="AH80" i="6"/>
  <c r="AH81" i="6" s="1"/>
  <c r="AI80" i="6"/>
  <c r="AI81" i="6" s="1"/>
  <c r="AG54" i="6"/>
  <c r="AH54" i="6"/>
  <c r="AG33" i="6"/>
  <c r="AG35" i="6" s="1"/>
  <c r="AH33" i="6"/>
  <c r="AI33" i="6"/>
  <c r="AI35" i="6" s="1"/>
  <c r="AG11" i="6"/>
  <c r="AI11" i="6"/>
  <c r="AH11" i="1"/>
  <c r="AG26" i="1"/>
  <c r="AG27" i="1" s="1"/>
  <c r="AH26" i="1"/>
  <c r="AH27" i="1" s="1"/>
  <c r="AI26" i="1"/>
  <c r="AI28" i="1" s="1"/>
  <c r="AG33" i="1"/>
  <c r="AG34" i="1" s="1"/>
  <c r="AH33" i="1"/>
  <c r="AH35" i="1" s="1"/>
  <c r="AI33" i="1"/>
  <c r="AI34" i="1" s="1"/>
  <c r="AG54" i="1"/>
  <c r="AI54" i="1"/>
  <c r="AG73" i="1"/>
  <c r="AG74" i="1" s="1"/>
  <c r="AH73" i="1"/>
  <c r="AH74" i="1" s="1"/>
  <c r="AI73" i="1"/>
  <c r="AG80" i="1"/>
  <c r="AG81" i="1" s="1"/>
  <c r="AH80" i="1"/>
  <c r="AH82" i="1" s="1"/>
  <c r="AI80" i="1"/>
  <c r="AI81" i="1" s="1"/>
  <c r="AF86" i="1"/>
  <c r="AF85" i="1"/>
  <c r="AF39" i="1"/>
  <c r="AF38" i="1"/>
  <c r="AD63" i="5"/>
  <c r="AD65" i="5" s="1"/>
  <c r="AC9" i="14" s="1"/>
  <c r="AF63" i="2"/>
  <c r="AF64" i="2" s="1"/>
  <c r="AE63" i="2"/>
  <c r="AE64" i="2" s="1"/>
  <c r="AD63" i="2"/>
  <c r="AF63" i="1"/>
  <c r="AE63" i="1"/>
  <c r="AD63" i="1"/>
  <c r="AD65" i="1" s="1"/>
  <c r="AC5" i="14" s="1"/>
  <c r="AE18" i="6"/>
  <c r="AF18" i="4"/>
  <c r="AF18" i="2"/>
  <c r="AE18" i="2"/>
  <c r="AE20" i="2" s="1"/>
  <c r="AD6" i="13" s="1"/>
  <c r="AD18" i="2"/>
  <c r="AD20" i="2" s="1"/>
  <c r="AC6" i="13" s="1"/>
  <c r="AF18" i="1"/>
  <c r="AE18" i="1"/>
  <c r="AE20" i="1" s="1"/>
  <c r="AD5" i="13" s="1"/>
  <c r="AD18" i="1"/>
  <c r="AD55" i="5"/>
  <c r="AC9" i="15" s="1"/>
  <c r="AE55" i="6"/>
  <c r="AD8" i="15" s="1"/>
  <c r="AD55" i="6"/>
  <c r="AC8" i="15" s="1"/>
  <c r="AF55" i="4"/>
  <c r="AE7" i="15" s="1"/>
  <c r="AE55" i="4"/>
  <c r="AD7" i="15" s="1"/>
  <c r="AD55" i="4"/>
  <c r="AC7" i="15" s="1"/>
  <c r="AF55" i="2"/>
  <c r="AE6" i="15" s="1"/>
  <c r="AE55" i="2"/>
  <c r="AD6" i="15" s="1"/>
  <c r="AD55" i="2"/>
  <c r="AC6" i="15" s="1"/>
  <c r="AE55" i="1"/>
  <c r="AD5" i="15" s="1"/>
  <c r="AD55" i="1"/>
  <c r="AC5" i="15" s="1"/>
  <c r="AF12" i="5"/>
  <c r="AE9" i="8" s="1"/>
  <c r="AD12" i="5"/>
  <c r="AC9" i="8" s="1"/>
  <c r="AE12" i="6"/>
  <c r="AD8" i="8" s="1"/>
  <c r="AF12" i="2"/>
  <c r="AE6" i="8" s="1"/>
  <c r="AE12" i="2"/>
  <c r="AD6" i="8" s="1"/>
  <c r="AF72" i="4"/>
  <c r="AF72" i="5"/>
  <c r="AF86" i="5" s="1"/>
  <c r="AF72" i="6"/>
  <c r="AF71" i="4"/>
  <c r="AF85" i="4" s="1"/>
  <c r="AF71" i="5"/>
  <c r="AF71" i="6"/>
  <c r="AE72" i="4"/>
  <c r="AE72" i="5"/>
  <c r="AE86" i="5" s="1"/>
  <c r="AE72" i="6"/>
  <c r="AE71" i="4"/>
  <c r="AE71" i="5"/>
  <c r="AE71" i="6"/>
  <c r="AD72" i="4"/>
  <c r="AD86" i="4" s="1"/>
  <c r="AD72" i="5"/>
  <c r="AD86" i="5" s="1"/>
  <c r="AD72" i="6"/>
  <c r="AD71" i="4"/>
  <c r="AD85" i="4" s="1"/>
  <c r="AD71" i="5"/>
  <c r="AD71" i="6"/>
  <c r="AF25" i="4"/>
  <c r="AF25" i="5"/>
  <c r="AF39" i="5" s="1"/>
  <c r="AF25" i="6"/>
  <c r="AF39" i="6" s="1"/>
  <c r="AF24" i="4"/>
  <c r="AF24" i="5"/>
  <c r="AF24" i="6"/>
  <c r="AF38" i="6" s="1"/>
  <c r="AE25" i="4"/>
  <c r="AE25" i="5"/>
  <c r="AE39" i="5" s="1"/>
  <c r="AE25" i="6"/>
  <c r="AE24" i="4"/>
  <c r="AE38" i="4" s="1"/>
  <c r="AE24" i="5"/>
  <c r="AE24" i="6"/>
  <c r="AE38" i="6" s="1"/>
  <c r="AD25" i="4"/>
  <c r="AD39" i="4" s="1"/>
  <c r="AD25" i="5"/>
  <c r="AD39" i="5" s="1"/>
  <c r="AD25" i="6"/>
  <c r="AD39" i="6" s="1"/>
  <c r="AD24" i="4"/>
  <c r="AD24" i="5"/>
  <c r="AD24" i="6"/>
  <c r="AF86" i="2"/>
  <c r="AF85" i="2"/>
  <c r="AF85" i="5"/>
  <c r="AE86" i="1"/>
  <c r="AE86" i="2"/>
  <c r="AE86" i="6"/>
  <c r="AE85" i="1"/>
  <c r="AE85" i="2"/>
  <c r="AD86" i="1"/>
  <c r="AD86" i="2"/>
  <c r="AD85" i="1"/>
  <c r="AD85" i="2"/>
  <c r="AF79" i="7"/>
  <c r="AF78" i="7"/>
  <c r="AE79" i="7"/>
  <c r="AE78" i="7"/>
  <c r="AD79" i="7"/>
  <c r="AD78" i="7"/>
  <c r="AF39" i="2"/>
  <c r="AF38" i="2"/>
  <c r="AE39" i="1"/>
  <c r="AE39" i="2"/>
  <c r="AE38" i="1"/>
  <c r="AE38" i="2"/>
  <c r="AD39" i="1"/>
  <c r="AD39" i="2"/>
  <c r="AD38" i="1"/>
  <c r="AD38" i="2"/>
  <c r="AF32" i="7"/>
  <c r="AF31" i="7"/>
  <c r="AE32" i="7"/>
  <c r="AE31" i="7"/>
  <c r="AD32" i="7"/>
  <c r="AD31" i="7"/>
  <c r="AF80" i="4"/>
  <c r="AF81" i="4" s="1"/>
  <c r="AE80" i="4"/>
  <c r="AE81" i="4" s="1"/>
  <c r="AD80" i="4"/>
  <c r="AD81" i="4" s="1"/>
  <c r="AF54" i="4"/>
  <c r="AE54" i="4"/>
  <c r="AD54" i="4"/>
  <c r="AF33" i="4"/>
  <c r="AF35" i="4" s="1"/>
  <c r="AE33" i="4"/>
  <c r="AD33" i="4"/>
  <c r="AD34" i="4" s="1"/>
  <c r="AF80" i="6"/>
  <c r="AF82" i="6" s="1"/>
  <c r="AE80" i="6"/>
  <c r="AE82" i="6" s="1"/>
  <c r="AD80" i="6"/>
  <c r="AD82" i="6" s="1"/>
  <c r="AF54" i="6"/>
  <c r="AE54" i="6"/>
  <c r="AF33" i="6"/>
  <c r="AE33" i="6"/>
  <c r="AE35" i="6" s="1"/>
  <c r="AD33" i="6"/>
  <c r="AD35" i="6" s="1"/>
  <c r="AE11" i="6"/>
  <c r="AF73" i="2"/>
  <c r="AF75" i="2" s="1"/>
  <c r="AE73" i="2"/>
  <c r="AD73" i="2"/>
  <c r="AD74" i="2" s="1"/>
  <c r="AF54" i="2"/>
  <c r="AE54" i="2"/>
  <c r="AD54" i="2"/>
  <c r="AF26" i="2"/>
  <c r="AE26" i="2"/>
  <c r="AD26" i="2"/>
  <c r="AD28" i="2" s="1"/>
  <c r="AD19" i="2"/>
  <c r="AF11" i="2"/>
  <c r="AE11" i="2"/>
  <c r="AF33" i="1"/>
  <c r="AF35" i="1" s="1"/>
  <c r="AE33" i="1"/>
  <c r="AE35" i="1" s="1"/>
  <c r="AD33" i="1"/>
  <c r="AD35" i="1" s="1"/>
  <c r="AF26" i="1"/>
  <c r="AF28" i="1" s="1"/>
  <c r="AE26" i="1"/>
  <c r="AE28" i="1" s="1"/>
  <c r="AD26" i="1"/>
  <c r="AD28" i="1" s="1"/>
  <c r="AF80" i="5"/>
  <c r="AF82" i="5" s="1"/>
  <c r="AE80" i="5"/>
  <c r="AE82" i="5" s="1"/>
  <c r="AD80" i="5"/>
  <c r="AD82" i="5" s="1"/>
  <c r="AD64" i="5"/>
  <c r="AD54" i="5"/>
  <c r="AF33" i="5"/>
  <c r="AF35" i="5" s="1"/>
  <c r="AE33" i="5"/>
  <c r="AE35" i="5" s="1"/>
  <c r="AD33" i="5"/>
  <c r="AD34" i="5" s="1"/>
  <c r="AF11" i="5"/>
  <c r="AD11" i="5"/>
  <c r="AB63" i="5"/>
  <c r="AB64" i="5" s="1"/>
  <c r="AA63" i="5"/>
  <c r="AA65" i="5" s="1"/>
  <c r="Z9" i="14" s="1"/>
  <c r="AB63" i="4"/>
  <c r="AB65" i="4" s="1"/>
  <c r="AC63" i="2"/>
  <c r="AC65" i="2" s="1"/>
  <c r="AB6" i="14" s="1"/>
  <c r="AB63" i="2"/>
  <c r="AA63" i="2"/>
  <c r="AC63" i="1"/>
  <c r="AB63" i="1"/>
  <c r="AB64" i="1" s="1"/>
  <c r="AA63" i="1"/>
  <c r="AA65" i="1" s="1"/>
  <c r="Z5" i="14" s="1"/>
  <c r="AC18" i="6"/>
  <c r="AC18" i="2"/>
  <c r="AB18" i="2"/>
  <c r="AA18" i="2"/>
  <c r="AA67" i="2" s="1"/>
  <c r="AC18" i="1"/>
  <c r="AB18" i="1"/>
  <c r="AB20" i="1" s="1"/>
  <c r="AA5" i="13" s="1"/>
  <c r="AA18" i="1"/>
  <c r="AA19" i="1" s="1"/>
  <c r="AB55" i="5"/>
  <c r="AA9" i="15" s="1"/>
  <c r="AA55" i="5"/>
  <c r="Z9" i="15" s="1"/>
  <c r="AC55" i="6"/>
  <c r="AB8" i="15" s="1"/>
  <c r="AA55" i="6"/>
  <c r="Z8" i="15" s="1"/>
  <c r="AC55" i="4"/>
  <c r="AB7" i="15" s="1"/>
  <c r="AB55" i="4"/>
  <c r="AA7" i="15" s="1"/>
  <c r="AA55" i="4"/>
  <c r="Z7" i="15" s="1"/>
  <c r="AB55" i="2"/>
  <c r="AA6" i="15" s="1"/>
  <c r="AA55" i="2"/>
  <c r="Z6" i="15" s="1"/>
  <c r="AC55" i="1"/>
  <c r="AB5" i="15" s="1"/>
  <c r="AA55" i="1"/>
  <c r="Z5" i="15" s="1"/>
  <c r="AB12" i="5"/>
  <c r="AA9" i="8" s="1"/>
  <c r="AC12" i="6"/>
  <c r="AB8" i="8" s="1"/>
  <c r="AA12" i="6"/>
  <c r="Z8" i="8" s="1"/>
  <c r="AC12" i="2"/>
  <c r="AB6" i="8" s="1"/>
  <c r="AB12" i="2"/>
  <c r="AA6" i="8" s="1"/>
  <c r="AA12" i="2"/>
  <c r="Z6" i="8"/>
  <c r="AC72" i="4"/>
  <c r="AC72" i="5"/>
  <c r="AC86" i="5" s="1"/>
  <c r="AC72" i="6"/>
  <c r="AC72" i="7" s="1"/>
  <c r="AC71" i="4"/>
  <c r="AC71" i="5"/>
  <c r="AC71" i="6"/>
  <c r="AC25" i="4"/>
  <c r="AC25" i="5"/>
  <c r="AC39" i="5" s="1"/>
  <c r="AC25" i="6"/>
  <c r="AC24" i="4"/>
  <c r="AC24" i="5"/>
  <c r="AC24" i="6"/>
  <c r="AB72" i="4"/>
  <c r="AB72" i="5"/>
  <c r="AB72" i="6"/>
  <c r="AB71" i="4"/>
  <c r="AB71" i="5"/>
  <c r="AB71" i="6"/>
  <c r="AA72" i="4"/>
  <c r="AA72" i="5"/>
  <c r="AA86" i="5" s="1"/>
  <c r="AA72" i="6"/>
  <c r="AA71" i="4"/>
  <c r="AA71" i="5"/>
  <c r="AA71" i="6"/>
  <c r="AB25" i="4"/>
  <c r="AB25" i="5"/>
  <c r="AB25" i="6"/>
  <c r="AB39" i="6" s="1"/>
  <c r="AB24" i="4"/>
  <c r="AB24" i="5"/>
  <c r="AB24" i="6"/>
  <c r="AA25" i="4"/>
  <c r="AA25" i="5"/>
  <c r="AA39" i="5" s="1"/>
  <c r="AA25" i="6"/>
  <c r="AA24" i="4"/>
  <c r="AA24" i="5"/>
  <c r="AA26" i="5" s="1"/>
  <c r="AA27" i="5" s="1"/>
  <c r="AA24" i="6"/>
  <c r="AA38" i="6" s="1"/>
  <c r="AA54" i="1"/>
  <c r="AC86" i="1"/>
  <c r="AC85" i="1"/>
  <c r="AB86" i="1"/>
  <c r="AB85" i="1"/>
  <c r="AA86" i="1"/>
  <c r="AA85" i="1"/>
  <c r="AL80" i="1"/>
  <c r="AL82" i="1" s="1"/>
  <c r="AK80" i="1"/>
  <c r="AK82" i="1" s="1"/>
  <c r="AJ80" i="1"/>
  <c r="AJ82" i="1" s="1"/>
  <c r="AF80" i="1"/>
  <c r="AF82" i="1" s="1"/>
  <c r="AE80" i="1"/>
  <c r="AE82" i="1" s="1"/>
  <c r="AD80" i="1"/>
  <c r="AD82" i="1" s="1"/>
  <c r="AC80" i="1"/>
  <c r="AC82" i="1" s="1"/>
  <c r="AB80" i="1"/>
  <c r="AA80" i="1"/>
  <c r="AA82" i="1" s="1"/>
  <c r="AL73" i="1"/>
  <c r="AL75" i="1" s="1"/>
  <c r="AK73" i="1"/>
  <c r="AK75" i="1" s="1"/>
  <c r="AJ73" i="1"/>
  <c r="AJ75" i="1" s="1"/>
  <c r="AF73" i="1"/>
  <c r="AF75" i="1" s="1"/>
  <c r="AE73" i="1"/>
  <c r="AE75" i="1" s="1"/>
  <c r="AD73" i="1"/>
  <c r="AC73" i="1"/>
  <c r="AC75" i="1" s="1"/>
  <c r="AB73" i="1"/>
  <c r="AB75" i="1" s="1"/>
  <c r="AA73" i="1"/>
  <c r="AA75" i="1" s="1"/>
  <c r="AK64" i="1"/>
  <c r="AK54" i="1"/>
  <c r="AE54" i="1"/>
  <c r="AC54" i="1"/>
  <c r="AC86" i="2"/>
  <c r="AC85" i="2"/>
  <c r="AB86" i="2"/>
  <c r="AB85" i="2"/>
  <c r="AA86" i="2"/>
  <c r="AA85" i="2"/>
  <c r="AC79" i="7"/>
  <c r="AC78" i="7"/>
  <c r="AB79" i="7"/>
  <c r="AB78" i="7"/>
  <c r="AA79" i="7"/>
  <c r="AA78" i="7"/>
  <c r="AC39" i="1"/>
  <c r="AC39" i="2"/>
  <c r="AC38" i="1"/>
  <c r="AC38" i="2"/>
  <c r="AB39" i="1"/>
  <c r="AB39" i="2"/>
  <c r="AB39" i="4"/>
  <c r="AB38" i="1"/>
  <c r="AB38" i="2"/>
  <c r="AA39" i="1"/>
  <c r="AA39" i="2"/>
  <c r="AA38" i="1"/>
  <c r="AA38" i="2"/>
  <c r="AC32" i="7"/>
  <c r="AC31" i="7"/>
  <c r="AB32" i="7"/>
  <c r="AB31" i="7"/>
  <c r="AA32" i="7"/>
  <c r="AA31" i="7"/>
  <c r="AC80" i="4"/>
  <c r="AC82" i="4" s="1"/>
  <c r="AB80" i="4"/>
  <c r="AA80" i="4"/>
  <c r="AA82" i="4" s="1"/>
  <c r="AC54" i="4"/>
  <c r="AB54" i="4"/>
  <c r="AA54" i="4"/>
  <c r="AC33" i="4"/>
  <c r="AC35" i="4" s="1"/>
  <c r="AB33" i="4"/>
  <c r="AB35" i="4" s="1"/>
  <c r="AA33" i="4"/>
  <c r="AA35" i="4" s="1"/>
  <c r="AC80" i="6"/>
  <c r="AB80" i="6"/>
  <c r="AB82" i="6" s="1"/>
  <c r="AA80" i="6"/>
  <c r="AA73" i="6"/>
  <c r="AA75" i="6" s="1"/>
  <c r="AC54" i="6"/>
  <c r="AA54" i="6"/>
  <c r="AC33" i="6"/>
  <c r="AB33" i="6"/>
  <c r="AB35" i="6" s="1"/>
  <c r="AA33" i="6"/>
  <c r="AA26" i="6"/>
  <c r="AA27" i="6" s="1"/>
  <c r="AC11" i="6"/>
  <c r="AA11" i="6"/>
  <c r="AC73" i="2"/>
  <c r="AC74" i="2" s="1"/>
  <c r="AB73" i="2"/>
  <c r="AB75" i="2" s="1"/>
  <c r="AA73" i="2"/>
  <c r="AA74" i="2" s="1"/>
  <c r="AA64" i="2"/>
  <c r="AC54" i="2"/>
  <c r="AB54" i="2"/>
  <c r="AB35" i="2"/>
  <c r="AA35" i="2"/>
  <c r="AB34" i="2"/>
  <c r="AA34" i="2"/>
  <c r="AC26" i="2"/>
  <c r="AB26" i="2"/>
  <c r="AB28" i="2" s="1"/>
  <c r="AA26" i="2"/>
  <c r="AA28" i="2" s="1"/>
  <c r="AA19" i="2"/>
  <c r="AC11" i="2"/>
  <c r="AB11" i="2"/>
  <c r="AA11" i="2"/>
  <c r="AC33" i="1"/>
  <c r="AC35" i="1" s="1"/>
  <c r="AB33" i="1"/>
  <c r="AA33" i="1"/>
  <c r="AA35" i="1" s="1"/>
  <c r="AC26" i="1"/>
  <c r="AC28" i="1" s="1"/>
  <c r="AB26" i="1"/>
  <c r="AB28" i="1" s="1"/>
  <c r="AA26" i="1"/>
  <c r="AA28" i="1" s="1"/>
  <c r="AC80" i="5"/>
  <c r="AC82" i="5" s="1"/>
  <c r="AB80" i="5"/>
  <c r="AB82" i="5" s="1"/>
  <c r="AA80" i="5"/>
  <c r="AA82" i="5" s="1"/>
  <c r="AC73" i="5"/>
  <c r="AC75" i="5" s="1"/>
  <c r="AC11" i="5"/>
  <c r="AB11" i="5"/>
  <c r="AC33" i="5"/>
  <c r="AC35" i="5" s="1"/>
  <c r="AB33" i="5"/>
  <c r="AB35" i="5" s="1"/>
  <c r="AA33" i="5"/>
  <c r="AA35" i="5" s="1"/>
  <c r="X85" i="1"/>
  <c r="Y85" i="1"/>
  <c r="Z85" i="1"/>
  <c r="X86" i="1"/>
  <c r="Y86" i="1"/>
  <c r="Z86" i="1"/>
  <c r="X38" i="1"/>
  <c r="Y38" i="1"/>
  <c r="Z38" i="1"/>
  <c r="X39" i="1"/>
  <c r="Y39" i="1"/>
  <c r="Z39" i="1"/>
  <c r="X80" i="1"/>
  <c r="X82" i="1" s="1"/>
  <c r="Y80" i="1"/>
  <c r="Z80" i="1"/>
  <c r="Z81" i="1" s="1"/>
  <c r="X73" i="1"/>
  <c r="X74" i="1" s="1"/>
  <c r="Y73" i="1"/>
  <c r="Y74" i="1" s="1"/>
  <c r="Z73" i="1"/>
  <c r="Z74" i="1" s="1"/>
  <c r="X63" i="1"/>
  <c r="Y63" i="1"/>
  <c r="Z63" i="1"/>
  <c r="X18" i="1"/>
  <c r="X20" i="1" s="1"/>
  <c r="W5" i="13" s="1"/>
  <c r="Y18" i="1"/>
  <c r="Y19" i="1" s="1"/>
  <c r="Z18" i="1"/>
  <c r="Y54" i="1"/>
  <c r="Y55" i="1"/>
  <c r="X5" i="15" s="1"/>
  <c r="X33" i="1"/>
  <c r="X34" i="1" s="1"/>
  <c r="Y33" i="1"/>
  <c r="Z33" i="1"/>
  <c r="Z34" i="1" s="1"/>
  <c r="X26" i="1"/>
  <c r="X27" i="1" s="1"/>
  <c r="Y26" i="1"/>
  <c r="Y27" i="1" s="1"/>
  <c r="Z26" i="1"/>
  <c r="Z28" i="1" s="1"/>
  <c r="X19" i="1"/>
  <c r="X24" i="4"/>
  <c r="X24" i="6"/>
  <c r="X26" i="4"/>
  <c r="Y24" i="7"/>
  <c r="Y26" i="4"/>
  <c r="Z24" i="7"/>
  <c r="Z26" i="4"/>
  <c r="X71" i="4"/>
  <c r="X71" i="5"/>
  <c r="X71" i="6"/>
  <c r="X73" i="4"/>
  <c r="X72" i="5"/>
  <c r="X86" i="5" s="1"/>
  <c r="X72" i="6"/>
  <c r="Y71" i="4"/>
  <c r="Y71" i="5"/>
  <c r="Y71" i="6"/>
  <c r="Y73" i="4"/>
  <c r="Y72" i="4" s="1"/>
  <c r="Y72" i="5"/>
  <c r="Y72" i="6"/>
  <c r="Z71" i="4"/>
  <c r="Z71" i="5"/>
  <c r="Z71" i="6"/>
  <c r="Z71" i="7" s="1"/>
  <c r="Z73" i="4"/>
  <c r="Z87" i="4" s="1"/>
  <c r="Z72" i="5"/>
  <c r="Z72" i="6"/>
  <c r="X63" i="2"/>
  <c r="Y63" i="2"/>
  <c r="Y65" i="2" s="1"/>
  <c r="X6" i="14" s="1"/>
  <c r="Z63" i="2"/>
  <c r="X63" i="5"/>
  <c r="X18" i="2"/>
  <c r="Y18" i="2"/>
  <c r="Y20" i="2" s="1"/>
  <c r="X6" i="13" s="1"/>
  <c r="Z18" i="2"/>
  <c r="Z20" i="2" s="1"/>
  <c r="Y6" i="13" s="1"/>
  <c r="Y18" i="6"/>
  <c r="X18" i="5"/>
  <c r="X20" i="5" s="1"/>
  <c r="W9" i="13" s="1"/>
  <c r="X53" i="2"/>
  <c r="X55" i="2" s="1"/>
  <c r="W6" i="15" s="1"/>
  <c r="Y53" i="2"/>
  <c r="Z55" i="2"/>
  <c r="Y6" i="15" s="1"/>
  <c r="X55" i="4"/>
  <c r="W7" i="15" s="1"/>
  <c r="Y55" i="4"/>
  <c r="X7" i="15" s="1"/>
  <c r="Y55" i="6"/>
  <c r="X8" i="15" s="1"/>
  <c r="Z55" i="6"/>
  <c r="Y8" i="15" s="1"/>
  <c r="X55" i="5"/>
  <c r="W9" i="15" s="1"/>
  <c r="Z55" i="5"/>
  <c r="Y9" i="15" s="1"/>
  <c r="X31" i="4"/>
  <c r="X31" i="7" s="1"/>
  <c r="Y31" i="7"/>
  <c r="Z31" i="7"/>
  <c r="X32" i="4"/>
  <c r="X35" i="4" s="1"/>
  <c r="X32" i="6"/>
  <c r="X35" i="6" s="1"/>
  <c r="Y32" i="4"/>
  <c r="Y32" i="6"/>
  <c r="Y35" i="6" s="1"/>
  <c r="Z32" i="4"/>
  <c r="Z35" i="4" s="1"/>
  <c r="Z32" i="6"/>
  <c r="Z35" i="6" s="1"/>
  <c r="X38" i="2"/>
  <c r="X38" i="5"/>
  <c r="Y38" i="2"/>
  <c r="Y38" i="5"/>
  <c r="Y38" i="6"/>
  <c r="Z38" i="2"/>
  <c r="Z38" i="5"/>
  <c r="Z38" i="6"/>
  <c r="X39" i="2"/>
  <c r="X39" i="5"/>
  <c r="Y39" i="2"/>
  <c r="Y39" i="5"/>
  <c r="Z39" i="2"/>
  <c r="Z39" i="5"/>
  <c r="X78" i="5"/>
  <c r="X78" i="7" s="1"/>
  <c r="Y78" i="7"/>
  <c r="Z78" i="7"/>
  <c r="X79" i="4"/>
  <c r="X82" i="4" s="1"/>
  <c r="X79" i="6"/>
  <c r="Y79" i="4"/>
  <c r="Y79" i="6"/>
  <c r="Y82" i="6" s="1"/>
  <c r="X85" i="2"/>
  <c r="Y85" i="2"/>
  <c r="Z85" i="2"/>
  <c r="X86" i="2"/>
  <c r="Y86" i="2"/>
  <c r="X10" i="2"/>
  <c r="X12" i="2" s="1"/>
  <c r="W6" i="8" s="1"/>
  <c r="Y10" i="2"/>
  <c r="Z12" i="2"/>
  <c r="Y6" i="8" s="1"/>
  <c r="Z12" i="4"/>
  <c r="Y7" i="8" s="1"/>
  <c r="X12" i="6"/>
  <c r="W8" i="8" s="1"/>
  <c r="Z12" i="6"/>
  <c r="Y8" i="8" s="1"/>
  <c r="S53" i="2"/>
  <c r="S55" i="2" s="1"/>
  <c r="R6" i="15" s="1"/>
  <c r="T53" i="2"/>
  <c r="T55" i="2" s="1"/>
  <c r="S6" i="15" s="1"/>
  <c r="O53" i="2"/>
  <c r="O55" i="2" s="1"/>
  <c r="N6" i="15" s="1"/>
  <c r="P53" i="2"/>
  <c r="Q53" i="2"/>
  <c r="Q55" i="2" s="1"/>
  <c r="P6" i="15" s="1"/>
  <c r="U53" i="2"/>
  <c r="U55" i="2" s="1"/>
  <c r="T6" i="15" s="1"/>
  <c r="V53" i="2"/>
  <c r="W53" i="2"/>
  <c r="W55" i="2" s="1"/>
  <c r="V6" i="15" s="1"/>
  <c r="Z79" i="4"/>
  <c r="Y87" i="4"/>
  <c r="X81" i="4"/>
  <c r="Y81" i="4"/>
  <c r="Z81" i="4"/>
  <c r="Y64" i="4"/>
  <c r="X54" i="4"/>
  <c r="Y54" i="4"/>
  <c r="Z54" i="4"/>
  <c r="Y34" i="4"/>
  <c r="Z34" i="4"/>
  <c r="Z19" i="4"/>
  <c r="X11" i="4"/>
  <c r="Y11" i="4"/>
  <c r="Z11" i="4"/>
  <c r="Z79" i="6"/>
  <c r="Z82" i="6" s="1"/>
  <c r="X81" i="6"/>
  <c r="Y81" i="6"/>
  <c r="Z81" i="6"/>
  <c r="Y54" i="6"/>
  <c r="X34" i="6"/>
  <c r="Y34" i="6"/>
  <c r="Z34" i="6"/>
  <c r="U24" i="6"/>
  <c r="U27" i="6" s="1"/>
  <c r="V24" i="6"/>
  <c r="V27" i="6" s="1"/>
  <c r="W24" i="6"/>
  <c r="W27" i="6" s="1"/>
  <c r="Y27" i="6"/>
  <c r="Z27" i="6"/>
  <c r="U28" i="6"/>
  <c r="V28" i="6"/>
  <c r="W28" i="6"/>
  <c r="X28" i="6"/>
  <c r="Y28" i="6"/>
  <c r="Z28" i="6"/>
  <c r="X11" i="6"/>
  <c r="Y11" i="6"/>
  <c r="Z11" i="6"/>
  <c r="U63" i="1"/>
  <c r="U65" i="1" s="1"/>
  <c r="T5" i="14" s="1"/>
  <c r="V63" i="1"/>
  <c r="W63" i="1"/>
  <c r="U63" i="2"/>
  <c r="V63" i="2"/>
  <c r="V65" i="2" s="1"/>
  <c r="U6" i="14" s="1"/>
  <c r="W63" i="2"/>
  <c r="W65" i="2" s="1"/>
  <c r="V6" i="14" s="1"/>
  <c r="U63" i="5"/>
  <c r="U64" i="5" s="1"/>
  <c r="V63" i="5"/>
  <c r="V64" i="5" s="1"/>
  <c r="W63" i="5"/>
  <c r="U18" i="1"/>
  <c r="V18" i="1"/>
  <c r="W18" i="1"/>
  <c r="U18" i="2"/>
  <c r="U20" i="2" s="1"/>
  <c r="T6" i="13" s="1"/>
  <c r="V18" i="2"/>
  <c r="W18" i="2"/>
  <c r="W20" i="6"/>
  <c r="V8" i="13" s="1"/>
  <c r="W18" i="5"/>
  <c r="W19" i="5" s="1"/>
  <c r="U55" i="1"/>
  <c r="T5" i="15" s="1"/>
  <c r="V55" i="1"/>
  <c r="U5" i="15" s="1"/>
  <c r="W55" i="1"/>
  <c r="V5" i="15" s="1"/>
  <c r="V55" i="2"/>
  <c r="U6" i="15" s="1"/>
  <c r="V55" i="4"/>
  <c r="U7" i="15" s="1"/>
  <c r="W55" i="4"/>
  <c r="V7" i="15" s="1"/>
  <c r="U55" i="6"/>
  <c r="T8" i="15" s="1"/>
  <c r="V55" i="6"/>
  <c r="U8" i="15" s="1"/>
  <c r="W55" i="6"/>
  <c r="V8" i="15" s="1"/>
  <c r="U55" i="5"/>
  <c r="T9" i="15" s="1"/>
  <c r="V55" i="5"/>
  <c r="U9" i="15" s="1"/>
  <c r="W12" i="1"/>
  <c r="V5" i="8" s="1"/>
  <c r="U10" i="2"/>
  <c r="U12" i="2" s="1"/>
  <c r="T6" i="8" s="1"/>
  <c r="V10" i="2"/>
  <c r="V12" i="2" s="1"/>
  <c r="U6" i="8" s="1"/>
  <c r="W10" i="2"/>
  <c r="U12" i="4"/>
  <c r="T7" i="8" s="1"/>
  <c r="W12" i="4"/>
  <c r="V7" i="8" s="1"/>
  <c r="U12" i="6"/>
  <c r="T8" i="8" s="1"/>
  <c r="V12" i="6"/>
  <c r="U8" i="8" s="1"/>
  <c r="W12" i="6"/>
  <c r="V8" i="8" s="1"/>
  <c r="V12" i="5"/>
  <c r="U9" i="8" s="1"/>
  <c r="W12" i="5"/>
  <c r="V9" i="8" s="1"/>
  <c r="U25" i="4"/>
  <c r="U25" i="7" s="1"/>
  <c r="U24" i="5"/>
  <c r="V25" i="4"/>
  <c r="V25" i="7" s="1"/>
  <c r="W25" i="4"/>
  <c r="W25" i="7" s="1"/>
  <c r="U73" i="4"/>
  <c r="U71" i="4"/>
  <c r="U72" i="5"/>
  <c r="U86" i="5" s="1"/>
  <c r="U72" i="6"/>
  <c r="U71" i="5"/>
  <c r="U71" i="6"/>
  <c r="V73" i="4"/>
  <c r="V71" i="4"/>
  <c r="V72" i="5"/>
  <c r="V86" i="5" s="1"/>
  <c r="V72" i="6"/>
  <c r="V71" i="5"/>
  <c r="V85" i="5" s="1"/>
  <c r="V71" i="6"/>
  <c r="V85" i="6" s="1"/>
  <c r="W73" i="4"/>
  <c r="W71" i="4"/>
  <c r="W72" i="5"/>
  <c r="W72" i="6"/>
  <c r="W71" i="5"/>
  <c r="W71" i="6"/>
  <c r="W86" i="1"/>
  <c r="W85" i="1"/>
  <c r="W38" i="5"/>
  <c r="W39" i="1"/>
  <c r="W38" i="1"/>
  <c r="V80" i="2"/>
  <c r="V82" i="2" s="1"/>
  <c r="W80" i="2"/>
  <c r="W82" i="2" s="1"/>
  <c r="U80" i="2"/>
  <c r="U81" i="2" s="1"/>
  <c r="U31" i="6"/>
  <c r="U31" i="7" s="1"/>
  <c r="V31" i="6"/>
  <c r="V34" i="6" s="1"/>
  <c r="W31" i="6"/>
  <c r="W39" i="6"/>
  <c r="U35" i="6"/>
  <c r="V35" i="6"/>
  <c r="W35" i="6"/>
  <c r="U11" i="6"/>
  <c r="V11" i="6"/>
  <c r="U32" i="4"/>
  <c r="U32" i="7" s="1"/>
  <c r="V32" i="4"/>
  <c r="V32" i="7" s="1"/>
  <c r="W32" i="4"/>
  <c r="W35" i="4" s="1"/>
  <c r="U38" i="1"/>
  <c r="U38" i="2"/>
  <c r="U38" i="4"/>
  <c r="V38" i="1"/>
  <c r="V38" i="2"/>
  <c r="V38" i="4"/>
  <c r="V38" i="5"/>
  <c r="W38" i="2"/>
  <c r="U39" i="1"/>
  <c r="U39" i="2"/>
  <c r="U39" i="5"/>
  <c r="V39" i="1"/>
  <c r="V39" i="2"/>
  <c r="V39" i="5"/>
  <c r="W39" i="2"/>
  <c r="U78" i="5"/>
  <c r="U80" i="5" s="1"/>
  <c r="U81" i="5" s="1"/>
  <c r="U78" i="6"/>
  <c r="U78" i="7"/>
  <c r="V78" i="7"/>
  <c r="W78" i="7"/>
  <c r="U79" i="4"/>
  <c r="U79" i="7" s="1"/>
  <c r="V79" i="4"/>
  <c r="W79" i="4"/>
  <c r="W79" i="7" s="1"/>
  <c r="U85" i="1"/>
  <c r="U85" i="2"/>
  <c r="V85" i="1"/>
  <c r="V85" i="2"/>
  <c r="W85" i="2"/>
  <c r="W85" i="5"/>
  <c r="U86" i="1"/>
  <c r="U86" i="2"/>
  <c r="V86" i="1"/>
  <c r="V86" i="2"/>
  <c r="W86" i="2"/>
  <c r="W86" i="5"/>
  <c r="U11" i="5"/>
  <c r="V11" i="5"/>
  <c r="Y11" i="5"/>
  <c r="X19" i="5"/>
  <c r="V26" i="5"/>
  <c r="W26" i="5"/>
  <c r="X26" i="5"/>
  <c r="X28" i="5" s="1"/>
  <c r="Y26" i="5"/>
  <c r="Z26" i="5"/>
  <c r="Z27" i="5" s="1"/>
  <c r="U33" i="5"/>
  <c r="U34" i="5" s="1"/>
  <c r="V33" i="5"/>
  <c r="V34" i="5" s="1"/>
  <c r="W33" i="5"/>
  <c r="W35" i="5" s="1"/>
  <c r="X33" i="5"/>
  <c r="Y33" i="5"/>
  <c r="Y34" i="5" s="1"/>
  <c r="Z33" i="5"/>
  <c r="Z35" i="5" s="1"/>
  <c r="V54" i="5"/>
  <c r="W54" i="5"/>
  <c r="X54" i="5"/>
  <c r="Z54" i="5"/>
  <c r="W73" i="5"/>
  <c r="W74" i="5" s="1"/>
  <c r="Z73" i="5"/>
  <c r="Z74" i="5" s="1"/>
  <c r="V80" i="5"/>
  <c r="V82" i="5" s="1"/>
  <c r="W80" i="5"/>
  <c r="W81" i="5" s="1"/>
  <c r="Y80" i="5"/>
  <c r="Y81" i="5" s="1"/>
  <c r="Z80" i="5"/>
  <c r="Z81" i="5" s="1"/>
  <c r="Z86" i="5"/>
  <c r="U81" i="4"/>
  <c r="V81" i="4"/>
  <c r="W81" i="4"/>
  <c r="U54" i="4"/>
  <c r="V54" i="4"/>
  <c r="W54" i="4"/>
  <c r="U40" i="4"/>
  <c r="V40" i="4"/>
  <c r="U34" i="4"/>
  <c r="V34" i="4"/>
  <c r="W34" i="4"/>
  <c r="U27" i="4"/>
  <c r="V27" i="4"/>
  <c r="W27" i="4"/>
  <c r="U11" i="4"/>
  <c r="V11" i="4"/>
  <c r="W11" i="4"/>
  <c r="U19" i="4"/>
  <c r="V19" i="4"/>
  <c r="U80" i="6"/>
  <c r="V80" i="6"/>
  <c r="V82" i="6" s="1"/>
  <c r="W80" i="6"/>
  <c r="V64" i="6"/>
  <c r="U54" i="6"/>
  <c r="V54" i="6"/>
  <c r="X81" i="2"/>
  <c r="Y81" i="2"/>
  <c r="X82" i="2"/>
  <c r="Y82" i="2"/>
  <c r="U73" i="2"/>
  <c r="U74" i="2" s="1"/>
  <c r="V73" i="2"/>
  <c r="V74" i="2" s="1"/>
  <c r="W73" i="2"/>
  <c r="W75" i="2" s="1"/>
  <c r="X73" i="2"/>
  <c r="X75" i="2" s="1"/>
  <c r="Y73" i="2"/>
  <c r="Y74" i="2" s="1"/>
  <c r="Z73" i="2"/>
  <c r="Z74" i="2" s="1"/>
  <c r="U64" i="2"/>
  <c r="Y64" i="2"/>
  <c r="U57" i="2"/>
  <c r="V57" i="2"/>
  <c r="W57" i="2"/>
  <c r="X57" i="2"/>
  <c r="Y57" i="2"/>
  <c r="U54" i="2"/>
  <c r="V54" i="2"/>
  <c r="X54" i="2"/>
  <c r="Z54" i="2"/>
  <c r="U34" i="2"/>
  <c r="V34" i="2"/>
  <c r="W34" i="2"/>
  <c r="X34" i="2"/>
  <c r="Y34" i="2"/>
  <c r="Z34" i="2"/>
  <c r="U35" i="2"/>
  <c r="V35" i="2"/>
  <c r="W35" i="2"/>
  <c r="X35" i="2"/>
  <c r="Y35" i="2"/>
  <c r="Z35" i="2"/>
  <c r="T34" i="2"/>
  <c r="T35" i="2"/>
  <c r="Z26" i="2"/>
  <c r="Y26" i="2"/>
  <c r="Y28" i="2" s="1"/>
  <c r="X26" i="2"/>
  <c r="X28" i="2" s="1"/>
  <c r="W26" i="2"/>
  <c r="V26" i="2"/>
  <c r="V28" i="2" s="1"/>
  <c r="U26" i="2"/>
  <c r="U28" i="2" s="1"/>
  <c r="T26" i="2"/>
  <c r="T28" i="2" s="1"/>
  <c r="T18" i="2"/>
  <c r="Z19" i="2"/>
  <c r="Y19" i="2"/>
  <c r="W19" i="2"/>
  <c r="U19" i="2"/>
  <c r="V11" i="2"/>
  <c r="X11" i="2"/>
  <c r="Z11" i="2"/>
  <c r="U26" i="1"/>
  <c r="U27" i="1" s="1"/>
  <c r="V26" i="1"/>
  <c r="V27" i="1" s="1"/>
  <c r="W26" i="1"/>
  <c r="W27" i="1" s="1"/>
  <c r="U33" i="1"/>
  <c r="U35" i="1" s="1"/>
  <c r="V33" i="1"/>
  <c r="V34" i="1" s="1"/>
  <c r="W33" i="1"/>
  <c r="U54" i="1"/>
  <c r="W54" i="1"/>
  <c r="U73" i="1"/>
  <c r="U74" i="1" s="1"/>
  <c r="V73" i="1"/>
  <c r="V74" i="1" s="1"/>
  <c r="W73" i="1"/>
  <c r="W74" i="1" s="1"/>
  <c r="U80" i="1"/>
  <c r="U81" i="1" s="1"/>
  <c r="V80" i="1"/>
  <c r="V81" i="1" s="1"/>
  <c r="W80" i="1"/>
  <c r="W82" i="1" s="1"/>
  <c r="R63" i="1"/>
  <c r="R65" i="1" s="1"/>
  <c r="Q5" i="14" s="1"/>
  <c r="S63" i="1"/>
  <c r="S65" i="1" s="1"/>
  <c r="R5" i="14" s="1"/>
  <c r="T63" i="1"/>
  <c r="T65" i="1" s="1"/>
  <c r="S5" i="14" s="1"/>
  <c r="R63" i="2"/>
  <c r="S63" i="2"/>
  <c r="T63" i="2"/>
  <c r="R38" i="1"/>
  <c r="S38" i="1"/>
  <c r="T38" i="1"/>
  <c r="R39" i="1"/>
  <c r="S39" i="1"/>
  <c r="T39" i="1"/>
  <c r="R85" i="1"/>
  <c r="S85" i="1"/>
  <c r="T85" i="1"/>
  <c r="R86" i="1"/>
  <c r="S86" i="1"/>
  <c r="T86" i="1"/>
  <c r="T11" i="1"/>
  <c r="R18" i="1"/>
  <c r="R19" i="1" s="1"/>
  <c r="S18" i="1"/>
  <c r="S19" i="1" s="1"/>
  <c r="T18" i="1"/>
  <c r="T19" i="1" s="1"/>
  <c r="R26" i="1"/>
  <c r="R27" i="1" s="1"/>
  <c r="S26" i="1"/>
  <c r="S27" i="1" s="1"/>
  <c r="T26" i="1"/>
  <c r="T28" i="1" s="1"/>
  <c r="R33" i="1"/>
  <c r="R34" i="1" s="1"/>
  <c r="S33" i="1"/>
  <c r="S34" i="1" s="1"/>
  <c r="T33" i="1"/>
  <c r="T34" i="1" s="1"/>
  <c r="S54" i="1"/>
  <c r="S55" i="1"/>
  <c r="R5" i="15" s="1"/>
  <c r="T55" i="1"/>
  <c r="S5" i="15" s="1"/>
  <c r="Q73" i="1"/>
  <c r="Q74" i="1" s="1"/>
  <c r="R73" i="1"/>
  <c r="R74" i="1" s="1"/>
  <c r="S73" i="1"/>
  <c r="S74" i="1" s="1"/>
  <c r="T73" i="1"/>
  <c r="T74" i="1" s="1"/>
  <c r="R80" i="1"/>
  <c r="R81" i="1" s="1"/>
  <c r="S80" i="1"/>
  <c r="S81" i="1" s="1"/>
  <c r="T80" i="1"/>
  <c r="T82" i="1" s="1"/>
  <c r="S65" i="2"/>
  <c r="R6" i="14" s="1"/>
  <c r="R63" i="5"/>
  <c r="S63" i="5"/>
  <c r="S65" i="5" s="1"/>
  <c r="R9" i="14" s="1"/>
  <c r="T63" i="5"/>
  <c r="T65" i="5" s="1"/>
  <c r="S9" i="14" s="1"/>
  <c r="R18" i="2"/>
  <c r="R19" i="2" s="1"/>
  <c r="S18" i="2"/>
  <c r="S18" i="4"/>
  <c r="S18" i="6"/>
  <c r="S19" i="6" s="1"/>
  <c r="R55" i="4"/>
  <c r="Q7" i="15" s="1"/>
  <c r="S55" i="4"/>
  <c r="R7" i="15" s="1"/>
  <c r="T55" i="4"/>
  <c r="S7" i="15" s="1"/>
  <c r="S55" i="6"/>
  <c r="R8" i="15" s="1"/>
  <c r="R55" i="5"/>
  <c r="Q9" i="15" s="1"/>
  <c r="R10" i="2"/>
  <c r="R12" i="2" s="1"/>
  <c r="Q6" i="8" s="1"/>
  <c r="S10" i="2"/>
  <c r="S12" i="2" s="1"/>
  <c r="R6" i="8" s="1"/>
  <c r="T10" i="2"/>
  <c r="T11" i="2" s="1"/>
  <c r="R12" i="6"/>
  <c r="Q8" i="8" s="1"/>
  <c r="R12" i="5"/>
  <c r="Q9" i="8" s="1"/>
  <c r="S12" i="5"/>
  <c r="R9" i="8" s="1"/>
  <c r="T12" i="5"/>
  <c r="S9" i="8" s="1"/>
  <c r="R24" i="4"/>
  <c r="R24" i="7" s="1"/>
  <c r="S24" i="4"/>
  <c r="T24" i="4"/>
  <c r="T24" i="7" s="1"/>
  <c r="R25" i="4"/>
  <c r="S25" i="4"/>
  <c r="S25" i="6"/>
  <c r="S26" i="6" s="1"/>
  <c r="T25" i="4"/>
  <c r="T25" i="7" s="1"/>
  <c r="R31" i="4"/>
  <c r="S31" i="4"/>
  <c r="S31" i="7" s="1"/>
  <c r="T31" i="4"/>
  <c r="T31" i="7" s="1"/>
  <c r="R32" i="6"/>
  <c r="S32" i="6"/>
  <c r="R38" i="2"/>
  <c r="R38" i="5"/>
  <c r="S38" i="2"/>
  <c r="S38" i="5"/>
  <c r="T38" i="2"/>
  <c r="R39" i="2"/>
  <c r="R39" i="5"/>
  <c r="S39" i="2"/>
  <c r="S39" i="5"/>
  <c r="R71" i="4"/>
  <c r="R71" i="5"/>
  <c r="R85" i="5" s="1"/>
  <c r="R71" i="6"/>
  <c r="S71" i="4"/>
  <c r="S85" i="4" s="1"/>
  <c r="S71" i="5"/>
  <c r="S85" i="5" s="1"/>
  <c r="S71" i="6"/>
  <c r="T71" i="4"/>
  <c r="T71" i="5"/>
  <c r="T85" i="5" s="1"/>
  <c r="T71" i="6"/>
  <c r="R72" i="4"/>
  <c r="R72" i="5"/>
  <c r="R72" i="6"/>
  <c r="S72" i="4"/>
  <c r="S72" i="5"/>
  <c r="S72" i="6"/>
  <c r="T72" i="4"/>
  <c r="T72" i="5"/>
  <c r="T86" i="5" s="1"/>
  <c r="T72" i="6"/>
  <c r="R78" i="7"/>
  <c r="S78" i="7"/>
  <c r="T78" i="7"/>
  <c r="R79" i="4"/>
  <c r="R80" i="4" s="1"/>
  <c r="R79" i="6"/>
  <c r="R80" i="6" s="1"/>
  <c r="R82" i="6" s="1"/>
  <c r="S79" i="4"/>
  <c r="S79" i="6"/>
  <c r="S86" i="6" s="1"/>
  <c r="T79" i="4"/>
  <c r="T80" i="4" s="1"/>
  <c r="T81" i="4" s="1"/>
  <c r="T79" i="6"/>
  <c r="R85" i="2"/>
  <c r="S85" i="2"/>
  <c r="T85" i="2"/>
  <c r="T32" i="6"/>
  <c r="T33" i="6" s="1"/>
  <c r="S11" i="6"/>
  <c r="T11" i="6"/>
  <c r="R26" i="6"/>
  <c r="R28" i="6" s="1"/>
  <c r="T26" i="6"/>
  <c r="S54" i="6"/>
  <c r="T80" i="6"/>
  <c r="T11" i="4"/>
  <c r="R54" i="4"/>
  <c r="S54" i="4"/>
  <c r="T54" i="4"/>
  <c r="R11" i="5"/>
  <c r="T11" i="5"/>
  <c r="R26" i="5"/>
  <c r="R27" i="5" s="1"/>
  <c r="S26" i="5"/>
  <c r="S27" i="5" s="1"/>
  <c r="T26" i="5"/>
  <c r="T28" i="5" s="1"/>
  <c r="R33" i="5"/>
  <c r="S33" i="5"/>
  <c r="S34" i="5" s="1"/>
  <c r="T33" i="5"/>
  <c r="T34" i="5" s="1"/>
  <c r="T39" i="5"/>
  <c r="R54" i="5"/>
  <c r="R80" i="5"/>
  <c r="R81" i="5" s="1"/>
  <c r="S80" i="5"/>
  <c r="S81" i="5" s="1"/>
  <c r="T80" i="5"/>
  <c r="T81" i="5" s="1"/>
  <c r="R34" i="2"/>
  <c r="S34" i="2"/>
  <c r="R35" i="2"/>
  <c r="S35" i="2"/>
  <c r="R26" i="2"/>
  <c r="R27" i="2" s="1"/>
  <c r="S26" i="2"/>
  <c r="S27" i="2" s="1"/>
  <c r="S11" i="2"/>
  <c r="R81" i="2"/>
  <c r="S81" i="2"/>
  <c r="T81" i="2"/>
  <c r="R82" i="2"/>
  <c r="S82" i="2"/>
  <c r="T82" i="2"/>
  <c r="Q80" i="2"/>
  <c r="Q81" i="2" s="1"/>
  <c r="R73" i="2"/>
  <c r="S73" i="2"/>
  <c r="S74" i="2" s="1"/>
  <c r="T73" i="2"/>
  <c r="T75" i="2" s="1"/>
  <c r="S64" i="2"/>
  <c r="R57" i="2"/>
  <c r="S57" i="2"/>
  <c r="T57" i="2"/>
  <c r="O18" i="1"/>
  <c r="O19" i="1" s="1"/>
  <c r="O26" i="1"/>
  <c r="O27" i="1" s="1"/>
  <c r="O63" i="1"/>
  <c r="P63" i="1"/>
  <c r="Q63" i="1"/>
  <c r="O63" i="2"/>
  <c r="P63" i="2"/>
  <c r="Q63" i="2"/>
  <c r="Q63" i="6"/>
  <c r="O63" i="5"/>
  <c r="O65" i="5" s="1"/>
  <c r="N9" i="14" s="1"/>
  <c r="P63" i="5"/>
  <c r="Q63" i="5"/>
  <c r="P18" i="1"/>
  <c r="P20" i="1" s="1"/>
  <c r="O5" i="13" s="1"/>
  <c r="Q18" i="1"/>
  <c r="O18" i="2"/>
  <c r="P18" i="2"/>
  <c r="P20" i="2" s="1"/>
  <c r="O6" i="13" s="1"/>
  <c r="Q18" i="2"/>
  <c r="Q20" i="2" s="1"/>
  <c r="P6" i="13" s="1"/>
  <c r="P18" i="6"/>
  <c r="P20" i="6" s="1"/>
  <c r="O8" i="13" s="1"/>
  <c r="O18" i="5"/>
  <c r="O20" i="5" s="1"/>
  <c r="N9" i="13" s="1"/>
  <c r="P18" i="5"/>
  <c r="P20" i="5" s="1"/>
  <c r="O9" i="13" s="1"/>
  <c r="Q18" i="5"/>
  <c r="O55" i="1"/>
  <c r="N5" i="15" s="1"/>
  <c r="Q55" i="1"/>
  <c r="P5" i="15" s="1"/>
  <c r="P55" i="2"/>
  <c r="O6" i="15" s="1"/>
  <c r="O55" i="4"/>
  <c r="N7" i="15" s="1"/>
  <c r="P55" i="4"/>
  <c r="O7" i="15" s="1"/>
  <c r="Q55" i="4"/>
  <c r="P7" i="15" s="1"/>
  <c r="O55" i="6"/>
  <c r="N8" i="15"/>
  <c r="Q55" i="6"/>
  <c r="P8" i="15" s="1"/>
  <c r="O55" i="5"/>
  <c r="N9" i="15" s="1"/>
  <c r="Q55" i="5"/>
  <c r="P9" i="15" s="1"/>
  <c r="O10" i="2"/>
  <c r="P10" i="2"/>
  <c r="Q10" i="2"/>
  <c r="O12" i="5"/>
  <c r="N9" i="8" s="1"/>
  <c r="O25" i="4"/>
  <c r="O25" i="5"/>
  <c r="O39" i="5" s="1"/>
  <c r="O25" i="6"/>
  <c r="O24" i="4"/>
  <c r="O24" i="5"/>
  <c r="O26" i="5" s="1"/>
  <c r="O24" i="6"/>
  <c r="P25" i="4"/>
  <c r="P25" i="5"/>
  <c r="P39" i="5" s="1"/>
  <c r="P25" i="6"/>
  <c r="P24" i="4"/>
  <c r="P24" i="5"/>
  <c r="P24" i="6"/>
  <c r="P38" i="6" s="1"/>
  <c r="Q25" i="4"/>
  <c r="Q25" i="5"/>
  <c r="Q39" i="5" s="1"/>
  <c r="Q25" i="6"/>
  <c r="Q24" i="4"/>
  <c r="Q24" i="5"/>
  <c r="Q38" i="5" s="1"/>
  <c r="Q24" i="6"/>
  <c r="O72" i="4"/>
  <c r="O72" i="5"/>
  <c r="O86" i="5" s="1"/>
  <c r="O72" i="6"/>
  <c r="O86" i="6" s="1"/>
  <c r="O71" i="4"/>
  <c r="O85" i="4" s="1"/>
  <c r="O71" i="5"/>
  <c r="O71" i="7" s="1"/>
  <c r="P72" i="4"/>
  <c r="P72" i="5"/>
  <c r="P86" i="5" s="1"/>
  <c r="P72" i="6"/>
  <c r="P86" i="6" s="1"/>
  <c r="P71" i="4"/>
  <c r="P71" i="5"/>
  <c r="P73" i="5" s="1"/>
  <c r="P71" i="6"/>
  <c r="Q72" i="4"/>
  <c r="Q72" i="5"/>
  <c r="Q72" i="6"/>
  <c r="Q71" i="4"/>
  <c r="Q71" i="5"/>
  <c r="Q71" i="6"/>
  <c r="Q86" i="2"/>
  <c r="Q86" i="1"/>
  <c r="P86" i="2"/>
  <c r="P86" i="1"/>
  <c r="O86" i="2"/>
  <c r="O86" i="1"/>
  <c r="Q85" i="2"/>
  <c r="Q85" i="1"/>
  <c r="Q85" i="5"/>
  <c r="P85" i="2"/>
  <c r="P85" i="1"/>
  <c r="P78" i="5"/>
  <c r="O85" i="2"/>
  <c r="O85" i="1"/>
  <c r="O78" i="5"/>
  <c r="O78" i="7" s="1"/>
  <c r="O71" i="6"/>
  <c r="Q79" i="7"/>
  <c r="P79" i="7"/>
  <c r="O79" i="7"/>
  <c r="Q78" i="7"/>
  <c r="Q39" i="2"/>
  <c r="Q39" i="1"/>
  <c r="P39" i="2"/>
  <c r="P39" i="1"/>
  <c r="O39" i="1"/>
  <c r="O39" i="2"/>
  <c r="Q38" i="2"/>
  <c r="Q38" i="1"/>
  <c r="Q38" i="4"/>
  <c r="P38" i="2"/>
  <c r="P38" i="1"/>
  <c r="O38" i="1"/>
  <c r="O38" i="2"/>
  <c r="O31" i="4"/>
  <c r="O33" i="4" s="1"/>
  <c r="O34" i="4" s="1"/>
  <c r="O31" i="5"/>
  <c r="O31" i="6"/>
  <c r="Q32" i="7"/>
  <c r="P32" i="7"/>
  <c r="O32" i="7"/>
  <c r="Q31" i="7"/>
  <c r="P31" i="7"/>
  <c r="Q80" i="6"/>
  <c r="Q82" i="6" s="1"/>
  <c r="P80" i="6"/>
  <c r="P82" i="6" s="1"/>
  <c r="O80" i="6"/>
  <c r="O82" i="6" s="1"/>
  <c r="O64" i="6"/>
  <c r="Q54" i="6"/>
  <c r="O54" i="6"/>
  <c r="Q33" i="6"/>
  <c r="P33" i="6"/>
  <c r="P35" i="6" s="1"/>
  <c r="O33" i="6"/>
  <c r="O35" i="6" s="1"/>
  <c r="Q80" i="5"/>
  <c r="Q82" i="5" s="1"/>
  <c r="O80" i="5"/>
  <c r="O82" i="5" s="1"/>
  <c r="Q54" i="5"/>
  <c r="O54" i="5"/>
  <c r="Q33" i="5"/>
  <c r="Q35" i="5" s="1"/>
  <c r="P33" i="5"/>
  <c r="P34" i="5" s="1"/>
  <c r="Q26" i="5"/>
  <c r="Q28" i="5" s="1"/>
  <c r="Q11" i="5"/>
  <c r="Q80" i="4"/>
  <c r="Q82" i="4" s="1"/>
  <c r="P80" i="4"/>
  <c r="O80" i="4"/>
  <c r="O82" i="4" s="1"/>
  <c r="Q54" i="4"/>
  <c r="P54" i="4"/>
  <c r="O54" i="4"/>
  <c r="Q33" i="4"/>
  <c r="Q35" i="4" s="1"/>
  <c r="P33" i="4"/>
  <c r="P35" i="4" s="1"/>
  <c r="P11" i="4"/>
  <c r="P80" i="2"/>
  <c r="P82" i="2" s="1"/>
  <c r="O80" i="2"/>
  <c r="O81" i="2" s="1"/>
  <c r="Q73" i="2"/>
  <c r="Q75" i="2" s="1"/>
  <c r="P73" i="2"/>
  <c r="P75" i="2" s="1"/>
  <c r="O73" i="2"/>
  <c r="Q64" i="2"/>
  <c r="P64" i="2"/>
  <c r="Q57" i="2"/>
  <c r="P57" i="2"/>
  <c r="O57" i="2"/>
  <c r="Q54" i="2"/>
  <c r="P54" i="2"/>
  <c r="O54" i="2"/>
  <c r="Q33" i="2"/>
  <c r="P33" i="2"/>
  <c r="O33" i="2"/>
  <c r="O35" i="2" s="1"/>
  <c r="Q26" i="2"/>
  <c r="P26" i="2"/>
  <c r="P28" i="2" s="1"/>
  <c r="O26" i="2"/>
  <c r="O28" i="2" s="1"/>
  <c r="Q19" i="2"/>
  <c r="Q80" i="1"/>
  <c r="Q82" i="1" s="1"/>
  <c r="P80" i="1"/>
  <c r="P81" i="1" s="1"/>
  <c r="O80" i="1"/>
  <c r="O82" i="1" s="1"/>
  <c r="P73" i="1"/>
  <c r="O73" i="1"/>
  <c r="Q54" i="1"/>
  <c r="O54" i="1"/>
  <c r="Q33" i="1"/>
  <c r="Q35" i="1" s="1"/>
  <c r="P33" i="1"/>
  <c r="P34" i="1" s="1"/>
  <c r="O33" i="1"/>
  <c r="O35" i="1" s="1"/>
  <c r="Q26" i="1"/>
  <c r="P26" i="1"/>
  <c r="P28" i="1" s="1"/>
  <c r="P19" i="1"/>
  <c r="O11" i="1"/>
  <c r="L43" i="17"/>
  <c r="K4" i="17" s="1"/>
  <c r="M43" i="17"/>
  <c r="L4" i="17" s="1"/>
  <c r="N43" i="17"/>
  <c r="M4" i="17" s="1"/>
  <c r="L63" i="5"/>
  <c r="M63" i="5"/>
  <c r="M65" i="5" s="1"/>
  <c r="L9" i="14" s="1"/>
  <c r="N63" i="5"/>
  <c r="N65" i="5" s="1"/>
  <c r="M9" i="14" s="1"/>
  <c r="L63" i="6"/>
  <c r="M63" i="6"/>
  <c r="M65" i="6" s="1"/>
  <c r="L8" i="14" s="1"/>
  <c r="N63" i="6"/>
  <c r="L63" i="4"/>
  <c r="L64" i="4" s="1"/>
  <c r="M63" i="4"/>
  <c r="N63" i="4"/>
  <c r="L63" i="2"/>
  <c r="M63" i="2"/>
  <c r="M65" i="2" s="1"/>
  <c r="L6" i="14" s="1"/>
  <c r="N63" i="2"/>
  <c r="N65" i="2" s="1"/>
  <c r="M6" i="14" s="1"/>
  <c r="L63" i="1"/>
  <c r="M63" i="1"/>
  <c r="N63" i="1"/>
  <c r="L55" i="5"/>
  <c r="K9" i="15" s="1"/>
  <c r="M55" i="5"/>
  <c r="L9" i="15" s="1"/>
  <c r="N55" i="5"/>
  <c r="M9" i="15" s="1"/>
  <c r="M55" i="6"/>
  <c r="L8" i="15" s="1"/>
  <c r="N55" i="6"/>
  <c r="M8" i="15" s="1"/>
  <c r="L55" i="4"/>
  <c r="K7" i="15" s="1"/>
  <c r="M55" i="4"/>
  <c r="L7" i="15" s="1"/>
  <c r="N55" i="4"/>
  <c r="M7" i="15" s="1"/>
  <c r="L53" i="2"/>
  <c r="M53" i="2"/>
  <c r="M55" i="2" s="1"/>
  <c r="L6" i="15" s="1"/>
  <c r="N53" i="2"/>
  <c r="N55" i="2" s="1"/>
  <c r="M6" i="15" s="1"/>
  <c r="M55" i="1"/>
  <c r="L5" i="15" s="1"/>
  <c r="N55" i="1"/>
  <c r="M5" i="15" s="1"/>
  <c r="D25" i="7"/>
  <c r="D24" i="7"/>
  <c r="E25" i="7"/>
  <c r="E24" i="7"/>
  <c r="F25" i="7"/>
  <c r="F24" i="7"/>
  <c r="G25" i="7"/>
  <c r="G24" i="7"/>
  <c r="H25" i="7"/>
  <c r="H24" i="7"/>
  <c r="I25" i="7"/>
  <c r="I24" i="7"/>
  <c r="J25" i="7"/>
  <c r="J24" i="7"/>
  <c r="K25" i="7"/>
  <c r="K24" i="7"/>
  <c r="L25" i="7"/>
  <c r="L24" i="7"/>
  <c r="M25" i="7"/>
  <c r="M24" i="7"/>
  <c r="N25" i="7"/>
  <c r="N24" i="7"/>
  <c r="C25" i="7"/>
  <c r="C24" i="5"/>
  <c r="D72" i="7"/>
  <c r="E72" i="7"/>
  <c r="F72" i="7"/>
  <c r="G72" i="7"/>
  <c r="H72" i="7"/>
  <c r="I72" i="7"/>
  <c r="J72" i="7"/>
  <c r="K72" i="7"/>
  <c r="L72" i="7"/>
  <c r="M72" i="7"/>
  <c r="N72" i="7"/>
  <c r="C72" i="7"/>
  <c r="C71" i="4"/>
  <c r="C73" i="4" s="1"/>
  <c r="C75" i="4" s="1"/>
  <c r="C71" i="5"/>
  <c r="C73" i="5" s="1"/>
  <c r="C75" i="5" s="1"/>
  <c r="C71" i="6"/>
  <c r="C73" i="6" s="1"/>
  <c r="C75" i="6" s="1"/>
  <c r="L18" i="5"/>
  <c r="M18" i="5"/>
  <c r="N18" i="5"/>
  <c r="N20" i="5" s="1"/>
  <c r="M9" i="13" s="1"/>
  <c r="L18" i="6"/>
  <c r="L19" i="6" s="1"/>
  <c r="M18" i="6"/>
  <c r="N18" i="6"/>
  <c r="N20" i="6" s="1"/>
  <c r="M8" i="13" s="1"/>
  <c r="L18" i="4"/>
  <c r="M18" i="4"/>
  <c r="N18" i="4"/>
  <c r="L18" i="2"/>
  <c r="L20" i="2" s="1"/>
  <c r="K6" i="13" s="1"/>
  <c r="M18" i="2"/>
  <c r="N18" i="2"/>
  <c r="N20" i="2" s="1"/>
  <c r="M6" i="13" s="1"/>
  <c r="N18" i="1"/>
  <c r="N19" i="1" s="1"/>
  <c r="L18" i="1"/>
  <c r="L20" i="1" s="1"/>
  <c r="K5" i="13" s="1"/>
  <c r="M18" i="1"/>
  <c r="M19" i="1" s="1"/>
  <c r="L12" i="5"/>
  <c r="K9" i="8" s="1"/>
  <c r="M12" i="5"/>
  <c r="L9" i="8" s="1"/>
  <c r="N12" i="5"/>
  <c r="M9" i="8" s="1"/>
  <c r="M12" i="4"/>
  <c r="L7" i="8" s="1"/>
  <c r="L10" i="2"/>
  <c r="L12" i="2" s="1"/>
  <c r="K6" i="8" s="1"/>
  <c r="M10" i="2"/>
  <c r="M12" i="2" s="1"/>
  <c r="L6" i="8" s="1"/>
  <c r="N10" i="2"/>
  <c r="N12" i="2" s="1"/>
  <c r="M6" i="8" s="1"/>
  <c r="M12" i="1"/>
  <c r="L5" i="8" s="1"/>
  <c r="L33" i="5"/>
  <c r="N79" i="7"/>
  <c r="M79" i="7"/>
  <c r="L79" i="7"/>
  <c r="N78" i="7"/>
  <c r="M78" i="7"/>
  <c r="L78" i="7"/>
  <c r="N32" i="7"/>
  <c r="M32" i="7"/>
  <c r="L32" i="7"/>
  <c r="N31" i="7"/>
  <c r="M31" i="7"/>
  <c r="L31" i="7"/>
  <c r="C63" i="5"/>
  <c r="C65" i="5" s="1"/>
  <c r="B9" i="14" s="1"/>
  <c r="C63" i="2"/>
  <c r="C63" i="1"/>
  <c r="C64" i="1" s="1"/>
  <c r="C18" i="5"/>
  <c r="C18" i="2"/>
  <c r="C18" i="1"/>
  <c r="C20" i="1" s="1"/>
  <c r="B5" i="13" s="1"/>
  <c r="C55" i="6"/>
  <c r="B8" i="15" s="1"/>
  <c r="C53" i="2"/>
  <c r="C55" i="2" s="1"/>
  <c r="B6" i="15" s="1"/>
  <c r="C55" i="1"/>
  <c r="B5" i="15" s="1"/>
  <c r="C10" i="2"/>
  <c r="C11" i="2" s="1"/>
  <c r="C12" i="2"/>
  <c r="B6" i="8" s="1"/>
  <c r="K32" i="7"/>
  <c r="J32" i="7"/>
  <c r="I32" i="7"/>
  <c r="H32" i="7"/>
  <c r="G32" i="7"/>
  <c r="F32" i="7"/>
  <c r="E32" i="7"/>
  <c r="D32" i="7"/>
  <c r="K38" i="5"/>
  <c r="K38" i="2"/>
  <c r="K38" i="1"/>
  <c r="K38" i="4"/>
  <c r="K38" i="6"/>
  <c r="K39" i="5"/>
  <c r="K39" i="4"/>
  <c r="K39" i="2"/>
  <c r="K39" i="1"/>
  <c r="K39" i="6"/>
  <c r="J38" i="5"/>
  <c r="J38" i="2"/>
  <c r="J38" i="1"/>
  <c r="J38" i="4"/>
  <c r="J38" i="6"/>
  <c r="J39" i="5"/>
  <c r="J39" i="4"/>
  <c r="J39" i="2"/>
  <c r="J39" i="1"/>
  <c r="J39" i="6"/>
  <c r="I38" i="5"/>
  <c r="I38" i="2"/>
  <c r="I38" i="1"/>
  <c r="I38" i="4"/>
  <c r="I38" i="6"/>
  <c r="I39" i="5"/>
  <c r="I39" i="4"/>
  <c r="I39" i="2"/>
  <c r="I39" i="1"/>
  <c r="I39" i="6"/>
  <c r="H38" i="5"/>
  <c r="H38" i="2"/>
  <c r="H38" i="1"/>
  <c r="H38" i="4"/>
  <c r="H38" i="6"/>
  <c r="H39" i="5"/>
  <c r="H39" i="2"/>
  <c r="H39" i="1"/>
  <c r="H39" i="4"/>
  <c r="H39" i="6"/>
  <c r="G38" i="5"/>
  <c r="G38" i="2"/>
  <c r="G38" i="1"/>
  <c r="G38" i="4"/>
  <c r="G38" i="6"/>
  <c r="G39" i="5"/>
  <c r="G39" i="2"/>
  <c r="G39" i="1"/>
  <c r="G39" i="4"/>
  <c r="G39" i="6"/>
  <c r="F38" i="5"/>
  <c r="F38" i="2"/>
  <c r="F38" i="1"/>
  <c r="F38" i="4"/>
  <c r="F38" i="6"/>
  <c r="F39" i="5"/>
  <c r="F39" i="2"/>
  <c r="F39" i="1"/>
  <c r="F39" i="4"/>
  <c r="F39" i="6"/>
  <c r="E38" i="5"/>
  <c r="E38" i="2"/>
  <c r="E38" i="1"/>
  <c r="E38" i="4"/>
  <c r="E38" i="6"/>
  <c r="E39" i="5"/>
  <c r="E39" i="2"/>
  <c r="E39" i="1"/>
  <c r="E39" i="4"/>
  <c r="E39" i="6"/>
  <c r="D38" i="5"/>
  <c r="D38" i="2"/>
  <c r="D38" i="1"/>
  <c r="D38" i="4"/>
  <c r="D38" i="6"/>
  <c r="D39" i="5"/>
  <c r="D39" i="2"/>
  <c r="D39" i="1"/>
  <c r="D39" i="4"/>
  <c r="D39" i="6"/>
  <c r="C38" i="2"/>
  <c r="C38" i="1"/>
  <c r="C38" i="4"/>
  <c r="C38" i="6"/>
  <c r="C39" i="5"/>
  <c r="C39" i="2"/>
  <c r="C39" i="1"/>
  <c r="C39" i="4"/>
  <c r="C39" i="6"/>
  <c r="K31" i="7"/>
  <c r="J31" i="7"/>
  <c r="I31" i="7"/>
  <c r="H31" i="7"/>
  <c r="G31" i="7"/>
  <c r="F31" i="7"/>
  <c r="E31" i="7"/>
  <c r="D31" i="7"/>
  <c r="C31" i="7"/>
  <c r="C32" i="7"/>
  <c r="K79" i="7"/>
  <c r="J79" i="7"/>
  <c r="I79" i="7"/>
  <c r="H79" i="7"/>
  <c r="G79" i="7"/>
  <c r="F79" i="7"/>
  <c r="E79" i="7"/>
  <c r="D79" i="7"/>
  <c r="C79" i="7"/>
  <c r="K78" i="7"/>
  <c r="J78" i="7"/>
  <c r="I78" i="7"/>
  <c r="H78" i="7"/>
  <c r="G78" i="7"/>
  <c r="F78" i="7"/>
  <c r="E78" i="7"/>
  <c r="D78" i="7"/>
  <c r="C78" i="6"/>
  <c r="C78" i="7" s="1"/>
  <c r="K86" i="6"/>
  <c r="K86" i="2"/>
  <c r="K86" i="1"/>
  <c r="K86" i="4"/>
  <c r="K86" i="5"/>
  <c r="J86" i="6"/>
  <c r="J86" i="2"/>
  <c r="J86" i="1"/>
  <c r="J86" i="4"/>
  <c r="J86" i="5"/>
  <c r="I86" i="6"/>
  <c r="I86" i="2"/>
  <c r="I86" i="1"/>
  <c r="I86" i="4"/>
  <c r="I86" i="5"/>
  <c r="H86" i="6"/>
  <c r="H86" i="2"/>
  <c r="H86" i="1"/>
  <c r="H86" i="4"/>
  <c r="H86" i="5"/>
  <c r="G86" i="6"/>
  <c r="G86" i="2"/>
  <c r="G86" i="1"/>
  <c r="G86" i="4"/>
  <c r="G86" i="5"/>
  <c r="F86" i="6"/>
  <c r="F86" i="2"/>
  <c r="F86" i="1"/>
  <c r="F86" i="4"/>
  <c r="F86" i="5"/>
  <c r="E86" i="6"/>
  <c r="E86" i="2"/>
  <c r="E86" i="1"/>
  <c r="E86" i="4"/>
  <c r="E86" i="5"/>
  <c r="D86" i="6"/>
  <c r="D86" i="2"/>
  <c r="D86" i="1"/>
  <c r="D86" i="4"/>
  <c r="D86" i="5"/>
  <c r="C86" i="6"/>
  <c r="C86" i="2"/>
  <c r="C86" i="1"/>
  <c r="C86" i="4"/>
  <c r="C86" i="5"/>
  <c r="K85" i="4"/>
  <c r="K85" i="1"/>
  <c r="K85" i="2"/>
  <c r="K85" i="5"/>
  <c r="K85" i="6"/>
  <c r="J85" i="4"/>
  <c r="J85" i="1"/>
  <c r="J87" i="1" s="1"/>
  <c r="J89" i="1" s="1"/>
  <c r="J85" i="2"/>
  <c r="J85" i="5"/>
  <c r="J85" i="6"/>
  <c r="I85" i="4"/>
  <c r="I85" i="1"/>
  <c r="I85" i="2"/>
  <c r="I85" i="5"/>
  <c r="I85" i="6"/>
  <c r="H85" i="4"/>
  <c r="H85" i="1"/>
  <c r="H85" i="2"/>
  <c r="H85" i="5"/>
  <c r="H85" i="6"/>
  <c r="G85" i="4"/>
  <c r="G85" i="1"/>
  <c r="G85" i="2"/>
  <c r="G85" i="5"/>
  <c r="G85" i="6"/>
  <c r="F85" i="4"/>
  <c r="F85" i="1"/>
  <c r="F85" i="2"/>
  <c r="F85" i="5"/>
  <c r="F85" i="6"/>
  <c r="E85" i="4"/>
  <c r="E85" i="1"/>
  <c r="E87" i="1" s="1"/>
  <c r="E85" i="2"/>
  <c r="E85" i="5"/>
  <c r="E85" i="6"/>
  <c r="D85" i="2"/>
  <c r="D85" i="4"/>
  <c r="D85" i="1"/>
  <c r="D85" i="5"/>
  <c r="C85" i="1"/>
  <c r="C85" i="2"/>
  <c r="K33" i="5"/>
  <c r="K35" i="5" s="1"/>
  <c r="J33" i="5"/>
  <c r="J34" i="5" s="1"/>
  <c r="I33" i="5"/>
  <c r="H33" i="5"/>
  <c r="H34" i="5" s="1"/>
  <c r="G33" i="5"/>
  <c r="G35" i="5" s="1"/>
  <c r="F33" i="5"/>
  <c r="F35" i="5" s="1"/>
  <c r="E33" i="5"/>
  <c r="D33" i="5"/>
  <c r="D35" i="5" s="1"/>
  <c r="C33" i="5"/>
  <c r="C35" i="5" s="1"/>
  <c r="K26" i="5"/>
  <c r="K28" i="5" s="1"/>
  <c r="J26" i="5"/>
  <c r="I26" i="5"/>
  <c r="I28" i="5" s="1"/>
  <c r="H26" i="5"/>
  <c r="H27" i="5" s="1"/>
  <c r="G26" i="5"/>
  <c r="G27" i="5" s="1"/>
  <c r="F26" i="5"/>
  <c r="F27" i="5" s="1"/>
  <c r="E26" i="5"/>
  <c r="E28" i="5" s="1"/>
  <c r="D26" i="5"/>
  <c r="N33" i="5"/>
  <c r="M33" i="5"/>
  <c r="M35" i="5" s="1"/>
  <c r="N26" i="5"/>
  <c r="N28" i="5" s="1"/>
  <c r="M26" i="5"/>
  <c r="M28" i="5" s="1"/>
  <c r="L26" i="5"/>
  <c r="L28" i="5" s="1"/>
  <c r="F28" i="5"/>
  <c r="N39" i="5"/>
  <c r="N38" i="5"/>
  <c r="M39" i="5"/>
  <c r="M38" i="5"/>
  <c r="L39" i="5"/>
  <c r="L38" i="5"/>
  <c r="N86" i="5"/>
  <c r="N85" i="5"/>
  <c r="M86" i="5"/>
  <c r="M85" i="5"/>
  <c r="L86" i="5"/>
  <c r="L85" i="5"/>
  <c r="N39" i="6"/>
  <c r="N38" i="6"/>
  <c r="M39" i="6"/>
  <c r="M38" i="6"/>
  <c r="L39" i="6"/>
  <c r="L38" i="6"/>
  <c r="N86" i="6"/>
  <c r="N85" i="6"/>
  <c r="M86" i="6"/>
  <c r="M85" i="6"/>
  <c r="L86" i="6"/>
  <c r="L85" i="6"/>
  <c r="N85" i="4"/>
  <c r="M85" i="4"/>
  <c r="L85" i="4"/>
  <c r="N39" i="4"/>
  <c r="N38" i="4"/>
  <c r="M39" i="4"/>
  <c r="M38" i="4"/>
  <c r="L39" i="4"/>
  <c r="L38" i="4"/>
  <c r="N86" i="2"/>
  <c r="N85" i="2"/>
  <c r="M86" i="2"/>
  <c r="M85" i="2"/>
  <c r="L86" i="2"/>
  <c r="L85" i="2"/>
  <c r="N39" i="2"/>
  <c r="N38" i="2"/>
  <c r="M39" i="2"/>
  <c r="M38" i="2"/>
  <c r="L39" i="2"/>
  <c r="L38" i="2"/>
  <c r="N39" i="1"/>
  <c r="M39" i="1"/>
  <c r="L39" i="1"/>
  <c r="N38" i="1"/>
  <c r="M38" i="1"/>
  <c r="L38" i="1"/>
  <c r="N86" i="1"/>
  <c r="M86" i="1"/>
  <c r="L86" i="1"/>
  <c r="N85" i="1"/>
  <c r="M85" i="1"/>
  <c r="L85" i="1"/>
  <c r="N80" i="6"/>
  <c r="N82" i="6" s="1"/>
  <c r="M80" i="6"/>
  <c r="M82" i="6" s="1"/>
  <c r="L80" i="6"/>
  <c r="K80" i="6"/>
  <c r="K82" i="6" s="1"/>
  <c r="J80" i="6"/>
  <c r="I80" i="6"/>
  <c r="I82" i="6" s="1"/>
  <c r="H80" i="6"/>
  <c r="H82" i="6" s="1"/>
  <c r="G80" i="6"/>
  <c r="G82" i="6" s="1"/>
  <c r="F80" i="6"/>
  <c r="F82" i="6" s="1"/>
  <c r="E80" i="6"/>
  <c r="E82" i="6" s="1"/>
  <c r="D80" i="6"/>
  <c r="N73" i="6"/>
  <c r="N75" i="6" s="1"/>
  <c r="M73" i="6"/>
  <c r="M75" i="6" s="1"/>
  <c r="L73" i="6"/>
  <c r="L75" i="6" s="1"/>
  <c r="K73" i="6"/>
  <c r="K75" i="6" s="1"/>
  <c r="J73" i="6"/>
  <c r="I73" i="6"/>
  <c r="I75" i="6" s="1"/>
  <c r="H73" i="6"/>
  <c r="H75" i="6" s="1"/>
  <c r="G73" i="6"/>
  <c r="G75" i="6" s="1"/>
  <c r="F73" i="6"/>
  <c r="F75" i="6" s="1"/>
  <c r="E73" i="6"/>
  <c r="E75" i="6" s="1"/>
  <c r="D73" i="6"/>
  <c r="D75" i="6" s="1"/>
  <c r="N33" i="6"/>
  <c r="N35" i="6" s="1"/>
  <c r="M33" i="6"/>
  <c r="M35" i="6" s="1"/>
  <c r="L33" i="6"/>
  <c r="K33" i="6"/>
  <c r="K35" i="6" s="1"/>
  <c r="J33" i="6"/>
  <c r="I33" i="6"/>
  <c r="I35" i="6" s="1"/>
  <c r="H33" i="6"/>
  <c r="H35" i="6" s="1"/>
  <c r="G33" i="6"/>
  <c r="G35" i="6" s="1"/>
  <c r="F33" i="6"/>
  <c r="F35" i="6" s="1"/>
  <c r="E33" i="6"/>
  <c r="E35" i="6" s="1"/>
  <c r="D33" i="6"/>
  <c r="C33" i="6"/>
  <c r="C35" i="6" s="1"/>
  <c r="N26" i="6"/>
  <c r="N28" i="6" s="1"/>
  <c r="M26" i="6"/>
  <c r="M28" i="6" s="1"/>
  <c r="L26" i="6"/>
  <c r="L28" i="6" s="1"/>
  <c r="K26" i="6"/>
  <c r="K28" i="6" s="1"/>
  <c r="J26" i="6"/>
  <c r="I26" i="6"/>
  <c r="I28" i="6" s="1"/>
  <c r="H26" i="6"/>
  <c r="H28" i="6" s="1"/>
  <c r="G26" i="6"/>
  <c r="G28" i="6" s="1"/>
  <c r="F26" i="6"/>
  <c r="F28" i="6" s="1"/>
  <c r="E26" i="6"/>
  <c r="E28" i="6" s="1"/>
  <c r="D26" i="6"/>
  <c r="D28" i="6" s="1"/>
  <c r="C26" i="6"/>
  <c r="C28" i="6" s="1"/>
  <c r="N80" i="5"/>
  <c r="N82" i="5" s="1"/>
  <c r="M80" i="5"/>
  <c r="M82" i="5" s="1"/>
  <c r="L80" i="5"/>
  <c r="L82" i="5" s="1"/>
  <c r="K80" i="5"/>
  <c r="K82" i="5" s="1"/>
  <c r="J80" i="5"/>
  <c r="J82" i="5" s="1"/>
  <c r="I80" i="5"/>
  <c r="I82" i="5" s="1"/>
  <c r="H80" i="5"/>
  <c r="H82" i="5" s="1"/>
  <c r="G80" i="5"/>
  <c r="G82" i="5" s="1"/>
  <c r="F80" i="5"/>
  <c r="F82" i="5" s="1"/>
  <c r="E80" i="5"/>
  <c r="E82" i="5" s="1"/>
  <c r="D80" i="5"/>
  <c r="D82" i="5" s="1"/>
  <c r="C80" i="5"/>
  <c r="C82" i="5" s="1"/>
  <c r="N81" i="5"/>
  <c r="N73" i="5"/>
  <c r="N75" i="5" s="1"/>
  <c r="M73" i="5"/>
  <c r="M75" i="5" s="1"/>
  <c r="L73" i="5"/>
  <c r="L75" i="5" s="1"/>
  <c r="K73" i="5"/>
  <c r="K75" i="5" s="1"/>
  <c r="J73" i="5"/>
  <c r="J75" i="5" s="1"/>
  <c r="I73" i="5"/>
  <c r="I75" i="5" s="1"/>
  <c r="H73" i="5"/>
  <c r="H75" i="5" s="1"/>
  <c r="G73" i="5"/>
  <c r="G75" i="5" s="1"/>
  <c r="F73" i="5"/>
  <c r="E73" i="5"/>
  <c r="E75" i="5" s="1"/>
  <c r="D73" i="5"/>
  <c r="D75" i="5" s="1"/>
  <c r="N80" i="4"/>
  <c r="N82" i="4" s="1"/>
  <c r="M80" i="4"/>
  <c r="M82" i="4" s="1"/>
  <c r="L80" i="4"/>
  <c r="L82" i="4" s="1"/>
  <c r="K80" i="4"/>
  <c r="K82" i="4" s="1"/>
  <c r="J80" i="4"/>
  <c r="J82" i="4" s="1"/>
  <c r="I80" i="4"/>
  <c r="I82" i="4" s="1"/>
  <c r="H80" i="4"/>
  <c r="G80" i="4"/>
  <c r="G82" i="4" s="1"/>
  <c r="F80" i="4"/>
  <c r="F82" i="4" s="1"/>
  <c r="E80" i="4"/>
  <c r="E82" i="4" s="1"/>
  <c r="D80" i="4"/>
  <c r="D82" i="4" s="1"/>
  <c r="C80" i="4"/>
  <c r="C82" i="4" s="1"/>
  <c r="N81" i="4"/>
  <c r="K73" i="4"/>
  <c r="J73" i="4"/>
  <c r="J75" i="4" s="1"/>
  <c r="I73" i="4"/>
  <c r="I75" i="4" s="1"/>
  <c r="H73" i="4"/>
  <c r="H75" i="4" s="1"/>
  <c r="G73" i="4"/>
  <c r="F73" i="4"/>
  <c r="F75" i="4" s="1"/>
  <c r="E73" i="4"/>
  <c r="E75" i="4" s="1"/>
  <c r="D73" i="4"/>
  <c r="D75" i="4" s="1"/>
  <c r="N33" i="4"/>
  <c r="N35" i="4" s="1"/>
  <c r="M33" i="4"/>
  <c r="M35" i="4" s="1"/>
  <c r="L33" i="4"/>
  <c r="L35" i="4" s="1"/>
  <c r="K33" i="4"/>
  <c r="J33" i="4"/>
  <c r="I33" i="4"/>
  <c r="I35" i="4" s="1"/>
  <c r="H33" i="4"/>
  <c r="H35" i="4" s="1"/>
  <c r="G33" i="4"/>
  <c r="F33" i="4"/>
  <c r="E33" i="4"/>
  <c r="E35" i="4" s="1"/>
  <c r="D33" i="4"/>
  <c r="C33" i="4"/>
  <c r="N26" i="4"/>
  <c r="N28" i="4" s="1"/>
  <c r="M26" i="4"/>
  <c r="M28" i="4" s="1"/>
  <c r="L26" i="4"/>
  <c r="L28" i="4" s="1"/>
  <c r="K26" i="4"/>
  <c r="K28" i="4" s="1"/>
  <c r="J26" i="4"/>
  <c r="J28" i="4" s="1"/>
  <c r="I26" i="4"/>
  <c r="H26" i="4"/>
  <c r="H28" i="4" s="1"/>
  <c r="G26" i="4"/>
  <c r="F26" i="4"/>
  <c r="E26" i="4"/>
  <c r="E28" i="4" s="1"/>
  <c r="D26" i="4"/>
  <c r="D28" i="4" s="1"/>
  <c r="C26" i="4"/>
  <c r="C28" i="4" s="1"/>
  <c r="N80" i="2"/>
  <c r="M80" i="2"/>
  <c r="L80" i="2"/>
  <c r="L82" i="2" s="1"/>
  <c r="K80" i="2"/>
  <c r="J80" i="2"/>
  <c r="J81" i="2" s="1"/>
  <c r="I80" i="2"/>
  <c r="H80" i="2"/>
  <c r="H82" i="2" s="1"/>
  <c r="G80" i="2"/>
  <c r="F80" i="2"/>
  <c r="F82" i="2" s="1"/>
  <c r="E80" i="2"/>
  <c r="D80" i="2"/>
  <c r="D81" i="2" s="1"/>
  <c r="C80" i="2"/>
  <c r="N73" i="2"/>
  <c r="N75" i="2" s="1"/>
  <c r="M73" i="2"/>
  <c r="M75" i="2" s="1"/>
  <c r="L73" i="2"/>
  <c r="K73" i="2"/>
  <c r="K75" i="2" s="1"/>
  <c r="J73" i="2"/>
  <c r="J75" i="2" s="1"/>
  <c r="I73" i="2"/>
  <c r="I75" i="2" s="1"/>
  <c r="H73" i="2"/>
  <c r="G73" i="2"/>
  <c r="F73" i="2"/>
  <c r="F75" i="2" s="1"/>
  <c r="E73" i="2"/>
  <c r="E75" i="2" s="1"/>
  <c r="D73" i="2"/>
  <c r="C73" i="2"/>
  <c r="C75" i="2" s="1"/>
  <c r="N74" i="2"/>
  <c r="N33" i="2"/>
  <c r="M33" i="2"/>
  <c r="M35" i="2" s="1"/>
  <c r="L33" i="2"/>
  <c r="L35" i="2" s="1"/>
  <c r="K33" i="2"/>
  <c r="K34" i="2" s="1"/>
  <c r="J33" i="2"/>
  <c r="J35" i="2" s="1"/>
  <c r="I33" i="2"/>
  <c r="I34" i="2" s="1"/>
  <c r="H33" i="2"/>
  <c r="H35" i="2" s="1"/>
  <c r="G33" i="2"/>
  <c r="G34" i="2" s="1"/>
  <c r="F33" i="2"/>
  <c r="F34" i="2" s="1"/>
  <c r="E33" i="2"/>
  <c r="E34" i="2" s="1"/>
  <c r="D33" i="2"/>
  <c r="D34" i="2" s="1"/>
  <c r="C33" i="2"/>
  <c r="C35" i="2" s="1"/>
  <c r="N26" i="2"/>
  <c r="N28" i="2" s="1"/>
  <c r="M26" i="2"/>
  <c r="M28" i="2" s="1"/>
  <c r="L26" i="2"/>
  <c r="K26" i="2"/>
  <c r="J26" i="2"/>
  <c r="J28" i="2" s="1"/>
  <c r="I26" i="2"/>
  <c r="H26" i="2"/>
  <c r="H28" i="2" s="1"/>
  <c r="G26" i="2"/>
  <c r="F26" i="2"/>
  <c r="F28" i="2" s="1"/>
  <c r="E26" i="2"/>
  <c r="E28" i="2" s="1"/>
  <c r="D26" i="2"/>
  <c r="D28" i="2" s="1"/>
  <c r="C26" i="2"/>
  <c r="N80" i="1"/>
  <c r="M80" i="1"/>
  <c r="L80" i="1"/>
  <c r="L81" i="1" s="1"/>
  <c r="K80" i="1"/>
  <c r="J80" i="1"/>
  <c r="J82" i="1" s="1"/>
  <c r="I80" i="1"/>
  <c r="I82" i="1" s="1"/>
  <c r="H80" i="1"/>
  <c r="H81" i="1" s="1"/>
  <c r="G80" i="1"/>
  <c r="G82" i="1" s="1"/>
  <c r="F80" i="1"/>
  <c r="F81" i="1" s="1"/>
  <c r="E80" i="1"/>
  <c r="D80" i="1"/>
  <c r="D82" i="1" s="1"/>
  <c r="C80" i="1"/>
  <c r="C82" i="1" s="1"/>
  <c r="N73" i="1"/>
  <c r="N75" i="1" s="1"/>
  <c r="M73" i="1"/>
  <c r="L73" i="1"/>
  <c r="L75" i="1" s="1"/>
  <c r="K73" i="1"/>
  <c r="K75" i="1" s="1"/>
  <c r="J73" i="1"/>
  <c r="J75" i="1" s="1"/>
  <c r="I73" i="1"/>
  <c r="H73" i="1"/>
  <c r="G73" i="1"/>
  <c r="G75" i="1" s="1"/>
  <c r="F73" i="1"/>
  <c r="F75" i="1" s="1"/>
  <c r="E73" i="1"/>
  <c r="E75" i="1" s="1"/>
  <c r="D73" i="1"/>
  <c r="C73" i="1"/>
  <c r="C75" i="1" s="1"/>
  <c r="N33" i="1"/>
  <c r="N35" i="1" s="1"/>
  <c r="M33" i="1"/>
  <c r="L33" i="1"/>
  <c r="L35" i="1" s="1"/>
  <c r="K33" i="1"/>
  <c r="K35" i="1" s="1"/>
  <c r="J33" i="1"/>
  <c r="J35" i="1" s="1"/>
  <c r="I33" i="1"/>
  <c r="I35" i="1" s="1"/>
  <c r="H33" i="1"/>
  <c r="H35" i="1" s="1"/>
  <c r="G33" i="1"/>
  <c r="G35" i="1" s="1"/>
  <c r="F33" i="1"/>
  <c r="F35" i="1" s="1"/>
  <c r="E33" i="1"/>
  <c r="D33" i="1"/>
  <c r="D35" i="1" s="1"/>
  <c r="C33" i="1"/>
  <c r="C35" i="1" s="1"/>
  <c r="J43" i="17"/>
  <c r="I4" i="17" s="1"/>
  <c r="K43" i="17"/>
  <c r="J4" i="17" s="1"/>
  <c r="J8" i="17" s="1"/>
  <c r="D43" i="17"/>
  <c r="C4" i="17" s="1"/>
  <c r="E43" i="17"/>
  <c r="D4" i="17" s="1"/>
  <c r="F43" i="17"/>
  <c r="E4" i="17" s="1"/>
  <c r="G43" i="17"/>
  <c r="F4" i="17" s="1"/>
  <c r="H43" i="17"/>
  <c r="G4" i="17" s="1"/>
  <c r="I43" i="17"/>
  <c r="H4" i="17" s="1"/>
  <c r="C43" i="17"/>
  <c r="B4" i="17" s="1"/>
  <c r="N26" i="1"/>
  <c r="N28" i="1" s="1"/>
  <c r="M26" i="1"/>
  <c r="M28" i="1" s="1"/>
  <c r="L26" i="1"/>
  <c r="K26" i="1"/>
  <c r="K28" i="1" s="1"/>
  <c r="J26" i="1"/>
  <c r="J28" i="1" s="1"/>
  <c r="I26" i="1"/>
  <c r="I28" i="1" s="1"/>
  <c r="H26" i="1"/>
  <c r="H28" i="1" s="1"/>
  <c r="G26" i="1"/>
  <c r="G28" i="1" s="1"/>
  <c r="F26" i="1"/>
  <c r="F28" i="1" s="1"/>
  <c r="E26" i="1"/>
  <c r="E28" i="1" s="1"/>
  <c r="D26" i="1"/>
  <c r="D28" i="1" s="1"/>
  <c r="C26" i="1"/>
  <c r="C28" i="1" s="1"/>
  <c r="K55" i="1"/>
  <c r="J5" i="15" s="1"/>
  <c r="B43" i="17"/>
  <c r="J63" i="1"/>
  <c r="K63" i="1"/>
  <c r="J63" i="2"/>
  <c r="J65" i="2" s="1"/>
  <c r="I6" i="14" s="1"/>
  <c r="K63" i="2"/>
  <c r="J63" i="4"/>
  <c r="J65" i="4" s="1"/>
  <c r="I7" i="14" s="1"/>
  <c r="K63" i="4"/>
  <c r="J63" i="6"/>
  <c r="K63" i="6"/>
  <c r="J63" i="5"/>
  <c r="J67" i="5" s="1"/>
  <c r="K63" i="5"/>
  <c r="K65" i="5" s="1"/>
  <c r="J9" i="14" s="1"/>
  <c r="J18" i="1"/>
  <c r="J20" i="1" s="1"/>
  <c r="I5" i="13" s="1"/>
  <c r="K18" i="1"/>
  <c r="J18" i="2"/>
  <c r="K18" i="2"/>
  <c r="K20" i="2" s="1"/>
  <c r="J6" i="13" s="1"/>
  <c r="J18" i="4"/>
  <c r="J20" i="4" s="1"/>
  <c r="I7" i="13" s="1"/>
  <c r="K18" i="4"/>
  <c r="J18" i="6"/>
  <c r="J20" i="6" s="1"/>
  <c r="I8" i="13" s="1"/>
  <c r="K18" i="6"/>
  <c r="K20" i="6" s="1"/>
  <c r="J8" i="13" s="1"/>
  <c r="J18" i="5"/>
  <c r="J20" i="5"/>
  <c r="I9" i="13" s="1"/>
  <c r="K18" i="5"/>
  <c r="J53" i="2"/>
  <c r="J55" i="2"/>
  <c r="I6" i="15" s="1"/>
  <c r="K53" i="2"/>
  <c r="K55" i="2" s="1"/>
  <c r="J6" i="15" s="1"/>
  <c r="J55" i="4"/>
  <c r="I7" i="15" s="1"/>
  <c r="K55" i="4"/>
  <c r="J7" i="15" s="1"/>
  <c r="K55" i="6"/>
  <c r="J8" i="15" s="1"/>
  <c r="J55" i="5"/>
  <c r="I9" i="15" s="1"/>
  <c r="K55" i="5"/>
  <c r="J9" i="15" s="1"/>
  <c r="K12" i="1"/>
  <c r="J5" i="8" s="1"/>
  <c r="J10" i="2"/>
  <c r="J12" i="2" s="1"/>
  <c r="I6" i="8" s="1"/>
  <c r="K10" i="2"/>
  <c r="J12" i="4"/>
  <c r="I7" i="8" s="1"/>
  <c r="K12" i="6"/>
  <c r="J8" i="8" s="1"/>
  <c r="J12" i="5"/>
  <c r="I9" i="8" s="1"/>
  <c r="C18" i="4"/>
  <c r="D12" i="6"/>
  <c r="C8" i="8" s="1"/>
  <c r="C18" i="6"/>
  <c r="I55" i="5"/>
  <c r="H9" i="15" s="1"/>
  <c r="H55" i="5"/>
  <c r="G9" i="15" s="1"/>
  <c r="G55" i="5"/>
  <c r="F9" i="15" s="1"/>
  <c r="F55" i="5"/>
  <c r="E9" i="15" s="1"/>
  <c r="E55" i="5"/>
  <c r="D9" i="15" s="1"/>
  <c r="D55" i="5"/>
  <c r="C9" i="15" s="1"/>
  <c r="I55" i="6"/>
  <c r="H8" i="15" s="1"/>
  <c r="H55" i="6"/>
  <c r="G8" i="15" s="1"/>
  <c r="G55" i="6"/>
  <c r="F8" i="15" s="1"/>
  <c r="E55" i="6"/>
  <c r="D8" i="15"/>
  <c r="I55" i="4"/>
  <c r="H7" i="15" s="1"/>
  <c r="H55" i="4"/>
  <c r="G7" i="15" s="1"/>
  <c r="G55" i="4"/>
  <c r="F7" i="15" s="1"/>
  <c r="F55" i="4"/>
  <c r="E7" i="15" s="1"/>
  <c r="E55" i="4"/>
  <c r="D7" i="15" s="1"/>
  <c r="D55" i="4"/>
  <c r="C7" i="15" s="1"/>
  <c r="I53" i="2"/>
  <c r="H53" i="2"/>
  <c r="G53" i="2"/>
  <c r="G55" i="2" s="1"/>
  <c r="F6" i="15" s="1"/>
  <c r="F53" i="2"/>
  <c r="F55" i="2" s="1"/>
  <c r="E6" i="15" s="1"/>
  <c r="E53" i="2"/>
  <c r="E55" i="2" s="1"/>
  <c r="D6" i="15" s="1"/>
  <c r="D53" i="2"/>
  <c r="D55" i="2" s="1"/>
  <c r="C6" i="15" s="1"/>
  <c r="I55" i="1"/>
  <c r="H5" i="15" s="1"/>
  <c r="H55" i="1"/>
  <c r="G5" i="15" s="1"/>
  <c r="G55" i="1"/>
  <c r="F5" i="15" s="1"/>
  <c r="E55" i="1"/>
  <c r="D5" i="15" s="1"/>
  <c r="I63" i="5"/>
  <c r="H63" i="5"/>
  <c r="H65" i="5" s="1"/>
  <c r="G9" i="14" s="1"/>
  <c r="G63" i="5"/>
  <c r="G65" i="5" s="1"/>
  <c r="F9" i="14" s="1"/>
  <c r="F63" i="5"/>
  <c r="E63" i="5"/>
  <c r="E65" i="5" s="1"/>
  <c r="D9" i="14" s="1"/>
  <c r="D63" i="5"/>
  <c r="D65" i="5" s="1"/>
  <c r="C9" i="14" s="1"/>
  <c r="I63" i="6"/>
  <c r="I65" i="6" s="1"/>
  <c r="H8" i="14" s="1"/>
  <c r="H63" i="6"/>
  <c r="G63" i="6"/>
  <c r="G65" i="6" s="1"/>
  <c r="F8" i="14" s="1"/>
  <c r="F63" i="6"/>
  <c r="F65" i="6" s="1"/>
  <c r="E8" i="14" s="1"/>
  <c r="E63" i="6"/>
  <c r="D63" i="6"/>
  <c r="I63" i="4"/>
  <c r="I65" i="4" s="1"/>
  <c r="H7" i="14" s="1"/>
  <c r="H63" i="4"/>
  <c r="G63" i="4"/>
  <c r="G64" i="4" s="1"/>
  <c r="F63" i="4"/>
  <c r="E63" i="4"/>
  <c r="D63" i="4"/>
  <c r="D65" i="4" s="1"/>
  <c r="C7" i="14" s="1"/>
  <c r="I63" i="2"/>
  <c r="I64" i="2" s="1"/>
  <c r="H63" i="2"/>
  <c r="H65" i="2" s="1"/>
  <c r="G6" i="14" s="1"/>
  <c r="G63" i="2"/>
  <c r="G67" i="2" s="1"/>
  <c r="F63" i="2"/>
  <c r="E63" i="2"/>
  <c r="E64" i="2" s="1"/>
  <c r="D63" i="2"/>
  <c r="D65" i="2" s="1"/>
  <c r="C6" i="14" s="1"/>
  <c r="I63" i="1"/>
  <c r="H63" i="1"/>
  <c r="G63" i="1"/>
  <c r="G64" i="1" s="1"/>
  <c r="F63" i="1"/>
  <c r="E63" i="1"/>
  <c r="D63" i="1"/>
  <c r="I18" i="5"/>
  <c r="H18" i="5"/>
  <c r="H20" i="5" s="1"/>
  <c r="G9" i="13" s="1"/>
  <c r="G18" i="5"/>
  <c r="G20" i="5" s="1"/>
  <c r="F9" i="13" s="1"/>
  <c r="F18" i="5"/>
  <c r="E18" i="5"/>
  <c r="D18" i="5"/>
  <c r="I18" i="6"/>
  <c r="H18" i="6"/>
  <c r="G18" i="6"/>
  <c r="F18" i="6"/>
  <c r="F20" i="6" s="1"/>
  <c r="E8" i="13" s="1"/>
  <c r="E18" i="6"/>
  <c r="D18" i="6"/>
  <c r="D20" i="6" s="1"/>
  <c r="C8" i="13" s="1"/>
  <c r="I18" i="4"/>
  <c r="H18" i="4"/>
  <c r="G18" i="4"/>
  <c r="G20" i="4" s="1"/>
  <c r="F7" i="13" s="1"/>
  <c r="F18" i="4"/>
  <c r="F20" i="4" s="1"/>
  <c r="E7" i="13" s="1"/>
  <c r="E18" i="4"/>
  <c r="D18" i="4"/>
  <c r="D20" i="4" s="1"/>
  <c r="C7" i="13" s="1"/>
  <c r="I18" i="2"/>
  <c r="I20" i="2"/>
  <c r="H6" i="13" s="1"/>
  <c r="H18" i="2"/>
  <c r="H20" i="2" s="1"/>
  <c r="G6" i="13" s="1"/>
  <c r="G18" i="2"/>
  <c r="G19" i="2" s="1"/>
  <c r="F18" i="2"/>
  <c r="F20" i="2" s="1"/>
  <c r="E6" i="13" s="1"/>
  <c r="E18" i="2"/>
  <c r="E20" i="2" s="1"/>
  <c r="D6" i="13" s="1"/>
  <c r="D18" i="2"/>
  <c r="D20" i="2" s="1"/>
  <c r="C6" i="13" s="1"/>
  <c r="I18" i="1"/>
  <c r="I20" i="1" s="1"/>
  <c r="H5" i="13" s="1"/>
  <c r="H18" i="1"/>
  <c r="G18" i="1"/>
  <c r="G20" i="1" s="1"/>
  <c r="F5" i="13" s="1"/>
  <c r="F18" i="1"/>
  <c r="F20" i="1" s="1"/>
  <c r="E5" i="13" s="1"/>
  <c r="E18" i="1"/>
  <c r="E67" i="1" s="1"/>
  <c r="D18" i="1"/>
  <c r="D20" i="1" s="1"/>
  <c r="C5" i="13" s="1"/>
  <c r="D12" i="5"/>
  <c r="C9" i="8" s="1"/>
  <c r="F12" i="5"/>
  <c r="E9" i="8" s="1"/>
  <c r="H12" i="5"/>
  <c r="G9" i="8" s="1"/>
  <c r="E12" i="6"/>
  <c r="D8" i="8" s="1"/>
  <c r="F12" i="6"/>
  <c r="E8" i="8" s="1"/>
  <c r="H12" i="6"/>
  <c r="G8" i="8" s="1"/>
  <c r="F12" i="4"/>
  <c r="E7" i="8" s="1"/>
  <c r="D10" i="2"/>
  <c r="D12" i="2" s="1"/>
  <c r="C6" i="8" s="1"/>
  <c r="E10" i="2"/>
  <c r="F10" i="2"/>
  <c r="F12" i="2" s="1"/>
  <c r="E6" i="8" s="1"/>
  <c r="G10" i="2"/>
  <c r="G12" i="2" s="1"/>
  <c r="F6" i="8" s="1"/>
  <c r="H10" i="2"/>
  <c r="H12" i="2" s="1"/>
  <c r="G6" i="8" s="1"/>
  <c r="I10" i="2"/>
  <c r="I12" i="1"/>
  <c r="H5" i="8" s="1"/>
  <c r="N57" i="2"/>
  <c r="M57" i="2"/>
  <c r="L57" i="2"/>
  <c r="K57" i="2"/>
  <c r="J57" i="2"/>
  <c r="I57" i="2"/>
  <c r="H57" i="2"/>
  <c r="G57" i="2"/>
  <c r="F57" i="2"/>
  <c r="E57" i="2"/>
  <c r="D57" i="2"/>
  <c r="C57" i="2"/>
  <c r="M64" i="6"/>
  <c r="M54" i="6"/>
  <c r="K54" i="6"/>
  <c r="I54" i="6"/>
  <c r="H54" i="6"/>
  <c r="G54" i="6"/>
  <c r="E54" i="6"/>
  <c r="C54" i="6"/>
  <c r="N19" i="6"/>
  <c r="K11" i="6"/>
  <c r="J11" i="6"/>
  <c r="H11" i="6"/>
  <c r="F11" i="6"/>
  <c r="D11" i="6"/>
  <c r="N64" i="5"/>
  <c r="M64" i="5"/>
  <c r="I64" i="5"/>
  <c r="C64" i="5"/>
  <c r="N54" i="5"/>
  <c r="M54" i="5"/>
  <c r="L54" i="5"/>
  <c r="K54" i="5"/>
  <c r="J54" i="5"/>
  <c r="I54" i="5"/>
  <c r="H54" i="5"/>
  <c r="G54" i="5"/>
  <c r="F54" i="5"/>
  <c r="E54" i="5"/>
  <c r="D54" i="5"/>
  <c r="C54" i="5"/>
  <c r="L19" i="5"/>
  <c r="J19" i="5"/>
  <c r="N11" i="5"/>
  <c r="L11" i="5"/>
  <c r="J11" i="5"/>
  <c r="I11" i="5"/>
  <c r="H11" i="5"/>
  <c r="F11" i="5"/>
  <c r="D11" i="5"/>
  <c r="J64" i="4"/>
  <c r="N54" i="4"/>
  <c r="M54" i="4"/>
  <c r="L54" i="4"/>
  <c r="K54" i="4"/>
  <c r="J54" i="4"/>
  <c r="I54" i="4"/>
  <c r="H54" i="4"/>
  <c r="G54" i="4"/>
  <c r="F54" i="4"/>
  <c r="E54" i="4"/>
  <c r="D54" i="4"/>
  <c r="M19" i="4"/>
  <c r="M11" i="4"/>
  <c r="I11" i="4"/>
  <c r="E11" i="4"/>
  <c r="M64" i="2"/>
  <c r="J64" i="2"/>
  <c r="N54" i="2"/>
  <c r="M54" i="2"/>
  <c r="J54" i="2"/>
  <c r="F54" i="2"/>
  <c r="E54" i="2"/>
  <c r="D54" i="2"/>
  <c r="C54" i="2"/>
  <c r="N19" i="2"/>
  <c r="I19" i="2"/>
  <c r="N11" i="2"/>
  <c r="M11" i="2"/>
  <c r="J11" i="2"/>
  <c r="C54" i="1"/>
  <c r="E54" i="1"/>
  <c r="F54" i="1"/>
  <c r="G54" i="1"/>
  <c r="I54" i="1"/>
  <c r="J54" i="1"/>
  <c r="K54" i="1"/>
  <c r="M54" i="1"/>
  <c r="L54" i="1"/>
  <c r="L19" i="1"/>
  <c r="G11" i="1"/>
  <c r="M11" i="1"/>
  <c r="N86" i="4"/>
  <c r="M86" i="4"/>
  <c r="L86" i="4"/>
  <c r="N73" i="4"/>
  <c r="N75" i="4" s="1"/>
  <c r="M73" i="4"/>
  <c r="M75" i="4" s="1"/>
  <c r="L73" i="4"/>
  <c r="T39" i="2"/>
  <c r="T86" i="2"/>
  <c r="T54" i="2"/>
  <c r="S86" i="2"/>
  <c r="S54" i="2"/>
  <c r="R53" i="2"/>
  <c r="R55" i="2" s="1"/>
  <c r="Q6" i="15" s="1"/>
  <c r="R86" i="2"/>
  <c r="Z86" i="2"/>
  <c r="Z81" i="2"/>
  <c r="Z82" i="2"/>
  <c r="I67" i="2"/>
  <c r="E67" i="5"/>
  <c r="N67" i="2"/>
  <c r="Q85" i="4"/>
  <c r="Q86" i="4"/>
  <c r="O67" i="5"/>
  <c r="Q65" i="2"/>
  <c r="P6" i="14" s="1"/>
  <c r="O65" i="2"/>
  <c r="N6" i="14" s="1"/>
  <c r="T38" i="4"/>
  <c r="S32" i="4"/>
  <c r="S33" i="4" s="1"/>
  <c r="S34" i="4" s="1"/>
  <c r="V65" i="5"/>
  <c r="U9" i="14" s="1"/>
  <c r="U65" i="2"/>
  <c r="T6" i="14" s="1"/>
  <c r="V65" i="1"/>
  <c r="U5" i="14" s="1"/>
  <c r="Y67" i="2"/>
  <c r="AB65" i="1"/>
  <c r="AA5" i="14" s="1"/>
  <c r="AA65" i="2"/>
  <c r="Z6" i="14"/>
  <c r="AB67" i="2"/>
  <c r="AA7" i="14"/>
  <c r="AB65" i="5"/>
  <c r="AA9" i="14" s="1"/>
  <c r="AD65" i="2"/>
  <c r="AC6" i="14" s="1"/>
  <c r="AG67" i="2"/>
  <c r="H67" i="2"/>
  <c r="H67" i="5"/>
  <c r="C67" i="5"/>
  <c r="N67" i="4"/>
  <c r="S67" i="2"/>
  <c r="X67" i="5"/>
  <c r="Z67" i="2"/>
  <c r="AL67" i="2"/>
  <c r="AK67" i="1"/>
  <c r="AR67" i="4"/>
  <c r="AT67" i="5"/>
  <c r="Y67" i="4"/>
  <c r="AK65" i="5"/>
  <c r="AJ9" i="14" s="1"/>
  <c r="AL65" i="2"/>
  <c r="AK6" i="14" s="1"/>
  <c r="AK67" i="2"/>
  <c r="AJ65" i="2"/>
  <c r="AI6" i="14" s="1"/>
  <c r="AO65" i="6"/>
  <c r="AN8" i="14" s="1"/>
  <c r="AN65" i="4"/>
  <c r="AM7" i="14" s="1"/>
  <c r="AR67" i="2"/>
  <c r="AS65" i="6"/>
  <c r="AR8" i="14" s="1"/>
  <c r="AW65" i="5"/>
  <c r="AV9" i="14" s="1"/>
  <c r="AW65" i="6"/>
  <c r="AV8" i="14" s="1"/>
  <c r="AV65" i="2"/>
  <c r="AU6" i="14" s="1"/>
  <c r="Z67" i="4"/>
  <c r="U62" i="6"/>
  <c r="U65" i="6" s="1"/>
  <c r="T8" i="14" s="1"/>
  <c r="BE86" i="2"/>
  <c r="BL54" i="5"/>
  <c r="BL57" i="5"/>
  <c r="BL55" i="5"/>
  <c r="BK9" i="15" s="1"/>
  <c r="BL85" i="1"/>
  <c r="BL73" i="1"/>
  <c r="AZ17" i="7"/>
  <c r="BD85" i="2"/>
  <c r="BB61" i="7"/>
  <c r="BG25" i="7"/>
  <c r="BG16" i="7"/>
  <c r="BJ16" i="7"/>
  <c r="BB38" i="2"/>
  <c r="BB18" i="2"/>
  <c r="BD38" i="2"/>
  <c r="BD18" i="2"/>
  <c r="BD20" i="2" s="1"/>
  <c r="BC6" i="13" s="1"/>
  <c r="BF54" i="2"/>
  <c r="BF57" i="2"/>
  <c r="BG39" i="2"/>
  <c r="BG73" i="2"/>
  <c r="BG75" i="2" s="1"/>
  <c r="BF63" i="1"/>
  <c r="BH39" i="2"/>
  <c r="BH18" i="2"/>
  <c r="BH20" i="2" s="1"/>
  <c r="BG6" i="13" s="1"/>
  <c r="BH19" i="2"/>
  <c r="BJ39" i="2"/>
  <c r="BJ18" i="2"/>
  <c r="BJ19" i="2" s="1"/>
  <c r="BJ54" i="2"/>
  <c r="BJ57" i="2"/>
  <c r="BH54" i="2"/>
  <c r="BH57" i="2"/>
  <c r="BH73" i="2"/>
  <c r="BL18" i="5"/>
  <c r="BK38" i="5"/>
  <c r="BK26" i="5"/>
  <c r="BK28" i="5" s="1"/>
  <c r="BM38" i="5"/>
  <c r="BM26" i="5"/>
  <c r="BM27" i="5" s="1"/>
  <c r="BL39" i="5"/>
  <c r="BL26" i="5"/>
  <c r="BL27" i="5" s="1"/>
  <c r="BG57" i="2"/>
  <c r="BG38" i="2"/>
  <c r="BE73" i="2"/>
  <c r="BE75" i="2" s="1"/>
  <c r="BF25" i="7"/>
  <c r="BH61" i="7"/>
  <c r="BI62" i="7"/>
  <c r="BL17" i="7"/>
  <c r="BK18" i="4"/>
  <c r="BM18" i="4"/>
  <c r="BM20" i="4" s="1"/>
  <c r="BL7" i="13" s="1"/>
  <c r="BK26" i="4"/>
  <c r="BK63" i="4"/>
  <c r="BK64" i="4" s="1"/>
  <c r="BM85" i="4"/>
  <c r="BK86" i="4"/>
  <c r="BK18" i="6"/>
  <c r="BK19" i="6" s="1"/>
  <c r="BK38" i="6"/>
  <c r="BL63" i="6"/>
  <c r="BL65" i="6" s="1"/>
  <c r="BK8" i="14" s="1"/>
  <c r="BL73" i="6"/>
  <c r="BL74" i="6" s="1"/>
  <c r="BU11" i="2"/>
  <c r="BU12" i="2"/>
  <c r="BT6" i="8" s="1"/>
  <c r="BS11" i="2"/>
  <c r="BS12" i="2"/>
  <c r="BR6" i="8"/>
  <c r="BQ11" i="2"/>
  <c r="BQ12" i="2"/>
  <c r="BP6" i="8" s="1"/>
  <c r="BO57" i="2"/>
  <c r="BO11" i="2"/>
  <c r="BM57" i="2"/>
  <c r="BM11" i="2"/>
  <c r="BM12" i="2"/>
  <c r="BL6" i="8" s="1"/>
  <c r="BK11" i="2"/>
  <c r="BK12" i="2"/>
  <c r="BJ6" i="8" s="1"/>
  <c r="BS54" i="2"/>
  <c r="BS57" i="2"/>
  <c r="BQ54" i="2"/>
  <c r="BQ57" i="2"/>
  <c r="BL54" i="2"/>
  <c r="BL57" i="2"/>
  <c r="BL63" i="2"/>
  <c r="BL86" i="2"/>
  <c r="BL73" i="2"/>
  <c r="BL74" i="2" s="1"/>
  <c r="BL85" i="2"/>
  <c r="BN85" i="2"/>
  <c r="BN63" i="2"/>
  <c r="BP85" i="2"/>
  <c r="BP63" i="2"/>
  <c r="BO39" i="2"/>
  <c r="BO26" i="2"/>
  <c r="BO27" i="2" s="1"/>
  <c r="BO18" i="4"/>
  <c r="BO26" i="4"/>
  <c r="BO28" i="4" s="1"/>
  <c r="BO63" i="4"/>
  <c r="BO85" i="4"/>
  <c r="BO73" i="4"/>
  <c r="BO75" i="4" s="1"/>
  <c r="BN11" i="6"/>
  <c r="BN57" i="6"/>
  <c r="BP11" i="5"/>
  <c r="BN57" i="5"/>
  <c r="BN11" i="5"/>
  <c r="BN12" i="5"/>
  <c r="BM9" i="8" s="1"/>
  <c r="BQ63" i="4"/>
  <c r="BQ64" i="4" s="1"/>
  <c r="BS63" i="4"/>
  <c r="BQ73" i="4"/>
  <c r="BQ75" i="4" s="1"/>
  <c r="BS73" i="4"/>
  <c r="BR18" i="4"/>
  <c r="BR38" i="4"/>
  <c r="BQ18" i="4"/>
  <c r="BQ20" i="4" s="1"/>
  <c r="BP7" i="13" s="1"/>
  <c r="BS18" i="4"/>
  <c r="BQ73" i="6"/>
  <c r="BQ74" i="6" s="1"/>
  <c r="BR18" i="6"/>
  <c r="BR19" i="6" s="1"/>
  <c r="BV57" i="5"/>
  <c r="BV11" i="5"/>
  <c r="BV12" i="5"/>
  <c r="BU9" i="8" s="1"/>
  <c r="BT57" i="5"/>
  <c r="BT11" i="5"/>
  <c r="BT12" i="5"/>
  <c r="BS9" i="8" s="1"/>
  <c r="BV18" i="5"/>
  <c r="BV38" i="5"/>
  <c r="BU18" i="5"/>
  <c r="BU19" i="5" s="1"/>
  <c r="BU39" i="5"/>
  <c r="BT38" i="5"/>
  <c r="BT26" i="5"/>
  <c r="BT28" i="5" s="1"/>
  <c r="BT73" i="5"/>
  <c r="BV73" i="5"/>
  <c r="BV74" i="5" s="1"/>
  <c r="BT54" i="6"/>
  <c r="BT55" i="6"/>
  <c r="BS8" i="15" s="1"/>
  <c r="BV54" i="6"/>
  <c r="BO25" i="7"/>
  <c r="BR85" i="4"/>
  <c r="BR61" i="7"/>
  <c r="BK63" i="5"/>
  <c r="BM63" i="5"/>
  <c r="BM65" i="5" s="1"/>
  <c r="BL9" i="14" s="1"/>
  <c r="BM57" i="1"/>
  <c r="BK54" i="1"/>
  <c r="BK57" i="1"/>
  <c r="BM54" i="6"/>
  <c r="BM57" i="6"/>
  <c r="BU20" i="2"/>
  <c r="BT6" i="13" s="1"/>
  <c r="BS19" i="2"/>
  <c r="BS20" i="2"/>
  <c r="BR6" i="13" s="1"/>
  <c r="BP11" i="1"/>
  <c r="BN11" i="1"/>
  <c r="BO38" i="1"/>
  <c r="BO54" i="6"/>
  <c r="BO57" i="6"/>
  <c r="BO55" i="6"/>
  <c r="BN8" i="15" s="1"/>
  <c r="BN18" i="6"/>
  <c r="BN19" i="6" s="1"/>
  <c r="BN38" i="6"/>
  <c r="BP38" i="6"/>
  <c r="BO18" i="6"/>
  <c r="BO19" i="6" s="1"/>
  <c r="BO39" i="6"/>
  <c r="BN63" i="6"/>
  <c r="BN64" i="6" s="1"/>
  <c r="BO86" i="6"/>
  <c r="BN73" i="6"/>
  <c r="BN74" i="6" s="1"/>
  <c r="BP73" i="6"/>
  <c r="BP74" i="6" s="1"/>
  <c r="BP86" i="6"/>
  <c r="BO85" i="6"/>
  <c r="BO73" i="6"/>
  <c r="BN18" i="5"/>
  <c r="BN39" i="5"/>
  <c r="BP18" i="5"/>
  <c r="BO39" i="5"/>
  <c r="BO26" i="5"/>
  <c r="BO27" i="5" s="1"/>
  <c r="BN85" i="5"/>
  <c r="BN63" i="5"/>
  <c r="BN64" i="5" s="1"/>
  <c r="BP63" i="5"/>
  <c r="BO86" i="5"/>
  <c r="BP54" i="2"/>
  <c r="BP57" i="2"/>
  <c r="BN54" i="2"/>
  <c r="BN57" i="2"/>
  <c r="BS54" i="6"/>
  <c r="BS57" i="6"/>
  <c r="BQ54" i="6"/>
  <c r="BQ57" i="6"/>
  <c r="BS18" i="6"/>
  <c r="BS19" i="6" s="1"/>
  <c r="BL86" i="6"/>
  <c r="BM85" i="6"/>
  <c r="BM39" i="6"/>
  <c r="BM85" i="2"/>
  <c r="BM18" i="2"/>
  <c r="BK18" i="2"/>
  <c r="BK20" i="2" s="1"/>
  <c r="BJ6" i="13" s="1"/>
  <c r="BK64" i="2"/>
  <c r="BU67" i="2"/>
  <c r="BS67" i="2"/>
  <c r="BK62" i="7"/>
  <c r="BP57" i="6"/>
  <c r="BP12" i="5"/>
  <c r="BO9" i="8" s="1"/>
  <c r="BP39" i="5"/>
  <c r="BR16" i="7"/>
  <c r="BN25" i="7"/>
  <c r="BN72" i="7"/>
  <c r="BO55" i="5"/>
  <c r="BN9" i="15" s="1"/>
  <c r="BQ86" i="5"/>
  <c r="BQ63" i="5"/>
  <c r="BQ65" i="5" s="1"/>
  <c r="BP9" i="14" s="1"/>
  <c r="BS86" i="5"/>
  <c r="BS63" i="5"/>
  <c r="BS65" i="5" s="1"/>
  <c r="BR9" i="14" s="1"/>
  <c r="BQ63" i="1"/>
  <c r="BQ64" i="1" s="1"/>
  <c r="BS17" i="7"/>
  <c r="BU18" i="6"/>
  <c r="BU38" i="6"/>
  <c r="BT39" i="6"/>
  <c r="BV18" i="6"/>
  <c r="BV20" i="6" s="1"/>
  <c r="BU8" i="13" s="1"/>
  <c r="BV85" i="6"/>
  <c r="BV63" i="6"/>
  <c r="BV65" i="6" s="1"/>
  <c r="BU8" i="14" s="1"/>
  <c r="BU85" i="6"/>
  <c r="BU73" i="6"/>
  <c r="BU75" i="6" s="1"/>
  <c r="BT26" i="1"/>
  <c r="BT28" i="1" s="1"/>
  <c r="BT24" i="7"/>
  <c r="BT39" i="1"/>
  <c r="BT17" i="7"/>
  <c r="BV39" i="1"/>
  <c r="BV17" i="7"/>
  <c r="BU86" i="1"/>
  <c r="BU73" i="1"/>
  <c r="BU74" i="1" s="1"/>
  <c r="BU85" i="1"/>
  <c r="BV38" i="4"/>
  <c r="BU39" i="4"/>
  <c r="BJ38" i="1"/>
  <c r="BN16" i="7"/>
  <c r="BP86" i="1"/>
  <c r="BQ72" i="7"/>
  <c r="BS72" i="7"/>
  <c r="BV62" i="7"/>
  <c r="BT85" i="4"/>
  <c r="BV85" i="4"/>
  <c r="BU86" i="4"/>
  <c r="BU54" i="5"/>
  <c r="BU57" i="5"/>
  <c r="BU57" i="6"/>
  <c r="BU55" i="6"/>
  <c r="BT8" i="15" s="1"/>
  <c r="BB20" i="2"/>
  <c r="BA6" i="13" s="1"/>
  <c r="BB19" i="2"/>
  <c r="BV64" i="6"/>
  <c r="BM20" i="2"/>
  <c r="BL6" i="13" s="1"/>
  <c r="BP64" i="5"/>
  <c r="BP65" i="5"/>
  <c r="BO9" i="14" s="1"/>
  <c r="BN64" i="2"/>
  <c r="U86" i="6"/>
  <c r="BW57" i="6"/>
  <c r="BY57" i="6"/>
  <c r="CD38" i="7"/>
  <c r="CD39" i="7"/>
  <c r="BW39" i="6"/>
  <c r="BY39" i="6"/>
  <c r="BY40" i="6" s="1"/>
  <c r="BY41" i="6" s="1"/>
  <c r="BY25" i="7"/>
  <c r="CC85" i="7"/>
  <c r="CE85" i="7"/>
  <c r="CC86" i="7"/>
  <c r="CE86" i="7"/>
  <c r="BZ11" i="6"/>
  <c r="BZ18" i="6"/>
  <c r="BZ54" i="6"/>
  <c r="BZ55" i="6"/>
  <c r="BY8" i="15" s="1"/>
  <c r="BZ63" i="6"/>
  <c r="BZ64" i="6" s="1"/>
  <c r="BZ73" i="6"/>
  <c r="BZ74" i="6" s="1"/>
  <c r="BX18" i="6"/>
  <c r="CB18" i="6"/>
  <c r="CB19" i="6" s="1"/>
  <c r="BX26" i="6"/>
  <c r="BX28" i="6" s="1"/>
  <c r="BX55" i="6"/>
  <c r="BW8" i="15" s="1"/>
  <c r="BX63" i="6"/>
  <c r="CB63" i="6"/>
  <c r="CB65" i="6" s="1"/>
  <c r="CA8" i="14" s="1"/>
  <c r="BX73" i="6"/>
  <c r="BX74" i="6" s="1"/>
  <c r="CB73" i="6"/>
  <c r="BW11" i="6"/>
  <c r="BY11" i="6"/>
  <c r="CA11" i="6"/>
  <c r="BW18" i="6"/>
  <c r="BW20" i="6" s="1"/>
  <c r="BV8" i="13" s="1"/>
  <c r="BY18" i="6"/>
  <c r="CA18" i="6"/>
  <c r="CA20" i="6" s="1"/>
  <c r="BZ8" i="13" s="1"/>
  <c r="BW26" i="6"/>
  <c r="BW28" i="6" s="1"/>
  <c r="BY26" i="6"/>
  <c r="BY28" i="6" s="1"/>
  <c r="BW54" i="6"/>
  <c r="BY54" i="6"/>
  <c r="BW55" i="6"/>
  <c r="BV8" i="15" s="1"/>
  <c r="BY55" i="6"/>
  <c r="BX8" i="15" s="1"/>
  <c r="BW63" i="6"/>
  <c r="BY63" i="6"/>
  <c r="BY65" i="6" s="1"/>
  <c r="BX8" i="14" s="1"/>
  <c r="CA63" i="6"/>
  <c r="CA64" i="6" s="1"/>
  <c r="BW73" i="6"/>
  <c r="BW75" i="6" s="1"/>
  <c r="BY73" i="6"/>
  <c r="BY75" i="6" s="1"/>
  <c r="CA73" i="6"/>
  <c r="CA75" i="6" s="1"/>
  <c r="BX57" i="1"/>
  <c r="CA57" i="1"/>
  <c r="BY11" i="1"/>
  <c r="CA18" i="1"/>
  <c r="CA19" i="1" s="1"/>
  <c r="BY54" i="1"/>
  <c r="BY55" i="1"/>
  <c r="BX5" i="15" s="1"/>
  <c r="BY63" i="1"/>
  <c r="BY65" i="1" s="1"/>
  <c r="BX5" i="14" s="1"/>
  <c r="CA63" i="1"/>
  <c r="BW73" i="1"/>
  <c r="CA73" i="1"/>
  <c r="CA74" i="1" s="1"/>
  <c r="BX85" i="1"/>
  <c r="BZ85" i="1"/>
  <c r="CB85" i="1"/>
  <c r="CD85" i="7"/>
  <c r="BX86" i="1"/>
  <c r="BZ86" i="1"/>
  <c r="CB86" i="1"/>
  <c r="CD86" i="7"/>
  <c r="BX11" i="1"/>
  <c r="BZ11" i="1"/>
  <c r="CB11" i="1"/>
  <c r="BX26" i="1"/>
  <c r="BX54" i="1"/>
  <c r="CB54" i="1"/>
  <c r="BX55" i="1"/>
  <c r="BW5" i="15" s="1"/>
  <c r="CB55" i="1"/>
  <c r="CA5" i="15" s="1"/>
  <c r="BX63" i="1"/>
  <c r="BX65" i="1" s="1"/>
  <c r="BW5" i="14" s="1"/>
  <c r="BZ63" i="1"/>
  <c r="BZ65" i="1" s="1"/>
  <c r="BY5" i="14" s="1"/>
  <c r="CB63" i="1"/>
  <c r="BZ73" i="1"/>
  <c r="BZ74" i="1" s="1"/>
  <c r="CB73" i="1"/>
  <c r="CB74" i="1" s="1"/>
  <c r="BW57" i="2"/>
  <c r="BY57" i="2"/>
  <c r="CA57" i="2"/>
  <c r="BX57" i="2"/>
  <c r="BZ57" i="2"/>
  <c r="CB57" i="2"/>
  <c r="BX11" i="2"/>
  <c r="BZ11" i="2"/>
  <c r="CB11" i="2"/>
  <c r="BX18" i="2"/>
  <c r="BZ18" i="2"/>
  <c r="CB18" i="2"/>
  <c r="CB20" i="2" s="1"/>
  <c r="CA6" i="13" s="1"/>
  <c r="BX26" i="2"/>
  <c r="BZ26" i="2"/>
  <c r="BZ27" i="2" s="1"/>
  <c r="CB26" i="2"/>
  <c r="CB27" i="2" s="1"/>
  <c r="BW38" i="2"/>
  <c r="BY38" i="2"/>
  <c r="CA38" i="2"/>
  <c r="CC38" i="7"/>
  <c r="CE38" i="7"/>
  <c r="BW39" i="2"/>
  <c r="BY39" i="2"/>
  <c r="CA39" i="2"/>
  <c r="CC39" i="7"/>
  <c r="CE39" i="7"/>
  <c r="BX54" i="2"/>
  <c r="BZ54" i="2"/>
  <c r="CB54" i="2"/>
  <c r="BX55" i="2"/>
  <c r="BW6" i="15" s="1"/>
  <c r="BZ55" i="2"/>
  <c r="BY6" i="15" s="1"/>
  <c r="CB55" i="2"/>
  <c r="CA6" i="15" s="1"/>
  <c r="BX63" i="2"/>
  <c r="BZ63" i="2"/>
  <c r="CB63" i="2"/>
  <c r="CB64" i="2" s="1"/>
  <c r="BZ65" i="2"/>
  <c r="BY6" i="14" s="1"/>
  <c r="BX73" i="2"/>
  <c r="BX74" i="2" s="1"/>
  <c r="BZ73" i="2"/>
  <c r="CB73" i="2"/>
  <c r="CB74" i="2" s="1"/>
  <c r="BW11" i="2"/>
  <c r="BY11" i="2"/>
  <c r="CA11" i="2"/>
  <c r="BW18" i="2"/>
  <c r="BW19" i="2" s="1"/>
  <c r="BY18" i="2"/>
  <c r="BY19" i="2" s="1"/>
  <c r="CA18" i="2"/>
  <c r="BW26" i="2"/>
  <c r="BW27" i="2" s="1"/>
  <c r="BY26" i="2"/>
  <c r="CA26" i="2"/>
  <c r="BW54" i="2"/>
  <c r="BY54" i="2"/>
  <c r="CA54" i="2"/>
  <c r="BW55" i="2"/>
  <c r="BV6" i="15" s="1"/>
  <c r="BY55" i="2"/>
  <c r="BX6" i="15" s="1"/>
  <c r="CA55" i="2"/>
  <c r="BZ6" i="15" s="1"/>
  <c r="BW63" i="2"/>
  <c r="BY63" i="2"/>
  <c r="CA63" i="2"/>
  <c r="BW73" i="2"/>
  <c r="BW74" i="2" s="1"/>
  <c r="BY73" i="2"/>
  <c r="BY74" i="2" s="1"/>
  <c r="CA73" i="2"/>
  <c r="CB64" i="4"/>
  <c r="BY64" i="4"/>
  <c r="BX54" i="4"/>
  <c r="BZ54" i="4"/>
  <c r="CB54" i="4"/>
  <c r="BX55" i="4"/>
  <c r="BW7" i="15" s="1"/>
  <c r="BZ55" i="4"/>
  <c r="BY7" i="15" s="1"/>
  <c r="CB55" i="4"/>
  <c r="CA7" i="15" s="1"/>
  <c r="BW54" i="4"/>
  <c r="CA54" i="4"/>
  <c r="BW55" i="4"/>
  <c r="BV7" i="15" s="1"/>
  <c r="BY55" i="4"/>
  <c r="BX7" i="15" s="1"/>
  <c r="CA55" i="4"/>
  <c r="BZ7" i="15" s="1"/>
  <c r="BX11" i="4"/>
  <c r="BZ11" i="4"/>
  <c r="CB11" i="4"/>
  <c r="BW11" i="4"/>
  <c r="BY11" i="4"/>
  <c r="CA11" i="4"/>
  <c r="BX54" i="5"/>
  <c r="BX57" i="5"/>
  <c r="BY55" i="5"/>
  <c r="BX9" i="15" s="1"/>
  <c r="BW63" i="5"/>
  <c r="BY63" i="5"/>
  <c r="BY65" i="5" s="1"/>
  <c r="BX9" i="14" s="1"/>
  <c r="BW73" i="5"/>
  <c r="BW75" i="5" s="1"/>
  <c r="BY85" i="5"/>
  <c r="BW54" i="5"/>
  <c r="BY54" i="5"/>
  <c r="BX63" i="5"/>
  <c r="BW12" i="5"/>
  <c r="BV9" i="8" s="1"/>
  <c r="BY12" i="5"/>
  <c r="BX9" i="8" s="1"/>
  <c r="J5" i="17"/>
  <c r="J9" i="17" s="1"/>
  <c r="I8" i="17"/>
  <c r="I5" i="17"/>
  <c r="I9" i="17" s="1"/>
  <c r="L5" i="17"/>
  <c r="L9" i="17" s="1"/>
  <c r="L8" i="17"/>
  <c r="BU20" i="5"/>
  <c r="BT9" i="13" s="1"/>
  <c r="F19" i="1"/>
  <c r="D11" i="2"/>
  <c r="F11" i="2"/>
  <c r="H11" i="2"/>
  <c r="D19" i="2"/>
  <c r="F19" i="2"/>
  <c r="D64" i="2"/>
  <c r="H64" i="2"/>
  <c r="D19" i="4"/>
  <c r="F19" i="4"/>
  <c r="D64" i="4"/>
  <c r="F64" i="4"/>
  <c r="D64" i="5"/>
  <c r="H64" i="5"/>
  <c r="D19" i="6"/>
  <c r="F19" i="6"/>
  <c r="D64" i="6"/>
  <c r="F64" i="6"/>
  <c r="O33" i="5"/>
  <c r="AJ26" i="4"/>
  <c r="AJ28" i="4" s="1"/>
  <c r="AJ72" i="7"/>
  <c r="AJ86" i="4"/>
  <c r="AK86" i="4"/>
  <c r="AK65" i="2"/>
  <c r="AJ6" i="14" s="1"/>
  <c r="AK64" i="2"/>
  <c r="AO86" i="4"/>
  <c r="AO73" i="4"/>
  <c r="AM86" i="4"/>
  <c r="AN26" i="2"/>
  <c r="AN28" i="2" s="1"/>
  <c r="AN38" i="2"/>
  <c r="AN20" i="2"/>
  <c r="AM6" i="13" s="1"/>
  <c r="AO19" i="1"/>
  <c r="AR86" i="5"/>
  <c r="AQ86" i="2"/>
  <c r="AP85" i="1"/>
  <c r="AP73" i="1"/>
  <c r="AP74" i="1" s="1"/>
  <c r="AP73" i="5"/>
  <c r="AP74" i="5" s="1"/>
  <c r="AP73" i="4"/>
  <c r="AP75" i="4" s="1"/>
  <c r="AP20" i="5"/>
  <c r="AO9" i="13" s="1"/>
  <c r="AP19" i="5"/>
  <c r="AR19" i="4"/>
  <c r="AQ64" i="5"/>
  <c r="AU85" i="2"/>
  <c r="AU86" i="5"/>
  <c r="AS86" i="5"/>
  <c r="AS86" i="4"/>
  <c r="AS71" i="7"/>
  <c r="AU25" i="7"/>
  <c r="AS24" i="7"/>
  <c r="AS38" i="5"/>
  <c r="AS26" i="5"/>
  <c r="AS28" i="5" s="1"/>
  <c r="AT73" i="6"/>
  <c r="AT74" i="6" s="1"/>
  <c r="AQ86" i="6"/>
  <c r="AU86" i="6"/>
  <c r="AV71" i="7"/>
  <c r="AV73" i="1"/>
  <c r="AV74" i="1" s="1"/>
  <c r="AW39" i="2"/>
  <c r="AV39" i="1"/>
  <c r="AV26" i="1"/>
  <c r="AV27" i="1" s="1"/>
  <c r="AX65" i="6"/>
  <c r="AW8" i="14" s="1"/>
  <c r="AX64" i="6"/>
  <c r="AW57" i="2"/>
  <c r="AV6" i="8"/>
  <c r="AS57" i="2"/>
  <c r="AS12" i="2"/>
  <c r="AR6" i="8"/>
  <c r="AS11" i="2"/>
  <c r="AO57" i="2"/>
  <c r="AO12" i="2"/>
  <c r="AN6" i="8" s="1"/>
  <c r="AO11" i="2"/>
  <c r="AN55" i="2"/>
  <c r="AM6" i="15" s="1"/>
  <c r="AN54" i="2"/>
  <c r="AK57" i="2"/>
  <c r="AK11" i="2"/>
  <c r="AT57" i="1"/>
  <c r="AX12" i="4"/>
  <c r="AW7" i="8" s="1"/>
  <c r="AT12" i="4"/>
  <c r="AS7" i="8" s="1"/>
  <c r="AS55" i="4"/>
  <c r="AR7" i="15" s="1"/>
  <c r="AS54" i="4"/>
  <c r="AV57" i="5"/>
  <c r="AV12" i="5"/>
  <c r="AU9" i="8" s="1"/>
  <c r="AV58" i="5"/>
  <c r="AU55" i="5"/>
  <c r="AT9" i="15" s="1"/>
  <c r="AU54" i="5"/>
  <c r="AN57" i="5"/>
  <c r="AN12" i="5"/>
  <c r="AM9" i="8" s="1"/>
  <c r="AN11" i="5"/>
  <c r="AJ11" i="5"/>
  <c r="AV57" i="6"/>
  <c r="AR11" i="6"/>
  <c r="AN11" i="6"/>
  <c r="P19" i="2"/>
  <c r="O64" i="2"/>
  <c r="O19" i="5"/>
  <c r="P38" i="4"/>
  <c r="Q38" i="6"/>
  <c r="O39" i="4"/>
  <c r="Q86" i="6"/>
  <c r="R86" i="5"/>
  <c r="R73" i="5"/>
  <c r="R74" i="5" s="1"/>
  <c r="T26" i="4"/>
  <c r="T28" i="4" s="1"/>
  <c r="R32" i="4"/>
  <c r="V64" i="1"/>
  <c r="X80" i="5"/>
  <c r="X81" i="5" s="1"/>
  <c r="U26" i="5"/>
  <c r="U27" i="5" s="1"/>
  <c r="Y19" i="5"/>
  <c r="U38" i="5"/>
  <c r="W71" i="7"/>
  <c r="U71" i="7"/>
  <c r="X27" i="4"/>
  <c r="X34" i="4"/>
  <c r="Y40" i="4"/>
  <c r="Y74" i="4"/>
  <c r="X85" i="5"/>
  <c r="AC26" i="5"/>
  <c r="AC28" i="5" s="1"/>
  <c r="AA73" i="5"/>
  <c r="AC64" i="2"/>
  <c r="AA86" i="4"/>
  <c r="AB86" i="4"/>
  <c r="AC86" i="4"/>
  <c r="AA64" i="1"/>
  <c r="AA20" i="2"/>
  <c r="Z6" i="13"/>
  <c r="AD73" i="5"/>
  <c r="AD75" i="5" s="1"/>
  <c r="AF73" i="5"/>
  <c r="AF75" i="5" s="1"/>
  <c r="AE19" i="2"/>
  <c r="AD64" i="2"/>
  <c r="AE73" i="4"/>
  <c r="AE74" i="4" s="1"/>
  <c r="AE86" i="4"/>
  <c r="AF72" i="7"/>
  <c r="AH26" i="6"/>
  <c r="AH28" i="6" s="1"/>
  <c r="AG33" i="4"/>
  <c r="AG35" i="4" s="1"/>
  <c r="AI86" i="6"/>
  <c r="AI39" i="6"/>
  <c r="AG39" i="4"/>
  <c r="AI19" i="2"/>
  <c r="AG19" i="2"/>
  <c r="AI71" i="7"/>
  <c r="AH71" i="7"/>
  <c r="AG71" i="7"/>
  <c r="AG67" i="4"/>
  <c r="AN86" i="4"/>
  <c r="AR26" i="4"/>
  <c r="AR27" i="4" s="1"/>
  <c r="AP38" i="2"/>
  <c r="AQ26" i="2"/>
  <c r="AS85" i="5"/>
  <c r="AV73" i="2"/>
  <c r="AV74" i="2" s="1"/>
  <c r="AX54" i="2"/>
  <c r="AW73" i="4"/>
  <c r="AW75" i="4" s="1"/>
  <c r="AV73" i="4"/>
  <c r="AV75" i="4" s="1"/>
  <c r="AL24" i="7"/>
  <c r="AL38" i="5"/>
  <c r="AL26" i="5"/>
  <c r="AL27" i="5" s="1"/>
  <c r="AL86" i="4"/>
  <c r="AL20" i="2"/>
  <c r="AK6" i="13" s="1"/>
  <c r="AL19" i="2"/>
  <c r="AJ20" i="2"/>
  <c r="AI6" i="13" s="1"/>
  <c r="AJ19" i="2"/>
  <c r="AM24" i="7"/>
  <c r="AR86" i="2"/>
  <c r="AQ85" i="5"/>
  <c r="AQ73" i="5"/>
  <c r="AQ75" i="5" s="1"/>
  <c r="AQ24" i="7"/>
  <c r="AQ38" i="1"/>
  <c r="AQ26" i="1"/>
  <c r="AQ28" i="1" s="1"/>
  <c r="AT24" i="7"/>
  <c r="AW86" i="2"/>
  <c r="AW72" i="7"/>
  <c r="AW86" i="1"/>
  <c r="AV86" i="1"/>
  <c r="AV65" i="5"/>
  <c r="AU9" i="14" s="1"/>
  <c r="AV64" i="5"/>
  <c r="AX26" i="2"/>
  <c r="AX27" i="2" s="1"/>
  <c r="AX85" i="2"/>
  <c r="AX73" i="2"/>
  <c r="AX74" i="2" s="1"/>
  <c r="AX85" i="6"/>
  <c r="AX73" i="6"/>
  <c r="AX74" i="6" s="1"/>
  <c r="AU57" i="2"/>
  <c r="AU12" i="2"/>
  <c r="AT6" i="8" s="1"/>
  <c r="AU11" i="2"/>
  <c r="AT55" i="2"/>
  <c r="AS6" i="15" s="1"/>
  <c r="AT54" i="2"/>
  <c r="AM57" i="2"/>
  <c r="AM12" i="2"/>
  <c r="AL6" i="8" s="1"/>
  <c r="AM11" i="2"/>
  <c r="AN57" i="1"/>
  <c r="AV57" i="4"/>
  <c r="AU55" i="4"/>
  <c r="AT7" i="15" s="1"/>
  <c r="AU54" i="4"/>
  <c r="AN57" i="4"/>
  <c r="AX57" i="5"/>
  <c r="AX12" i="5"/>
  <c r="AW9" i="8" s="1"/>
  <c r="AW55" i="5"/>
  <c r="AV9" i="15" s="1"/>
  <c r="AW54" i="5"/>
  <c r="AT57" i="5"/>
  <c r="AT12" i="5"/>
  <c r="AS9" i="8" s="1"/>
  <c r="AS55" i="5"/>
  <c r="AR9" i="15" s="1"/>
  <c r="AS54" i="5"/>
  <c r="AL11" i="5"/>
  <c r="AV8" i="15"/>
  <c r="AL11" i="6"/>
  <c r="BA19" i="2"/>
  <c r="AZ65" i="4"/>
  <c r="AY7" i="14" s="1"/>
  <c r="Q71" i="7"/>
  <c r="Y71" i="7"/>
  <c r="AC71" i="7"/>
  <c r="AT73" i="5"/>
  <c r="AT74" i="5" s="1"/>
  <c r="AK71" i="7"/>
  <c r="AN71" i="7"/>
  <c r="AO71" i="7"/>
  <c r="AU71" i="7"/>
  <c r="AT71" i="7"/>
  <c r="BA26" i="2"/>
  <c r="BA28" i="2" s="1"/>
  <c r="AY38" i="2"/>
  <c r="AZ85" i="2"/>
  <c r="AZ63" i="2"/>
  <c r="AZ55" i="2"/>
  <c r="AY6" i="15" s="1"/>
  <c r="BJ12" i="1"/>
  <c r="BI5" i="8" s="1"/>
  <c r="BI12" i="1"/>
  <c r="BH5" i="8" s="1"/>
  <c r="BH12" i="1"/>
  <c r="BG5" i="8" s="1"/>
  <c r="BG12" i="1"/>
  <c r="BF5" i="8" s="1"/>
  <c r="BF12" i="1"/>
  <c r="BE5" i="8" s="1"/>
  <c r="BE12" i="1"/>
  <c r="BD5" i="8" s="1"/>
  <c r="BD12" i="1"/>
  <c r="BC5" i="8" s="1"/>
  <c r="BC12" i="1"/>
  <c r="BB5" i="8" s="1"/>
  <c r="BB12" i="1"/>
  <c r="BA5" i="8" s="1"/>
  <c r="BA12" i="1"/>
  <c r="AZ5" i="8" s="1"/>
  <c r="AZ12" i="1"/>
  <c r="AY5" i="8" s="1"/>
  <c r="AY12" i="1"/>
  <c r="AX5" i="8" s="1"/>
  <c r="AY63" i="1"/>
  <c r="AY65" i="1" s="1"/>
  <c r="AX5" i="14" s="1"/>
  <c r="AY71" i="7"/>
  <c r="BA71" i="7"/>
  <c r="AZ57" i="5"/>
  <c r="BA12" i="5"/>
  <c r="AZ9" i="8" s="1"/>
  <c r="AY12" i="5"/>
  <c r="AX9" i="8" s="1"/>
  <c r="BI65" i="6"/>
  <c r="BH8" i="14" s="1"/>
  <c r="BH65" i="6"/>
  <c r="BG8" i="14" s="1"/>
  <c r="BE65" i="6"/>
  <c r="BD8" i="14" s="1"/>
  <c r="BA67" i="6"/>
  <c r="BB71" i="7"/>
  <c r="BD72" i="7"/>
  <c r="BE38" i="2"/>
  <c r="BI57" i="2"/>
  <c r="BL57" i="1"/>
  <c r="BA20" i="6"/>
  <c r="AZ8" i="13" s="1"/>
  <c r="BC55" i="2"/>
  <c r="BB6" i="15" s="1"/>
  <c r="BB63" i="2"/>
  <c r="BD73" i="2"/>
  <c r="BD75" i="2" s="1"/>
  <c r="BB86" i="2"/>
  <c r="BC71" i="7"/>
  <c r="BF85" i="2"/>
  <c r="BE71" i="7"/>
  <c r="BH71" i="7"/>
  <c r="BJ71" i="7"/>
  <c r="BL85" i="5"/>
  <c r="BL71" i="7"/>
  <c r="BO55" i="4"/>
  <c r="BN7" i="15" s="1"/>
  <c r="BK55" i="4"/>
  <c r="BJ7" i="15" s="1"/>
  <c r="BK55" i="6"/>
  <c r="BJ8" i="15" s="1"/>
  <c r="BP12" i="6"/>
  <c r="BO8" i="8" s="1"/>
  <c r="BN55" i="6"/>
  <c r="BM8" i="15" s="1"/>
  <c r="BR57" i="6"/>
  <c r="BS57" i="5"/>
  <c r="BV63" i="5"/>
  <c r="BX65" i="6"/>
  <c r="BW8" i="14" s="1"/>
  <c r="BY65" i="2"/>
  <c r="BX6" i="14" s="1"/>
  <c r="BY20" i="2"/>
  <c r="BX6" i="13" s="1"/>
  <c r="BX64" i="5"/>
  <c r="AZ64" i="2"/>
  <c r="BB64" i="2"/>
  <c r="CG5" i="24" l="1"/>
  <c r="AY34" i="4"/>
  <c r="CG89" i="6"/>
  <c r="CK89" i="5"/>
  <c r="CF89" i="2"/>
  <c r="CC89" i="6"/>
  <c r="J87" i="5"/>
  <c r="J89" i="5" s="1"/>
  <c r="CH40" i="7"/>
  <c r="CH42" i="7" s="1"/>
  <c r="CH42" i="2"/>
  <c r="CC42" i="1"/>
  <c r="BQ40" i="6"/>
  <c r="BQ41" i="6" s="1"/>
  <c r="CK89" i="2"/>
  <c r="H87" i="1"/>
  <c r="H89" i="1" s="1"/>
  <c r="BA81" i="4"/>
  <c r="CE89" i="1"/>
  <c r="G87" i="1"/>
  <c r="G89" i="1" s="1"/>
  <c r="D87" i="5"/>
  <c r="D88" i="5" s="1"/>
  <c r="CK87" i="7"/>
  <c r="CK88" i="7" s="1"/>
  <c r="CH5" i="24"/>
  <c r="BL81" i="2"/>
  <c r="I87" i="5"/>
  <c r="I88" i="5" s="1"/>
  <c r="N27" i="5"/>
  <c r="N27" i="4"/>
  <c r="G87" i="5"/>
  <c r="G88" i="5" s="1"/>
  <c r="BC33" i="7"/>
  <c r="BC34" i="7" s="1"/>
  <c r="CI27" i="7"/>
  <c r="W74" i="2"/>
  <c r="BT20" i="2"/>
  <c r="BS6" i="13" s="1"/>
  <c r="BT19" i="2"/>
  <c r="BM35" i="2"/>
  <c r="BM34" i="2"/>
  <c r="BT57" i="6"/>
  <c r="N67" i="5"/>
  <c r="R64" i="1"/>
  <c r="BE54" i="5"/>
  <c r="BS26" i="2"/>
  <c r="BS27" i="2" s="1"/>
  <c r="BS38" i="2"/>
  <c r="CA85" i="5"/>
  <c r="CA71" i="7"/>
  <c r="CI89" i="2"/>
  <c r="O38" i="4"/>
  <c r="O40" i="4" s="1"/>
  <c r="O41" i="4" s="1"/>
  <c r="BK65" i="4"/>
  <c r="BJ7" i="14" s="1"/>
  <c r="I67" i="6"/>
  <c r="G20" i="2"/>
  <c r="F6" i="13" s="1"/>
  <c r="T73" i="4"/>
  <c r="T75" i="4" s="1"/>
  <c r="U11" i="2"/>
  <c r="AW18" i="5"/>
  <c r="AW39" i="5"/>
  <c r="BB82" i="4"/>
  <c r="BB81" i="4"/>
  <c r="BB82" i="6"/>
  <c r="BB81" i="6"/>
  <c r="BI11" i="2"/>
  <c r="BI12" i="2"/>
  <c r="BH6" i="8" s="1"/>
  <c r="AN25" i="7"/>
  <c r="BZ67" i="6"/>
  <c r="AF65" i="2"/>
  <c r="AE6" i="14" s="1"/>
  <c r="K19" i="6"/>
  <c r="AB20" i="2"/>
  <c r="AA6" i="13" s="1"/>
  <c r="AB19" i="2"/>
  <c r="AN73" i="5"/>
  <c r="AN75" i="5" s="1"/>
  <c r="AN86" i="5"/>
  <c r="AN87" i="5" s="1"/>
  <c r="AD57" i="2"/>
  <c r="AD12" i="2"/>
  <c r="AC6" i="8" s="1"/>
  <c r="AD11" i="2"/>
  <c r="AI11" i="1"/>
  <c r="AI12" i="1"/>
  <c r="AH5" i="8" s="1"/>
  <c r="AE11" i="4"/>
  <c r="AE12" i="4"/>
  <c r="AD7" i="8" s="1"/>
  <c r="AA11" i="4"/>
  <c r="AA12" i="4"/>
  <c r="Z7" i="8" s="1"/>
  <c r="AR54" i="5"/>
  <c r="AR55" i="5"/>
  <c r="AQ9" i="15" s="1"/>
  <c r="AN54" i="5"/>
  <c r="AN55" i="5"/>
  <c r="AM9" i="15" s="1"/>
  <c r="AI12" i="5"/>
  <c r="AH9" i="8" s="1"/>
  <c r="AI11" i="5"/>
  <c r="AE11" i="5"/>
  <c r="AE12" i="5"/>
  <c r="AD9" i="8" s="1"/>
  <c r="AH12" i="6"/>
  <c r="AG8" i="8" s="1"/>
  <c r="AH11" i="6"/>
  <c r="BI55" i="4"/>
  <c r="BH7" i="15" s="1"/>
  <c r="BI54" i="4"/>
  <c r="BA54" i="4"/>
  <c r="BA55" i="4"/>
  <c r="AZ7" i="15" s="1"/>
  <c r="BZ64" i="1"/>
  <c r="O31" i="7"/>
  <c r="BY64" i="5"/>
  <c r="BZ67" i="2"/>
  <c r="BV19" i="6"/>
  <c r="J67" i="4"/>
  <c r="K54" i="2"/>
  <c r="G19" i="4"/>
  <c r="G64" i="6"/>
  <c r="N27" i="1"/>
  <c r="N34" i="6"/>
  <c r="F87" i="5"/>
  <c r="F88" i="5" s="1"/>
  <c r="T64" i="5"/>
  <c r="S73" i="4"/>
  <c r="S75" i="4" s="1"/>
  <c r="AW65" i="2"/>
  <c r="AV6" i="14" s="1"/>
  <c r="AW64" i="2"/>
  <c r="AL54" i="2"/>
  <c r="AL55" i="2"/>
  <c r="AK6" i="15" s="1"/>
  <c r="AZ35" i="1"/>
  <c r="AZ34" i="1"/>
  <c r="BF35" i="5"/>
  <c r="BU34" i="4"/>
  <c r="BU35" i="4"/>
  <c r="J19" i="4"/>
  <c r="N19" i="5"/>
  <c r="I64" i="6"/>
  <c r="D87" i="2"/>
  <c r="I87" i="1"/>
  <c r="I89" i="1" s="1"/>
  <c r="K87" i="5"/>
  <c r="K88" i="5" s="1"/>
  <c r="AY38" i="5"/>
  <c r="AY40" i="5" s="1"/>
  <c r="AY41" i="5" s="1"/>
  <c r="BH35" i="6"/>
  <c r="AZ35" i="6"/>
  <c r="BL11" i="5"/>
  <c r="BL12" i="5"/>
  <c r="BK9" i="8" s="1"/>
  <c r="BR11" i="6"/>
  <c r="BR12" i="6"/>
  <c r="BQ8" i="8" s="1"/>
  <c r="V73" i="5"/>
  <c r="V75" i="5" s="1"/>
  <c r="N74" i="1"/>
  <c r="F87" i="1"/>
  <c r="F89" i="1" s="1"/>
  <c r="H87" i="5"/>
  <c r="H88" i="5" s="1"/>
  <c r="U73" i="5"/>
  <c r="U75" i="5" s="1"/>
  <c r="AP26" i="5"/>
  <c r="AP38" i="5"/>
  <c r="AQ12" i="4"/>
  <c r="AP7" i="8" s="1"/>
  <c r="AV55" i="5"/>
  <c r="AU9" i="15" s="1"/>
  <c r="BD54" i="5"/>
  <c r="BD55" i="5"/>
  <c r="BC9" i="15" s="1"/>
  <c r="BH73" i="5"/>
  <c r="BH75" i="5" s="1"/>
  <c r="BH86" i="5"/>
  <c r="BW20" i="2"/>
  <c r="BV6" i="13" s="1"/>
  <c r="BZ65" i="6"/>
  <c r="BY8" i="14" s="1"/>
  <c r="D67" i="4"/>
  <c r="L67" i="2"/>
  <c r="N27" i="2"/>
  <c r="N27" i="6"/>
  <c r="E87" i="5"/>
  <c r="E88" i="5" s="1"/>
  <c r="K87" i="1"/>
  <c r="K89" i="1" s="1"/>
  <c r="P19" i="5"/>
  <c r="V64" i="2"/>
  <c r="AB73" i="5"/>
  <c r="AB75" i="5" s="1"/>
  <c r="AB86" i="5"/>
  <c r="BF86" i="5"/>
  <c r="BF87" i="5" s="1"/>
  <c r="BF88" i="5" s="1"/>
  <c r="BF63" i="5"/>
  <c r="BE78" i="7"/>
  <c r="BE80" i="5"/>
  <c r="BE81" i="5" s="1"/>
  <c r="BE85" i="5"/>
  <c r="BH26" i="6"/>
  <c r="BH27" i="6" s="1"/>
  <c r="BH38" i="6"/>
  <c r="AK73" i="5"/>
  <c r="AK75" i="5" s="1"/>
  <c r="AN72" i="7"/>
  <c r="AN73" i="7" s="1"/>
  <c r="AN74" i="7" s="1"/>
  <c r="AR38" i="2"/>
  <c r="AR40" i="2" s="1"/>
  <c r="AQ73" i="6"/>
  <c r="AQ74" i="6" s="1"/>
  <c r="AX73" i="4"/>
  <c r="AX75" i="4" s="1"/>
  <c r="AA57" i="5"/>
  <c r="AP57" i="6"/>
  <c r="AJ62" i="7"/>
  <c r="O16" i="7"/>
  <c r="AZ86" i="2"/>
  <c r="AZ87" i="2" s="1"/>
  <c r="AZ88" i="2" s="1"/>
  <c r="BE62" i="7"/>
  <c r="BJ86" i="2"/>
  <c r="BI24" i="7"/>
  <c r="BQ25" i="7"/>
  <c r="BV73" i="1"/>
  <c r="BV74" i="1" s="1"/>
  <c r="BY18" i="1"/>
  <c r="AE71" i="7"/>
  <c r="AJ19" i="5"/>
  <c r="AO73" i="5"/>
  <c r="AO75" i="5" s="1"/>
  <c r="AP24" i="7"/>
  <c r="AV72" i="7"/>
  <c r="AV73" i="7" s="1"/>
  <c r="AV75" i="7" s="1"/>
  <c r="AU6" i="24" s="1"/>
  <c r="AX85" i="4"/>
  <c r="AT38" i="1"/>
  <c r="AB18" i="6"/>
  <c r="AB19" i="6" s="1"/>
  <c r="AB85" i="5"/>
  <c r="AB87" i="5" s="1"/>
  <c r="Z18" i="6"/>
  <c r="V67" i="4"/>
  <c r="R63" i="4"/>
  <c r="P63" i="4"/>
  <c r="AZ73" i="2"/>
  <c r="AZ74" i="2" s="1"/>
  <c r="BA63" i="1"/>
  <c r="BA65" i="1" s="1"/>
  <c r="AZ5" i="14" s="1"/>
  <c r="BE85" i="6"/>
  <c r="BE18" i="2"/>
  <c r="BI85" i="6"/>
  <c r="BI86" i="2"/>
  <c r="BL86" i="1"/>
  <c r="BL87" i="1" s="1"/>
  <c r="BK73" i="4"/>
  <c r="BK74" i="4" s="1"/>
  <c r="BM63" i="4"/>
  <c r="BK73" i="6"/>
  <c r="BK74" i="6" s="1"/>
  <c r="BT35" i="2"/>
  <c r="BQ18" i="5"/>
  <c r="BR25" i="7"/>
  <c r="BV86" i="5"/>
  <c r="BV87" i="5" s="1"/>
  <c r="BV89" i="5" s="1"/>
  <c r="BX86" i="5"/>
  <c r="AC38" i="5"/>
  <c r="AM86" i="6"/>
  <c r="AJ63" i="6"/>
  <c r="AJ64" i="6" s="1"/>
  <c r="AH63" i="6"/>
  <c r="AD85" i="6"/>
  <c r="AB85" i="6"/>
  <c r="BB16" i="7"/>
  <c r="BD71" i="7"/>
  <c r="BD73" i="7" s="1"/>
  <c r="BD74" i="7" s="1"/>
  <c r="BJ63" i="2"/>
  <c r="BH25" i="7"/>
  <c r="BT34" i="4"/>
  <c r="BN18" i="4"/>
  <c r="BO86" i="4"/>
  <c r="BR63" i="4"/>
  <c r="BR64" i="4" s="1"/>
  <c r="BT72" i="7"/>
  <c r="BX18" i="5"/>
  <c r="BX86" i="2"/>
  <c r="AD73" i="6"/>
  <c r="AD74" i="6" s="1"/>
  <c r="AG64" i="2"/>
  <c r="AI26" i="5"/>
  <c r="AI28" i="5" s="1"/>
  <c r="AL72" i="7"/>
  <c r="AM73" i="4"/>
  <c r="AM75" i="4" s="1"/>
  <c r="AR73" i="5"/>
  <c r="AR74" i="5" s="1"/>
  <c r="AQ73" i="1"/>
  <c r="AQ74" i="1" s="1"/>
  <c r="AS86" i="6"/>
  <c r="AS87" i="6" s="1"/>
  <c r="AS88" i="6" s="1"/>
  <c r="AW71" i="7"/>
  <c r="AW73" i="7" s="1"/>
  <c r="AW74" i="7" s="1"/>
  <c r="AX26" i="1"/>
  <c r="AX27" i="1" s="1"/>
  <c r="Z9" i="7"/>
  <c r="AW67" i="1"/>
  <c r="AF63" i="4"/>
  <c r="AF65" i="4" s="1"/>
  <c r="AE7" i="14" s="1"/>
  <c r="AD63" i="4"/>
  <c r="Z18" i="5"/>
  <c r="Z64" i="4"/>
  <c r="R61" i="7"/>
  <c r="P63" i="6"/>
  <c r="AZ26" i="2"/>
  <c r="AZ27" i="2" s="1"/>
  <c r="BA85" i="1"/>
  <c r="BA55" i="5"/>
  <c r="AZ9" i="15" s="1"/>
  <c r="BA54" i="5"/>
  <c r="AZ11" i="5"/>
  <c r="AY39" i="4"/>
  <c r="BG57" i="6"/>
  <c r="BC18" i="2"/>
  <c r="BC19" i="2" s="1"/>
  <c r="BB86" i="1"/>
  <c r="BB86" i="7" s="1"/>
  <c r="BI39" i="1"/>
  <c r="BT54" i="4"/>
  <c r="BK39" i="4"/>
  <c r="BP73" i="1"/>
  <c r="BP75" i="1" s="1"/>
  <c r="BO38" i="4"/>
  <c r="BO54" i="2"/>
  <c r="BQ85" i="5"/>
  <c r="BQ85" i="2"/>
  <c r="BQ87" i="2" s="1"/>
  <c r="BR73" i="2"/>
  <c r="BR74" i="2" s="1"/>
  <c r="BV86" i="6"/>
  <c r="BV87" i="6" s="1"/>
  <c r="BV88" i="6" s="1"/>
  <c r="BU72" i="7"/>
  <c r="BV18" i="4"/>
  <c r="BY85" i="4"/>
  <c r="CB85" i="6"/>
  <c r="BZ86" i="5"/>
  <c r="CA38" i="1"/>
  <c r="AJ73" i="6"/>
  <c r="AJ75" i="6" s="1"/>
  <c r="AM19" i="2"/>
  <c r="AQ73" i="4"/>
  <c r="AQ74" i="4" s="1"/>
  <c r="AX38" i="2"/>
  <c r="AN57" i="6"/>
  <c r="O12" i="6"/>
  <c r="N8" i="8" s="1"/>
  <c r="AQ63" i="2"/>
  <c r="AI18" i="5"/>
  <c r="AY39" i="2"/>
  <c r="AY40" i="2" s="1"/>
  <c r="BH57" i="4"/>
  <c r="AZ57" i="6"/>
  <c r="BB73" i="5"/>
  <c r="BB75" i="5" s="1"/>
  <c r="BC62" i="7"/>
  <c r="BD86" i="6"/>
  <c r="BG85" i="1"/>
  <c r="BG87" i="1" s="1"/>
  <c r="BE17" i="7"/>
  <c r="BJ63" i="4"/>
  <c r="BJ64" i="4" s="1"/>
  <c r="BJ11" i="2"/>
  <c r="BH18" i="1"/>
  <c r="BH19" i="1" s="1"/>
  <c r="BK12" i="5"/>
  <c r="BJ9" i="8" s="1"/>
  <c r="BM85" i="1"/>
  <c r="BL38" i="2"/>
  <c r="BP18" i="4"/>
  <c r="BN73" i="4"/>
  <c r="BN74" i="4" s="1"/>
  <c r="BP18" i="6"/>
  <c r="BP19" i="6" s="1"/>
  <c r="BO63" i="6"/>
  <c r="BO65" i="6" s="1"/>
  <c r="BN8" i="14" s="1"/>
  <c r="BR63" i="6"/>
  <c r="BS73" i="6"/>
  <c r="BS75" i="6" s="1"/>
  <c r="BS63" i="1"/>
  <c r="BV16" i="7"/>
  <c r="BU61" i="7"/>
  <c r="BX38" i="1"/>
  <c r="CA62" i="7"/>
  <c r="CB24" i="7"/>
  <c r="AB71" i="7"/>
  <c r="AJ18" i="4"/>
  <c r="AD18" i="4"/>
  <c r="AB18" i="4"/>
  <c r="Y63" i="5"/>
  <c r="Y64" i="5" s="1"/>
  <c r="X19" i="4"/>
  <c r="U18" i="5"/>
  <c r="Q63" i="4"/>
  <c r="Q65" i="4" s="1"/>
  <c r="P7" i="14" s="1"/>
  <c r="O63" i="4"/>
  <c r="BA39" i="1"/>
  <c r="AZ26" i="1"/>
  <c r="AZ81" i="4"/>
  <c r="BD57" i="4"/>
  <c r="BI11" i="4"/>
  <c r="BA11" i="4"/>
  <c r="BL86" i="4"/>
  <c r="BK39" i="6"/>
  <c r="BK40" i="6" s="1"/>
  <c r="BK41" i="6" s="1"/>
  <c r="BO63" i="1"/>
  <c r="BQ86" i="6"/>
  <c r="BS86" i="1"/>
  <c r="BT86" i="5"/>
  <c r="BT63" i="2"/>
  <c r="BV73" i="2"/>
  <c r="BV74" i="2" s="1"/>
  <c r="BX85" i="2"/>
  <c r="BX87" i="2" s="1"/>
  <c r="BX88" i="2" s="1"/>
  <c r="CB39" i="2"/>
  <c r="CB40" i="2" s="1"/>
  <c r="CB41" i="2" s="1"/>
  <c r="CA85" i="2"/>
  <c r="AB73" i="6"/>
  <c r="AB75" i="6" s="1"/>
  <c r="AF67" i="2"/>
  <c r="AJ86" i="6"/>
  <c r="AJ86" i="7" s="1"/>
  <c r="AP26" i="2"/>
  <c r="AP28" i="2" s="1"/>
  <c r="AR57" i="5"/>
  <c r="AU18" i="6"/>
  <c r="AU20" i="6" s="1"/>
  <c r="AT8" i="13" s="1"/>
  <c r="AR85" i="5"/>
  <c r="AR87" i="5" s="1"/>
  <c r="AR89" i="5" s="1"/>
  <c r="AP63" i="5"/>
  <c r="AG85" i="6"/>
  <c r="AE63" i="6"/>
  <c r="AA85" i="6"/>
  <c r="Y63" i="6"/>
  <c r="W64" i="6"/>
  <c r="U17" i="4"/>
  <c r="U17" i="7" s="1"/>
  <c r="O18" i="6"/>
  <c r="O20" i="6" s="1"/>
  <c r="N8" i="13" s="1"/>
  <c r="BA11" i="2"/>
  <c r="AY54" i="1"/>
  <c r="AY81" i="4"/>
  <c r="BF54" i="4"/>
  <c r="BH11" i="4"/>
  <c r="AZ11" i="4"/>
  <c r="AY81" i="6"/>
  <c r="BH54" i="6"/>
  <c r="BB57" i="2"/>
  <c r="BB85" i="2"/>
  <c r="BC63" i="1"/>
  <c r="BC39" i="4"/>
  <c r="BD86" i="4"/>
  <c r="BF18" i="5"/>
  <c r="BF63" i="2"/>
  <c r="BF71" i="7"/>
  <c r="BE16" i="7"/>
  <c r="BG39" i="1"/>
  <c r="BE86" i="5"/>
  <c r="BH63" i="5"/>
  <c r="BJ85" i="5"/>
  <c r="BJ87" i="5" s="1"/>
  <c r="BJ88" i="5" s="1"/>
  <c r="BI63" i="2"/>
  <c r="BI63" i="1"/>
  <c r="BI67" i="1" s="1"/>
  <c r="BK39" i="1"/>
  <c r="BM39" i="1"/>
  <c r="BR12" i="2"/>
  <c r="BQ6" i="8" s="1"/>
  <c r="BM38" i="2"/>
  <c r="BM40" i="2" s="1"/>
  <c r="BN18" i="2"/>
  <c r="BN63" i="4"/>
  <c r="BU11" i="6"/>
  <c r="BV38" i="1"/>
  <c r="BV40" i="1" s="1"/>
  <c r="BV42" i="1" s="1"/>
  <c r="BV63" i="1"/>
  <c r="BU85" i="4"/>
  <c r="BW86" i="2"/>
  <c r="BX73" i="1"/>
  <c r="BX74" i="1" s="1"/>
  <c r="CA86" i="4"/>
  <c r="CA18" i="5"/>
  <c r="CA20" i="5" s="1"/>
  <c r="BZ9" i="13" s="1"/>
  <c r="CH89" i="4"/>
  <c r="BQ35" i="4"/>
  <c r="E101" i="7"/>
  <c r="E11" i="1"/>
  <c r="AD64" i="1"/>
  <c r="AQ12" i="1"/>
  <c r="AP5" i="8" s="1"/>
  <c r="AX39" i="1"/>
  <c r="AO25" i="7"/>
  <c r="AY16" i="7"/>
  <c r="AY67" i="1"/>
  <c r="BM71" i="7"/>
  <c r="AV57" i="1"/>
  <c r="AW65" i="1"/>
  <c r="AV5" i="14" s="1"/>
  <c r="AW26" i="1"/>
  <c r="AW27" i="1" s="1"/>
  <c r="T64" i="1"/>
  <c r="AX57" i="1"/>
  <c r="AN24" i="7"/>
  <c r="BZ18" i="1"/>
  <c r="BZ19" i="1" s="1"/>
  <c r="CA55" i="1"/>
  <c r="BZ5" i="15" s="1"/>
  <c r="CA26" i="1"/>
  <c r="CA28" i="1" s="1"/>
  <c r="BW11" i="1"/>
  <c r="BU17" i="7"/>
  <c r="BV18" i="1"/>
  <c r="BV67" i="1" s="1"/>
  <c r="BM17" i="7"/>
  <c r="BN12" i="1"/>
  <c r="BM5" i="8" s="1"/>
  <c r="K11" i="1"/>
  <c r="F11" i="1"/>
  <c r="D12" i="1"/>
  <c r="C5" i="8" s="1"/>
  <c r="C12" i="1"/>
  <c r="B5" i="8" s="1"/>
  <c r="S12" i="1"/>
  <c r="R5" i="8" s="1"/>
  <c r="AK12" i="1"/>
  <c r="AJ5" i="8" s="1"/>
  <c r="AM64" i="1"/>
  <c r="AR26" i="1"/>
  <c r="AR27" i="1" s="1"/>
  <c r="AU11" i="1"/>
  <c r="AS38" i="1"/>
  <c r="AX38" i="1"/>
  <c r="AX38" i="7" s="1"/>
  <c r="BF20" i="1"/>
  <c r="BE5" i="13" s="1"/>
  <c r="BD73" i="1"/>
  <c r="BD75" i="1" s="1"/>
  <c r="AZ38" i="1"/>
  <c r="AZ86" i="1"/>
  <c r="BC86" i="1"/>
  <c r="BB26" i="1"/>
  <c r="BB27" i="1" s="1"/>
  <c r="BE86" i="1"/>
  <c r="BG38" i="1"/>
  <c r="BI86" i="1"/>
  <c r="BR73" i="1"/>
  <c r="BR75" i="1" s="1"/>
  <c r="BQ39" i="1"/>
  <c r="CA16" i="7"/>
  <c r="BL16" i="7"/>
  <c r="BL18" i="7" s="1"/>
  <c r="BL20" i="7" s="1"/>
  <c r="BY39" i="1"/>
  <c r="AN12" i="1"/>
  <c r="AM5" i="8" s="1"/>
  <c r="AX25" i="7"/>
  <c r="AK19" i="1"/>
  <c r="AI64" i="1"/>
  <c r="AB19" i="1"/>
  <c r="AT12" i="1"/>
  <c r="AS5" i="8" s="1"/>
  <c r="AS85" i="1"/>
  <c r="AM20" i="1"/>
  <c r="AL5" i="13" s="1"/>
  <c r="CB26" i="1"/>
  <c r="CB28" i="1" s="1"/>
  <c r="C11" i="1"/>
  <c r="G19" i="1"/>
  <c r="Q11" i="1"/>
  <c r="P12" i="1"/>
  <c r="O5" i="8" s="1"/>
  <c r="U64" i="1"/>
  <c r="Z12" i="1"/>
  <c r="Y5" i="8" s="1"/>
  <c r="AB12" i="1"/>
  <c r="AA5" i="8" s="1"/>
  <c r="AF11" i="1"/>
  <c r="AP39" i="1"/>
  <c r="AX18" i="1"/>
  <c r="AX20" i="1" s="1"/>
  <c r="AW5" i="13" s="1"/>
  <c r="AV18" i="1"/>
  <c r="AR18" i="1"/>
  <c r="AR67" i="1" s="1"/>
  <c r="BH26" i="1"/>
  <c r="BH28" i="1" s="1"/>
  <c r="AZ85" i="1"/>
  <c r="BO73" i="1"/>
  <c r="BO74" i="1" s="1"/>
  <c r="BU63" i="1"/>
  <c r="BW86" i="1"/>
  <c r="BY85" i="1"/>
  <c r="CB25" i="7"/>
  <c r="CB18" i="1"/>
  <c r="CB19" i="1" s="1"/>
  <c r="BZ26" i="1"/>
  <c r="BZ28" i="1" s="1"/>
  <c r="N34" i="4"/>
  <c r="BM35" i="4"/>
  <c r="BJ82" i="6"/>
  <c r="BF82" i="4"/>
  <c r="BD82" i="6"/>
  <c r="BO35" i="4"/>
  <c r="BS35" i="4"/>
  <c r="AM81" i="1"/>
  <c r="E74" i="2"/>
  <c r="BJ34" i="4"/>
  <c r="BV35" i="4"/>
  <c r="BR35" i="4"/>
  <c r="BN35" i="4"/>
  <c r="BF35" i="4"/>
  <c r="BC81" i="5"/>
  <c r="BB81" i="5"/>
  <c r="BE82" i="6"/>
  <c r="BF82" i="6"/>
  <c r="CM89" i="7"/>
  <c r="BV82" i="2"/>
  <c r="Q87" i="2"/>
  <c r="Q89" i="2" s="1"/>
  <c r="BP34" i="2"/>
  <c r="Q87" i="1"/>
  <c r="Q89" i="1" s="1"/>
  <c r="BJ33" i="7"/>
  <c r="BJ35" i="7" s="1"/>
  <c r="BI8" i="26" s="1"/>
  <c r="P20" i="4"/>
  <c r="O7" i="13" s="1"/>
  <c r="P19" i="4"/>
  <c r="AW65" i="4"/>
  <c r="AV7" i="14" s="1"/>
  <c r="AW64" i="4"/>
  <c r="AK20" i="4"/>
  <c r="AJ7" i="13" s="1"/>
  <c r="AK19" i="4"/>
  <c r="AI20" i="4"/>
  <c r="AH7" i="13" s="1"/>
  <c r="AI19" i="4"/>
  <c r="AB19" i="4"/>
  <c r="AB20" i="4"/>
  <c r="AA7" i="13" s="1"/>
  <c r="P65" i="4"/>
  <c r="O7" i="14" s="1"/>
  <c r="P64" i="4"/>
  <c r="K65" i="4"/>
  <c r="J7" i="14" s="1"/>
  <c r="K67" i="4"/>
  <c r="AA73" i="4"/>
  <c r="AA87" i="4" s="1"/>
  <c r="AA85" i="4"/>
  <c r="AO11" i="4"/>
  <c r="AO12" i="4"/>
  <c r="AN7" i="8" s="1"/>
  <c r="AK12" i="4"/>
  <c r="AJ7" i="8" s="1"/>
  <c r="AK11" i="4"/>
  <c r="AI12" i="4"/>
  <c r="AH7" i="8" s="1"/>
  <c r="AI11" i="4"/>
  <c r="AG57" i="4"/>
  <c r="AG12" i="4"/>
  <c r="AF7" i="8" s="1"/>
  <c r="AG11" i="4"/>
  <c r="AC11" i="4"/>
  <c r="AC12" i="4"/>
  <c r="AB7" i="8" s="1"/>
  <c r="R12" i="4"/>
  <c r="Q7" i="8" s="1"/>
  <c r="R11" i="4"/>
  <c r="N12" i="4"/>
  <c r="M7" i="8" s="1"/>
  <c r="N11" i="4"/>
  <c r="AT18" i="4"/>
  <c r="AT20" i="4" s="1"/>
  <c r="AS7" i="13" s="1"/>
  <c r="AT38" i="4"/>
  <c r="AQ38" i="4"/>
  <c r="AQ18" i="4"/>
  <c r="AQ20" i="4" s="1"/>
  <c r="AP7" i="13" s="1"/>
  <c r="AG64" i="4"/>
  <c r="AG65" i="4"/>
  <c r="AF7" i="14" s="1"/>
  <c r="O20" i="4"/>
  <c r="N7" i="13" s="1"/>
  <c r="O19" i="4"/>
  <c r="BJ81" i="4"/>
  <c r="BH82" i="4"/>
  <c r="BH81" i="4"/>
  <c r="BD81" i="4"/>
  <c r="BD82" i="4"/>
  <c r="BF65" i="4"/>
  <c r="BE7" i="14" s="1"/>
  <c r="BA86" i="4"/>
  <c r="BD25" i="7"/>
  <c r="BG39" i="4"/>
  <c r="BH38" i="4"/>
  <c r="BH38" i="7" s="1"/>
  <c r="BH18" i="4"/>
  <c r="BH67" i="4" s="1"/>
  <c r="BX63" i="4"/>
  <c r="BX85" i="4"/>
  <c r="BG71" i="7"/>
  <c r="AA71" i="7"/>
  <c r="AC64" i="4"/>
  <c r="AX57" i="4"/>
  <c r="AJ38" i="4"/>
  <c r="BK20" i="4"/>
  <c r="BJ7" i="13" s="1"/>
  <c r="BK24" i="7"/>
  <c r="BJ61" i="7"/>
  <c r="AG38" i="4"/>
  <c r="D12" i="4"/>
  <c r="C7" i="8" s="1"/>
  <c r="C12" i="4"/>
  <c r="B7" i="8" s="1"/>
  <c r="N20" i="4"/>
  <c r="M7" i="13" s="1"/>
  <c r="N19" i="4"/>
  <c r="R85" i="4"/>
  <c r="R73" i="4"/>
  <c r="R75" i="4" s="1"/>
  <c r="S24" i="7"/>
  <c r="S26" i="4"/>
  <c r="S27" i="4" s="1"/>
  <c r="Z40" i="4"/>
  <c r="Z41" i="4" s="1"/>
  <c r="Z27" i="4"/>
  <c r="AG19" i="4"/>
  <c r="AI85" i="4"/>
  <c r="AI73" i="4"/>
  <c r="AI74" i="4" s="1"/>
  <c r="AR64" i="4"/>
  <c r="AP18" i="4"/>
  <c r="AP19" i="4" s="1"/>
  <c r="AW85" i="4"/>
  <c r="V9" i="7"/>
  <c r="V10" i="7" s="1"/>
  <c r="V11" i="7" s="1"/>
  <c r="V12" i="4"/>
  <c r="U7" i="8" s="1"/>
  <c r="BG57" i="4"/>
  <c r="BC57" i="4"/>
  <c r="BC12" i="4"/>
  <c r="BB7" i="8" s="1"/>
  <c r="AY57" i="4"/>
  <c r="BN26" i="4"/>
  <c r="BN28" i="4" s="1"/>
  <c r="BN38" i="4"/>
  <c r="BN61" i="7"/>
  <c r="BN63" i="7" s="1"/>
  <c r="BN65" i="7" s="1"/>
  <c r="BM12" i="14" s="1"/>
  <c r="BP72" i="7"/>
  <c r="BQ86" i="4"/>
  <c r="BS86" i="4"/>
  <c r="BS86" i="7" s="1"/>
  <c r="CA18" i="4"/>
  <c r="CA20" i="4" s="1"/>
  <c r="BZ7" i="13" s="1"/>
  <c r="AP12" i="4"/>
  <c r="AO7" i="8" s="1"/>
  <c r="AP11" i="4"/>
  <c r="K57" i="4"/>
  <c r="K12" i="4"/>
  <c r="J7" i="8" s="1"/>
  <c r="I57" i="4"/>
  <c r="I12" i="4"/>
  <c r="H7" i="8" s="1"/>
  <c r="G57" i="4"/>
  <c r="G12" i="4"/>
  <c r="F7" i="8" s="1"/>
  <c r="AV64" i="4"/>
  <c r="AV65" i="4"/>
  <c r="AU7" i="14" s="1"/>
  <c r="AO38" i="4"/>
  <c r="AO18" i="4"/>
  <c r="AO19" i="4" s="1"/>
  <c r="AC38" i="4"/>
  <c r="AC18" i="4"/>
  <c r="W40" i="4"/>
  <c r="W41" i="4" s="1"/>
  <c r="W19" i="4"/>
  <c r="U64" i="4"/>
  <c r="U67" i="4"/>
  <c r="BH34" i="4"/>
  <c r="BH35" i="4"/>
  <c r="BD35" i="4"/>
  <c r="BD34" i="4"/>
  <c r="BB18" i="4"/>
  <c r="BB20" i="4" s="1"/>
  <c r="BA7" i="13" s="1"/>
  <c r="BB38" i="4"/>
  <c r="BC73" i="4"/>
  <c r="BC74" i="4" s="1"/>
  <c r="BC85" i="4"/>
  <c r="BH72" i="7"/>
  <c r="BH73" i="7" s="1"/>
  <c r="BH74" i="7" s="1"/>
  <c r="BM55" i="4"/>
  <c r="BL7" i="15" s="1"/>
  <c r="AN12" i="4"/>
  <c r="AM7" i="8" s="1"/>
  <c r="AV12" i="4"/>
  <c r="AU7" i="8" s="1"/>
  <c r="AE64" i="4"/>
  <c r="AT57" i="4"/>
  <c r="AX39" i="4"/>
  <c r="AR85" i="4"/>
  <c r="BY65" i="4"/>
  <c r="BX7" i="14" s="1"/>
  <c r="BM65" i="4"/>
  <c r="BL7" i="14" s="1"/>
  <c r="BH16" i="7"/>
  <c r="C11" i="4"/>
  <c r="K11" i="4"/>
  <c r="H12" i="4"/>
  <c r="G7" i="8" s="1"/>
  <c r="L12" i="4"/>
  <c r="K7" i="8" s="1"/>
  <c r="P86" i="4"/>
  <c r="P86" i="7" s="1"/>
  <c r="T32" i="4"/>
  <c r="T39" i="4" s="1"/>
  <c r="T40" i="4" s="1"/>
  <c r="T42" i="4" s="1"/>
  <c r="U87" i="4"/>
  <c r="X38" i="4"/>
  <c r="AK85" i="4"/>
  <c r="AP71" i="7"/>
  <c r="C53" i="4"/>
  <c r="C57" i="4" s="1"/>
  <c r="C51" i="7"/>
  <c r="BN12" i="4"/>
  <c r="BM7" i="8" s="1"/>
  <c r="Q73" i="4"/>
  <c r="Q74" i="4" s="1"/>
  <c r="Z85" i="4"/>
  <c r="Z88" i="4" s="1"/>
  <c r="AJ85" i="4"/>
  <c r="AV85" i="4"/>
  <c r="N57" i="4"/>
  <c r="L57" i="4"/>
  <c r="F57" i="4"/>
  <c r="AT39" i="4"/>
  <c r="T18" i="4"/>
  <c r="T20" i="4" s="1"/>
  <c r="S7" i="13" s="1"/>
  <c r="P17" i="7"/>
  <c r="P18" i="7" s="1"/>
  <c r="BB39" i="4"/>
  <c r="BB73" i="4"/>
  <c r="BB75" i="4" s="1"/>
  <c r="BE18" i="4"/>
  <c r="BE19" i="4" s="1"/>
  <c r="BG26" i="4"/>
  <c r="BG27" i="4" s="1"/>
  <c r="BF85" i="4"/>
  <c r="P39" i="4"/>
  <c r="P40" i="4" s="1"/>
  <c r="P41" i="4" s="1"/>
  <c r="Y85" i="4"/>
  <c r="Y88" i="4" s="1"/>
  <c r="AA38" i="4"/>
  <c r="AH85" i="4"/>
  <c r="AL85" i="4"/>
  <c r="AO85" i="4"/>
  <c r="AO85" i="7" s="1"/>
  <c r="AT85" i="4"/>
  <c r="Y9" i="7"/>
  <c r="Y10" i="7" s="1"/>
  <c r="Y11" i="7" s="1"/>
  <c r="AX63" i="4"/>
  <c r="AQ63" i="4"/>
  <c r="AI16" i="7"/>
  <c r="AI63" i="4"/>
  <c r="AI64" i="4" s="1"/>
  <c r="AH63" i="4"/>
  <c r="X62" i="4"/>
  <c r="X65" i="4" s="1"/>
  <c r="W7" i="14" s="1"/>
  <c r="S63" i="4"/>
  <c r="BC18" i="4"/>
  <c r="BD18" i="4"/>
  <c r="BD19" i="4" s="1"/>
  <c r="BG18" i="4"/>
  <c r="BE63" i="4"/>
  <c r="BE64" i="4" s="1"/>
  <c r="BF61" i="7"/>
  <c r="BM24" i="7"/>
  <c r="BS57" i="4"/>
  <c r="BN24" i="7"/>
  <c r="BN26" i="7" s="1"/>
  <c r="BN28" i="7" s="1"/>
  <c r="BM5" i="24" s="1"/>
  <c r="BS62" i="7"/>
  <c r="M34" i="5"/>
  <c r="BR81" i="2"/>
  <c r="BO35" i="2"/>
  <c r="BE75" i="5"/>
  <c r="BW34" i="6"/>
  <c r="CG87" i="7"/>
  <c r="CG88" i="7" s="1"/>
  <c r="BN82" i="2"/>
  <c r="BS34" i="2"/>
  <c r="BA81" i="5"/>
  <c r="BG82" i="6"/>
  <c r="BV34" i="2"/>
  <c r="BR34" i="2"/>
  <c r="BU34" i="2"/>
  <c r="BG82" i="4"/>
  <c r="BC82" i="4"/>
  <c r="BI82" i="4"/>
  <c r="BE82" i="4"/>
  <c r="BI35" i="4"/>
  <c r="BE35" i="4"/>
  <c r="BG35" i="4"/>
  <c r="BC35" i="4"/>
  <c r="N34" i="1"/>
  <c r="AZ81" i="5"/>
  <c r="BH82" i="5"/>
  <c r="BS40" i="6"/>
  <c r="BS41" i="6" s="1"/>
  <c r="BT81" i="2"/>
  <c r="BG74" i="2"/>
  <c r="BP82" i="2"/>
  <c r="BQ35" i="2"/>
  <c r="BU87" i="1"/>
  <c r="BU88" i="1" s="1"/>
  <c r="G81" i="1"/>
  <c r="BC27" i="5"/>
  <c r="BE35" i="1"/>
  <c r="BG35" i="1"/>
  <c r="C85" i="5"/>
  <c r="C87" i="5" s="1"/>
  <c r="C88" i="5" s="1"/>
  <c r="BD27" i="5"/>
  <c r="BQ28" i="5"/>
  <c r="BU82" i="2"/>
  <c r="BQ82" i="2"/>
  <c r="BM82" i="2"/>
  <c r="Y75" i="2"/>
  <c r="BS82" i="2"/>
  <c r="BO82" i="2"/>
  <c r="BG82" i="5"/>
  <c r="BJ82" i="5"/>
  <c r="BF82" i="5"/>
  <c r="BI82" i="5"/>
  <c r="BE82" i="5"/>
  <c r="W34" i="5"/>
  <c r="BB27" i="5"/>
  <c r="AE34" i="5"/>
  <c r="BX81" i="6"/>
  <c r="BU87" i="6"/>
  <c r="BU88" i="6" s="1"/>
  <c r="AL34" i="6"/>
  <c r="L40" i="6"/>
  <c r="L42" i="6" s="1"/>
  <c r="BD28" i="6"/>
  <c r="BX34" i="4"/>
  <c r="AN40" i="4"/>
  <c r="AN41" i="4" s="1"/>
  <c r="BD74" i="2"/>
  <c r="V75" i="2"/>
  <c r="CF89" i="1"/>
  <c r="P35" i="5"/>
  <c r="AX82" i="6"/>
  <c r="BC27" i="6"/>
  <c r="BX40" i="6"/>
  <c r="BX42" i="6" s="1"/>
  <c r="CA81" i="2"/>
  <c r="Z75" i="2"/>
  <c r="U75" i="2"/>
  <c r="AD82" i="2"/>
  <c r="BF35" i="1"/>
  <c r="BJ35" i="1"/>
  <c r="BC64" i="1"/>
  <c r="BC65" i="1"/>
  <c r="BB5" i="14" s="1"/>
  <c r="BI19" i="1"/>
  <c r="BI20" i="1"/>
  <c r="BH5" i="13" s="1"/>
  <c r="CB20" i="1"/>
  <c r="CA5" i="13" s="1"/>
  <c r="AD20" i="1"/>
  <c r="AC5" i="13" s="1"/>
  <c r="AD67" i="1"/>
  <c r="BK73" i="1"/>
  <c r="BK74" i="1" s="1"/>
  <c r="BK86" i="1"/>
  <c r="BK61" i="7"/>
  <c r="BK63" i="7" s="1"/>
  <c r="BK64" i="7" s="1"/>
  <c r="BS12" i="1"/>
  <c r="BR5" i="8" s="1"/>
  <c r="BS11" i="1"/>
  <c r="D19" i="1"/>
  <c r="BR39" i="1"/>
  <c r="BN39" i="1"/>
  <c r="BP57" i="1"/>
  <c r="BE18" i="7"/>
  <c r="BE19" i="7" s="1"/>
  <c r="BF65" i="1"/>
  <c r="BE5" i="14" s="1"/>
  <c r="BF67" i="1"/>
  <c r="BF64" i="1"/>
  <c r="Y65" i="1"/>
  <c r="X5" i="14" s="1"/>
  <c r="Y64" i="1"/>
  <c r="AM34" i="1"/>
  <c r="AP12" i="1"/>
  <c r="AO5" i="8" s="1"/>
  <c r="AP11" i="1"/>
  <c r="AJ12" i="1"/>
  <c r="AI5" i="8" s="1"/>
  <c r="AJ11" i="1"/>
  <c r="AD12" i="1"/>
  <c r="AC5" i="8" s="1"/>
  <c r="AD11" i="1"/>
  <c r="BJ39" i="1"/>
  <c r="BJ40" i="1" s="1"/>
  <c r="BJ41" i="1" s="1"/>
  <c r="BL63" i="1"/>
  <c r="BO55" i="1"/>
  <c r="BN5" i="15" s="1"/>
  <c r="BO54" i="1"/>
  <c r="CF87" i="7"/>
  <c r="CF88" i="7" s="1"/>
  <c r="AD19" i="1"/>
  <c r="BY20" i="1"/>
  <c r="BX5" i="13" s="1"/>
  <c r="BY19" i="1"/>
  <c r="N12" i="1"/>
  <c r="M5" i="8" s="1"/>
  <c r="P64" i="1"/>
  <c r="P65" i="1"/>
  <c r="O5" i="14" s="1"/>
  <c r="W65" i="1"/>
  <c r="V5" i="14" s="1"/>
  <c r="W67" i="1"/>
  <c r="X11" i="1"/>
  <c r="X64" i="1"/>
  <c r="X67" i="1"/>
  <c r="AL64" i="1"/>
  <c r="AC20" i="1"/>
  <c r="AB5" i="13" s="1"/>
  <c r="AC19" i="1"/>
  <c r="AO65" i="1"/>
  <c r="AN5" i="14" s="1"/>
  <c r="AO67" i="1"/>
  <c r="AQ25" i="7"/>
  <c r="AQ26" i="7" s="1"/>
  <c r="AQ27" i="7" s="1"/>
  <c r="AR12" i="1"/>
  <c r="AQ5" i="8" s="1"/>
  <c r="AX85" i="1"/>
  <c r="AH55" i="1"/>
  <c r="AG5" i="15" s="1"/>
  <c r="AH54" i="1"/>
  <c r="D54" i="1"/>
  <c r="D55" i="1"/>
  <c r="C5" i="15" s="1"/>
  <c r="BI35" i="1"/>
  <c r="BH34" i="1"/>
  <c r="BH35" i="1"/>
  <c r="BJ18" i="1"/>
  <c r="BJ19" i="1" s="1"/>
  <c r="BD39" i="1"/>
  <c r="BD18" i="1"/>
  <c r="BD19" i="1" s="1"/>
  <c r="BD85" i="1"/>
  <c r="BD87" i="1" s="1"/>
  <c r="BD88" i="1" s="1"/>
  <c r="BD61" i="7"/>
  <c r="BF16" i="7"/>
  <c r="BF38" i="1"/>
  <c r="BF40" i="1" s="1"/>
  <c r="BF41" i="1" s="1"/>
  <c r="BE26" i="1"/>
  <c r="BE27" i="1" s="1"/>
  <c r="BE25" i="7"/>
  <c r="BJ63" i="1"/>
  <c r="BJ65" i="1" s="1"/>
  <c r="BI5" i="14" s="1"/>
  <c r="BH73" i="1"/>
  <c r="BH75" i="1" s="1"/>
  <c r="BK18" i="1"/>
  <c r="BK20" i="1" s="1"/>
  <c r="BJ5" i="13" s="1"/>
  <c r="BK16" i="7"/>
  <c r="BM55" i="1"/>
  <c r="BL5" i="15" s="1"/>
  <c r="BM54" i="1"/>
  <c r="BV85" i="1"/>
  <c r="BV85" i="7" s="1"/>
  <c r="BT86" i="1"/>
  <c r="BT73" i="1"/>
  <c r="BT75" i="1" s="1"/>
  <c r="CB12" i="1"/>
  <c r="CA5" i="8" s="1"/>
  <c r="CB57" i="1"/>
  <c r="BW25" i="7"/>
  <c r="BW26" i="1"/>
  <c r="BW27" i="1" s="1"/>
  <c r="BK85" i="1"/>
  <c r="BK63" i="1"/>
  <c r="BP38" i="1"/>
  <c r="BP16" i="7"/>
  <c r="CL88" i="7"/>
  <c r="CL89" i="7"/>
  <c r="BO82" i="1"/>
  <c r="BQ62" i="7"/>
  <c r="BL62" i="7"/>
  <c r="Q20" i="1"/>
  <c r="P5" i="13" s="1"/>
  <c r="Q19" i="1"/>
  <c r="Q67" i="1"/>
  <c r="AR85" i="1"/>
  <c r="AR87" i="1" s="1"/>
  <c r="AR89" i="1" s="1"/>
  <c r="AR73" i="1"/>
  <c r="AR74" i="1" s="1"/>
  <c r="L12" i="1"/>
  <c r="K5" i="8" s="1"/>
  <c r="L11" i="1"/>
  <c r="AT64" i="1"/>
  <c r="AT65" i="1"/>
  <c r="AS5" i="14" s="1"/>
  <c r="AS65" i="1"/>
  <c r="AR5" i="14" s="1"/>
  <c r="AS64" i="1"/>
  <c r="BC20" i="1"/>
  <c r="BB5" i="13" s="1"/>
  <c r="BE63" i="1"/>
  <c r="BE85" i="1"/>
  <c r="BO18" i="1"/>
  <c r="BO19" i="1" s="1"/>
  <c r="BO20" i="1"/>
  <c r="BN5" i="13" s="1"/>
  <c r="BP26" i="1"/>
  <c r="BP27" i="1" s="1"/>
  <c r="BP39" i="1"/>
  <c r="BP39" i="7" s="1"/>
  <c r="BT16" i="7"/>
  <c r="BT18" i="7" s="1"/>
  <c r="BT20" i="7" s="1"/>
  <c r="BT18" i="1"/>
  <c r="BT19" i="1" s="1"/>
  <c r="BV26" i="1"/>
  <c r="BV27" i="1" s="1"/>
  <c r="BV24" i="7"/>
  <c r="BT63" i="1"/>
  <c r="BT85" i="1"/>
  <c r="CA12" i="1"/>
  <c r="BZ5" i="8" s="1"/>
  <c r="CA11" i="1"/>
  <c r="AY64" i="1"/>
  <c r="AV11" i="1"/>
  <c r="AT39" i="1"/>
  <c r="AT40" i="1" s="1"/>
  <c r="AT42" i="1" s="1"/>
  <c r="AR72" i="7"/>
  <c r="S20" i="1"/>
  <c r="R5" i="13" s="1"/>
  <c r="AX11" i="1"/>
  <c r="AS39" i="1"/>
  <c r="BB18" i="1"/>
  <c r="BB19" i="1" s="1"/>
  <c r="R67" i="1"/>
  <c r="H12" i="1"/>
  <c r="G5" i="8" s="1"/>
  <c r="AT26" i="1"/>
  <c r="AT27" i="1" s="1"/>
  <c r="AM26" i="1"/>
  <c r="AM27" i="1" s="1"/>
  <c r="BW63" i="1"/>
  <c r="BW65" i="1" s="1"/>
  <c r="BV5" i="14" s="1"/>
  <c r="BO86" i="1"/>
  <c r="BO87" i="1" s="1"/>
  <c r="BO89" i="1" s="1"/>
  <c r="BO17" i="7"/>
  <c r="BM63" i="1"/>
  <c r="BG17" i="7"/>
  <c r="BG18" i="7" s="1"/>
  <c r="BC39" i="1"/>
  <c r="BD24" i="7"/>
  <c r="AL67" i="1"/>
  <c r="J11" i="1"/>
  <c r="R12" i="1"/>
  <c r="Q5" i="8" s="1"/>
  <c r="V11" i="1"/>
  <c r="X55" i="1"/>
  <c r="W5" i="15" s="1"/>
  <c r="AH20" i="1"/>
  <c r="AG5" i="13" s="1"/>
  <c r="AH19" i="1"/>
  <c r="AN54" i="1"/>
  <c r="AN67" i="1"/>
  <c r="AR54" i="1"/>
  <c r="BE73" i="1"/>
  <c r="BE74" i="1" s="1"/>
  <c r="BH85" i="1"/>
  <c r="BR26" i="1"/>
  <c r="BR27" i="1" s="1"/>
  <c r="BS65" i="1"/>
  <c r="BR5" i="14" s="1"/>
  <c r="BS64" i="1"/>
  <c r="BW39" i="1"/>
  <c r="BE39" i="1"/>
  <c r="BH53" i="7"/>
  <c r="BH54" i="7" s="1"/>
  <c r="BM62" i="7"/>
  <c r="BL72" i="7"/>
  <c r="BL73" i="7" s="1"/>
  <c r="BL75" i="7" s="1"/>
  <c r="BK6" i="24" s="1"/>
  <c r="AU39" i="1"/>
  <c r="AW39" i="1"/>
  <c r="AW40" i="1" s="1"/>
  <c r="AT86" i="1"/>
  <c r="AP86" i="1"/>
  <c r="AP87" i="1" s="1"/>
  <c r="BC85" i="1"/>
  <c r="BC72" i="7"/>
  <c r="BC73" i="7" s="1"/>
  <c r="BC74" i="7" s="1"/>
  <c r="BM38" i="1"/>
  <c r="BL39" i="1"/>
  <c r="BM73" i="1"/>
  <c r="BM74" i="1" s="1"/>
  <c r="BM16" i="7"/>
  <c r="BL25" i="7"/>
  <c r="BR85" i="1"/>
  <c r="BT38" i="1"/>
  <c r="BT40" i="1" s="1"/>
  <c r="BT41" i="1" s="1"/>
  <c r="CA24" i="7"/>
  <c r="H87" i="6"/>
  <c r="H89" i="6" s="1"/>
  <c r="BP40" i="6"/>
  <c r="BP41" i="6" s="1"/>
  <c r="BV27" i="6"/>
  <c r="AN81" i="4"/>
  <c r="BS28" i="4"/>
  <c r="V35" i="4"/>
  <c r="T27" i="4"/>
  <c r="CB34" i="4"/>
  <c r="X74" i="2"/>
  <c r="O82" i="2"/>
  <c r="AB40" i="2"/>
  <c r="AB42" i="2" s="1"/>
  <c r="AN40" i="2"/>
  <c r="AN41" i="2" s="1"/>
  <c r="CC88" i="1"/>
  <c r="CI89" i="1"/>
  <c r="I81" i="1"/>
  <c r="AG87" i="1"/>
  <c r="AG88" i="1" s="1"/>
  <c r="BX81" i="1"/>
  <c r="S75" i="1"/>
  <c r="R75" i="1"/>
  <c r="BD74" i="1"/>
  <c r="CG89" i="1"/>
  <c r="AU82" i="1"/>
  <c r="W28" i="1"/>
  <c r="AO40" i="1"/>
  <c r="AO41" i="1" s="1"/>
  <c r="AI35" i="1"/>
  <c r="BV75" i="5"/>
  <c r="AR81" i="5"/>
  <c r="CF75" i="7"/>
  <c r="CE6" i="24" s="1"/>
  <c r="N74" i="5"/>
  <c r="AN27" i="5"/>
  <c r="AD35" i="5"/>
  <c r="BP28" i="5"/>
  <c r="BO82" i="6"/>
  <c r="BU40" i="6"/>
  <c r="BU42" i="6" s="1"/>
  <c r="BZ81" i="4"/>
  <c r="AN35" i="4"/>
  <c r="BO27" i="4"/>
  <c r="CC42" i="4"/>
  <c r="AR35" i="4"/>
  <c r="S75" i="2"/>
  <c r="AG75" i="2"/>
  <c r="L81" i="2"/>
  <c r="BH35" i="2"/>
  <c r="Z75" i="1"/>
  <c r="AB40" i="1"/>
  <c r="AB41" i="1" s="1"/>
  <c r="BX10" i="7"/>
  <c r="BX11" i="7" s="1"/>
  <c r="AI65" i="6"/>
  <c r="AH8" i="14" s="1"/>
  <c r="AI64" i="6"/>
  <c r="P85" i="6"/>
  <c r="P87" i="6" s="1"/>
  <c r="P88" i="6" s="1"/>
  <c r="P73" i="6"/>
  <c r="P75" i="6" s="1"/>
  <c r="AF85" i="6"/>
  <c r="AF85" i="7" s="1"/>
  <c r="AF73" i="6"/>
  <c r="AF75" i="6" s="1"/>
  <c r="AU64" i="6"/>
  <c r="AU65" i="6"/>
  <c r="AT8" i="14" s="1"/>
  <c r="T54" i="6"/>
  <c r="T55" i="6"/>
  <c r="S8" i="15" s="1"/>
  <c r="W51" i="7"/>
  <c r="W53" i="7" s="1"/>
  <c r="W55" i="7" s="1"/>
  <c r="V12" i="15" s="1"/>
  <c r="W54" i="6"/>
  <c r="AQ18" i="6"/>
  <c r="AQ38" i="6"/>
  <c r="AQ40" i="6" s="1"/>
  <c r="Y65" i="6"/>
  <c r="X8" i="14" s="1"/>
  <c r="Y64" i="6"/>
  <c r="CJ19" i="7"/>
  <c r="CJ67" i="7"/>
  <c r="AT12" i="6"/>
  <c r="AS8" i="8" s="1"/>
  <c r="P19" i="6"/>
  <c r="AR57" i="6"/>
  <c r="CB54" i="6"/>
  <c r="BR65" i="6"/>
  <c r="BQ8" i="14" s="1"/>
  <c r="J55" i="6"/>
  <c r="I8" i="15" s="1"/>
  <c r="AK73" i="6"/>
  <c r="AK75" i="6" s="1"/>
  <c r="AL12" i="6"/>
  <c r="AK8" i="8" s="1"/>
  <c r="AW82" i="6"/>
  <c r="AU73" i="6"/>
  <c r="AU74" i="6" s="1"/>
  <c r="AU85" i="6"/>
  <c r="AU87" i="6" s="1"/>
  <c r="AF57" i="6"/>
  <c r="AF55" i="6"/>
  <c r="AE8" i="15" s="1"/>
  <c r="AB54" i="6"/>
  <c r="AB55" i="6"/>
  <c r="AA8" i="15" s="1"/>
  <c r="Q12" i="6"/>
  <c r="P8" i="8" s="1"/>
  <c r="Q11" i="6"/>
  <c r="BD20" i="6"/>
  <c r="BC8" i="13" s="1"/>
  <c r="BD19" i="6"/>
  <c r="BV11" i="6"/>
  <c r="AQ71" i="7"/>
  <c r="AP11" i="6"/>
  <c r="AT57" i="6"/>
  <c r="AX57" i="6"/>
  <c r="AR28" i="6"/>
  <c r="AK65" i="6"/>
  <c r="AJ8" i="14" s="1"/>
  <c r="AJ11" i="6"/>
  <c r="AS72" i="7"/>
  <c r="AS73" i="7" s="1"/>
  <c r="AS74" i="7" s="1"/>
  <c r="AJ85" i="6"/>
  <c r="O85" i="6"/>
  <c r="O87" i="6" s="1"/>
  <c r="O89" i="6" s="1"/>
  <c r="BU62" i="7"/>
  <c r="BU63" i="7" s="1"/>
  <c r="BL39" i="6"/>
  <c r="BN85" i="6"/>
  <c r="BO62" i="7"/>
  <c r="W62" i="6"/>
  <c r="W86" i="6" s="1"/>
  <c r="G11" i="6"/>
  <c r="M11" i="6"/>
  <c r="I12" i="6"/>
  <c r="H8" i="8" s="1"/>
  <c r="I19" i="6"/>
  <c r="I20" i="6"/>
  <c r="H8" i="13" s="1"/>
  <c r="AI85" i="6"/>
  <c r="AI87" i="6" s="1"/>
  <c r="AI89" i="6" s="1"/>
  <c r="AL54" i="6"/>
  <c r="AR55" i="6"/>
  <c r="AQ8" i="15" s="1"/>
  <c r="AT54" i="6"/>
  <c r="AT72" i="7"/>
  <c r="AT73" i="7" s="1"/>
  <c r="AT75" i="7" s="1"/>
  <c r="AS6" i="24" s="1"/>
  <c r="Q62" i="7"/>
  <c r="Q63" i="7" s="1"/>
  <c r="Q64" i="7" s="1"/>
  <c r="Q65" i="6"/>
  <c r="P8" i="14" s="1"/>
  <c r="BG75" i="6"/>
  <c r="BG74" i="6"/>
  <c r="BF52" i="7"/>
  <c r="BF53" i="7" s="1"/>
  <c r="BF86" i="6"/>
  <c r="BH18" i="6"/>
  <c r="BH19" i="6" s="1"/>
  <c r="BH39" i="6"/>
  <c r="BH40" i="6" s="1"/>
  <c r="BU63" i="6"/>
  <c r="CB40" i="6"/>
  <c r="CB41" i="6" s="1"/>
  <c r="AM20" i="6"/>
  <c r="AL8" i="13" s="1"/>
  <c r="AM19" i="6"/>
  <c r="AB12" i="6"/>
  <c r="AA8" i="8" s="1"/>
  <c r="AB11" i="6"/>
  <c r="F54" i="6"/>
  <c r="F55" i="6"/>
  <c r="E8" i="15" s="1"/>
  <c r="X85" i="6"/>
  <c r="S20" i="6"/>
  <c r="R8" i="13" s="1"/>
  <c r="CI20" i="7"/>
  <c r="CH6" i="26" s="1"/>
  <c r="CI19" i="7"/>
  <c r="AX12" i="6"/>
  <c r="AW8" i="8" s="1"/>
  <c r="AS73" i="6"/>
  <c r="AS74" i="6" s="1"/>
  <c r="O73" i="6"/>
  <c r="O74" i="6" s="1"/>
  <c r="BN20" i="6"/>
  <c r="BM8" i="13" s="1"/>
  <c r="C57" i="6"/>
  <c r="Y67" i="6"/>
  <c r="Z54" i="6"/>
  <c r="AD12" i="6"/>
  <c r="AC8" i="8" s="1"/>
  <c r="AR38" i="6"/>
  <c r="AR40" i="6" s="1"/>
  <c r="AR41" i="6" s="1"/>
  <c r="AH57" i="6"/>
  <c r="AD57" i="6"/>
  <c r="AD54" i="6"/>
  <c r="CB64" i="6"/>
  <c r="BK71" i="7"/>
  <c r="AF71" i="7"/>
  <c r="AF73" i="7" s="1"/>
  <c r="AF75" i="7" s="1"/>
  <c r="AE6" i="24" s="1"/>
  <c r="AJ57" i="6"/>
  <c r="AV12" i="6"/>
  <c r="AU8" i="8" s="1"/>
  <c r="BR20" i="6"/>
  <c r="BQ8" i="13" s="1"/>
  <c r="BQ17" i="7"/>
  <c r="BQ18" i="6"/>
  <c r="BQ19" i="6" s="1"/>
  <c r="BO87" i="6"/>
  <c r="BO88" i="6" s="1"/>
  <c r="AJ65" i="6"/>
  <c r="AI8" i="14" s="1"/>
  <c r="Q17" i="7"/>
  <c r="L54" i="6"/>
  <c r="D65" i="6"/>
  <c r="C8" i="14" s="1"/>
  <c r="D67" i="6"/>
  <c r="L20" i="6"/>
  <c r="K8" i="13" s="1"/>
  <c r="U85" i="6"/>
  <c r="U87" i="6" s="1"/>
  <c r="U89" i="6" s="1"/>
  <c r="V71" i="7"/>
  <c r="AC38" i="6"/>
  <c r="AC26" i="6"/>
  <c r="AC27" i="6" s="1"/>
  <c r="AF12" i="6"/>
  <c r="AE8" i="8" s="1"/>
  <c r="AH85" i="6"/>
  <c r="AH87" i="6" s="1"/>
  <c r="AH88" i="6" s="1"/>
  <c r="AU38" i="6"/>
  <c r="AU40" i="6" s="1"/>
  <c r="AU42" i="6" s="1"/>
  <c r="AX54" i="6"/>
  <c r="AX18" i="6"/>
  <c r="AF18" i="6"/>
  <c r="AF19" i="6" s="1"/>
  <c r="AF20" i="6"/>
  <c r="AE8" i="13" s="1"/>
  <c r="X61" i="7"/>
  <c r="U20" i="6"/>
  <c r="T8" i="13" s="1"/>
  <c r="U67" i="6"/>
  <c r="Q18" i="6"/>
  <c r="Q19" i="6" s="1"/>
  <c r="Q16" i="7"/>
  <c r="AY11" i="6"/>
  <c r="AY12" i="6"/>
  <c r="AX8" i="8" s="1"/>
  <c r="BB73" i="6"/>
  <c r="BB74" i="6" s="1"/>
  <c r="BD38" i="6"/>
  <c r="BD40" i="6" s="1"/>
  <c r="BD41" i="6" s="1"/>
  <c r="BD16" i="7"/>
  <c r="BL18" i="6"/>
  <c r="BL38" i="6"/>
  <c r="BK86" i="6"/>
  <c r="BK72" i="7"/>
  <c r="BT63" i="6"/>
  <c r="R39" i="6"/>
  <c r="R40" i="6" s="1"/>
  <c r="R41" i="6" s="1"/>
  <c r="Y85" i="6"/>
  <c r="X71" i="7"/>
  <c r="AI26" i="6"/>
  <c r="AI27" i="6" s="1"/>
  <c r="Q57" i="6"/>
  <c r="O57" i="6"/>
  <c r="M57" i="6"/>
  <c r="I57" i="6"/>
  <c r="G57" i="6"/>
  <c r="E57" i="6"/>
  <c r="AH61" i="7"/>
  <c r="S17" i="7"/>
  <c r="BI57" i="6"/>
  <c r="AY86" i="6"/>
  <c r="BE18" i="6"/>
  <c r="BE19" i="6" s="1"/>
  <c r="BJ63" i="6"/>
  <c r="BH73" i="6"/>
  <c r="BH74" i="6" s="1"/>
  <c r="BW86" i="6"/>
  <c r="BX85" i="6"/>
  <c r="BY86" i="6"/>
  <c r="P71" i="7"/>
  <c r="U73" i="6"/>
  <c r="AC85" i="6"/>
  <c r="AJ18" i="6"/>
  <c r="AJ20" i="6" s="1"/>
  <c r="AI8" i="13" s="1"/>
  <c r="AH38" i="6"/>
  <c r="U64" i="6"/>
  <c r="T63" i="6"/>
  <c r="AY61" i="7"/>
  <c r="AZ71" i="7"/>
  <c r="BD85" i="6"/>
  <c r="BG85" i="6"/>
  <c r="BM18" i="6"/>
  <c r="BM86" i="6"/>
  <c r="BM87" i="6" s="1"/>
  <c r="BV57" i="6"/>
  <c r="BT18" i="6"/>
  <c r="BV73" i="6"/>
  <c r="BV74" i="6" s="1"/>
  <c r="BZ86" i="6"/>
  <c r="CE18" i="7"/>
  <c r="CE20" i="7" s="1"/>
  <c r="CD12" i="13" s="1"/>
  <c r="CJ20" i="7"/>
  <c r="CI6" i="26" s="1"/>
  <c r="CI67" i="7"/>
  <c r="N74" i="6"/>
  <c r="N81" i="6"/>
  <c r="BQ82" i="6"/>
  <c r="AJ27" i="6"/>
  <c r="AJ35" i="6"/>
  <c r="BX27" i="6"/>
  <c r="CA34" i="6"/>
  <c r="BZ34" i="6"/>
  <c r="CB74" i="4"/>
  <c r="BW81" i="4"/>
  <c r="AF34" i="4"/>
  <c r="BI28" i="4"/>
  <c r="H34" i="4"/>
  <c r="I34" i="4"/>
  <c r="AW35" i="4"/>
  <c r="Q82" i="2"/>
  <c r="BP87" i="2"/>
  <c r="BP89" i="2" s="1"/>
  <c r="BW28" i="2"/>
  <c r="BH33" i="7"/>
  <c r="BH34" i="7" s="1"/>
  <c r="BX40" i="2"/>
  <c r="BX42" i="2" s="1"/>
  <c r="BX75" i="1"/>
  <c r="AR82" i="1"/>
  <c r="CD89" i="1"/>
  <c r="AB74" i="1"/>
  <c r="AM87" i="1"/>
  <c r="AM88" i="1" s="1"/>
  <c r="BD33" i="7"/>
  <c r="BD35" i="7" s="1"/>
  <c r="BC8" i="26" s="1"/>
  <c r="BM82" i="5"/>
  <c r="BI87" i="5"/>
  <c r="BI88" i="5" s="1"/>
  <c r="AM35" i="5"/>
  <c r="BM35" i="5"/>
  <c r="R87" i="5"/>
  <c r="R88" i="5" s="1"/>
  <c r="BY81" i="5"/>
  <c r="W75" i="5"/>
  <c r="AL87" i="5"/>
  <c r="AL88" i="5" s="1"/>
  <c r="AQ87" i="5"/>
  <c r="AQ88" i="5" s="1"/>
  <c r="BP87" i="5"/>
  <c r="BP89" i="5" s="1"/>
  <c r="BN28" i="5"/>
  <c r="AT40" i="5"/>
  <c r="AT41" i="5" s="1"/>
  <c r="BS35" i="5"/>
  <c r="G34" i="5"/>
  <c r="BT40" i="5"/>
  <c r="BT41" i="5" s="1"/>
  <c r="BY81" i="6"/>
  <c r="AS82" i="6"/>
  <c r="BX75" i="6"/>
  <c r="BS82" i="6"/>
  <c r="D74" i="6"/>
  <c r="BF33" i="7"/>
  <c r="BF34" i="7" s="1"/>
  <c r="CB27" i="6"/>
  <c r="BZ27" i="6"/>
  <c r="AP28" i="6"/>
  <c r="AS35" i="6"/>
  <c r="BI33" i="7"/>
  <c r="BI34" i="7" s="1"/>
  <c r="BE33" i="7"/>
  <c r="BE34" i="7" s="1"/>
  <c r="AI34" i="6"/>
  <c r="CA40" i="6"/>
  <c r="CA41" i="6" s="1"/>
  <c r="W82" i="4"/>
  <c r="AK82" i="4"/>
  <c r="AA81" i="4"/>
  <c r="X79" i="7"/>
  <c r="X80" i="7" s="1"/>
  <c r="X81" i="7" s="1"/>
  <c r="O35" i="4"/>
  <c r="E34" i="4"/>
  <c r="M34" i="4"/>
  <c r="BJ82" i="2"/>
  <c r="T87" i="2"/>
  <c r="T88" i="2" s="1"/>
  <c r="J82" i="2"/>
  <c r="AF74" i="2"/>
  <c r="AE81" i="2"/>
  <c r="AT81" i="2"/>
  <c r="G74" i="1"/>
  <c r="C74" i="1"/>
  <c r="AO81" i="1"/>
  <c r="AK87" i="1"/>
  <c r="AK89" i="1" s="1"/>
  <c r="AV40" i="1"/>
  <c r="AV41" i="1" s="1"/>
  <c r="CG19" i="7"/>
  <c r="CF12" i="13"/>
  <c r="BO53" i="7"/>
  <c r="BO55" i="7" s="1"/>
  <c r="BN12" i="15" s="1"/>
  <c r="BY53" i="7"/>
  <c r="BY55" i="7" s="1"/>
  <c r="BX12" i="15" s="1"/>
  <c r="V81" i="5"/>
  <c r="BR81" i="5"/>
  <c r="AF87" i="5"/>
  <c r="AF88" i="5" s="1"/>
  <c r="AD74" i="5"/>
  <c r="AU82" i="5"/>
  <c r="BF75" i="5"/>
  <c r="BO81" i="5"/>
  <c r="AW40" i="5"/>
  <c r="AW41" i="5" s="1"/>
  <c r="BX34" i="5"/>
  <c r="AF34" i="5"/>
  <c r="BH28" i="5"/>
  <c r="AW28" i="5"/>
  <c r="X27" i="5"/>
  <c r="AG35" i="5"/>
  <c r="AN40" i="5"/>
  <c r="AN41" i="5" s="1"/>
  <c r="BU40" i="5"/>
  <c r="BU42" i="5" s="1"/>
  <c r="BL75" i="6"/>
  <c r="H74" i="6"/>
  <c r="C80" i="6"/>
  <c r="C82" i="6" s="1"/>
  <c r="C85" i="6"/>
  <c r="C87" i="6" s="1"/>
  <c r="C88" i="6" s="1"/>
  <c r="E87" i="6"/>
  <c r="E89" i="6" s="1"/>
  <c r="I87" i="6"/>
  <c r="I89" i="6" s="1"/>
  <c r="AF81" i="6"/>
  <c r="CA81" i="6"/>
  <c r="F81" i="6"/>
  <c r="AK81" i="6"/>
  <c r="AW28" i="6"/>
  <c r="BX34" i="6"/>
  <c r="H27" i="6"/>
  <c r="AM40" i="6"/>
  <c r="AM41" i="6" s="1"/>
  <c r="W24" i="7"/>
  <c r="W26" i="7" s="1"/>
  <c r="W27" i="7" s="1"/>
  <c r="AY28" i="6"/>
  <c r="BG28" i="6"/>
  <c r="AW74" i="4"/>
  <c r="BX81" i="4"/>
  <c r="BO74" i="4"/>
  <c r="CA81" i="4"/>
  <c r="AW27" i="4"/>
  <c r="AV34" i="4"/>
  <c r="AS35" i="4"/>
  <c r="BZ27" i="4"/>
  <c r="AP35" i="4"/>
  <c r="AU35" i="4"/>
  <c r="F40" i="4"/>
  <c r="F42" i="4" s="1"/>
  <c r="H40" i="4"/>
  <c r="H42" i="4" s="1"/>
  <c r="BE87" i="2"/>
  <c r="BE88" i="2" s="1"/>
  <c r="S87" i="2"/>
  <c r="S88" i="2" s="1"/>
  <c r="D82" i="2"/>
  <c r="AI74" i="2"/>
  <c r="BX82" i="2"/>
  <c r="BG82" i="2"/>
  <c r="AJ82" i="2"/>
  <c r="AM82" i="2"/>
  <c r="BJ28" i="2"/>
  <c r="CI40" i="7"/>
  <c r="CI42" i="7" s="1"/>
  <c r="AD87" i="1"/>
  <c r="AD88" i="1" s="1"/>
  <c r="BZ81" i="1"/>
  <c r="AA87" i="1"/>
  <c r="AA88" i="1" s="1"/>
  <c r="AN82" i="1"/>
  <c r="AB87" i="1"/>
  <c r="AB88" i="1" s="1"/>
  <c r="AM75" i="1"/>
  <c r="AP82" i="1"/>
  <c r="I34" i="1"/>
  <c r="V40" i="2"/>
  <c r="V41" i="2" s="1"/>
  <c r="C34" i="2"/>
  <c r="M27" i="2"/>
  <c r="J34" i="2"/>
  <c r="F35" i="2"/>
  <c r="K40" i="2"/>
  <c r="K41" i="2" s="1"/>
  <c r="N40" i="1"/>
  <c r="N42" i="1" s="1"/>
  <c r="BY34" i="1"/>
  <c r="AC40" i="1"/>
  <c r="AC42" i="1" s="1"/>
  <c r="F27" i="2"/>
  <c r="E40" i="2"/>
  <c r="E41" i="2" s="1"/>
  <c r="CE41" i="2"/>
  <c r="AG28" i="2"/>
  <c r="AJ34" i="2"/>
  <c r="L34" i="2"/>
  <c r="AP35" i="2"/>
  <c r="CK42" i="1"/>
  <c r="CK40" i="7"/>
  <c r="CK41" i="7" s="1"/>
  <c r="H89" i="5"/>
  <c r="AE81" i="5"/>
  <c r="BU75" i="5"/>
  <c r="N87" i="5"/>
  <c r="N89" i="5" s="1"/>
  <c r="CI87" i="7"/>
  <c r="CI88" i="7" s="1"/>
  <c r="BX82" i="5"/>
  <c r="BI75" i="5"/>
  <c r="AL28" i="5"/>
  <c r="BW27" i="5"/>
  <c r="BT35" i="5"/>
  <c r="BP40" i="5"/>
  <c r="BP41" i="5" s="1"/>
  <c r="AB34" i="5"/>
  <c r="K34" i="5"/>
  <c r="BJ27" i="5"/>
  <c r="AS27" i="5"/>
  <c r="BR27" i="5"/>
  <c r="BN40" i="5"/>
  <c r="BN41" i="5" s="1"/>
  <c r="AR81" i="6"/>
  <c r="BL82" i="6"/>
  <c r="AD81" i="6"/>
  <c r="AQ75" i="6"/>
  <c r="BW74" i="6"/>
  <c r="CB82" i="6"/>
  <c r="L87" i="6"/>
  <c r="L88" i="6" s="1"/>
  <c r="N87" i="6"/>
  <c r="N88" i="6" s="1"/>
  <c r="V81" i="6"/>
  <c r="BO35" i="6"/>
  <c r="AQ28" i="6"/>
  <c r="AN28" i="6"/>
  <c r="BO27" i="6"/>
  <c r="AK28" i="6"/>
  <c r="O34" i="6"/>
  <c r="AU28" i="6"/>
  <c r="AX40" i="6"/>
  <c r="AS81" i="4"/>
  <c r="BG74" i="4"/>
  <c r="BE74" i="4"/>
  <c r="BV81" i="4"/>
  <c r="BQ74" i="4"/>
  <c r="AH82" i="4"/>
  <c r="BU28" i="4"/>
  <c r="AO35" i="4"/>
  <c r="E40" i="4"/>
  <c r="E42" i="4" s="1"/>
  <c r="X32" i="7"/>
  <c r="X33" i="7" s="1"/>
  <c r="X34" i="7" s="1"/>
  <c r="H27" i="4"/>
  <c r="AK27" i="4"/>
  <c r="BH27" i="4"/>
  <c r="CF40" i="7"/>
  <c r="CF41" i="7" s="1"/>
  <c r="D27" i="4"/>
  <c r="AB74" i="2"/>
  <c r="V81" i="2"/>
  <c r="BY87" i="2"/>
  <c r="BY88" i="2" s="1"/>
  <c r="H81" i="2"/>
  <c r="U87" i="2"/>
  <c r="U88" i="2" s="1"/>
  <c r="AD87" i="2"/>
  <c r="AD89" i="2" s="1"/>
  <c r="AK82" i="2"/>
  <c r="BG87" i="2"/>
  <c r="BG89" i="2" s="1"/>
  <c r="BX75" i="2"/>
  <c r="Q74" i="2"/>
  <c r="BE74" i="2"/>
  <c r="K74" i="2"/>
  <c r="F74" i="2"/>
  <c r="L87" i="2"/>
  <c r="L89" i="2" s="1"/>
  <c r="AT87" i="2"/>
  <c r="AT89" i="2" s="1"/>
  <c r="BF28" i="2"/>
  <c r="AA27" i="2"/>
  <c r="AM35" i="2"/>
  <c r="H34" i="2"/>
  <c r="AU27" i="2"/>
  <c r="AW40" i="2"/>
  <c r="AW41" i="2" s="1"/>
  <c r="BZ34" i="2"/>
  <c r="AK81" i="1"/>
  <c r="V75" i="1"/>
  <c r="U87" i="1"/>
  <c r="U88" i="1" s="1"/>
  <c r="AV87" i="1"/>
  <c r="AV88" i="1" s="1"/>
  <c r="X75" i="1"/>
  <c r="Y75" i="1"/>
  <c r="AL87" i="1"/>
  <c r="AL89" i="1" s="1"/>
  <c r="AO35" i="1"/>
  <c r="CH42" i="1"/>
  <c r="O40" i="1"/>
  <c r="O41" i="1" s="1"/>
  <c r="AP35" i="1"/>
  <c r="S35" i="1"/>
  <c r="J27" i="1"/>
  <c r="CJ5" i="24"/>
  <c r="CG67" i="7"/>
  <c r="BN74" i="5"/>
  <c r="AS82" i="5"/>
  <c r="AT75" i="5"/>
  <c r="AS87" i="5"/>
  <c r="AS88" i="5" s="1"/>
  <c r="AU75" i="5"/>
  <c r="O81" i="5"/>
  <c r="Z75" i="5"/>
  <c r="AI87" i="5"/>
  <c r="AI88" i="5" s="1"/>
  <c r="AX81" i="5"/>
  <c r="BW87" i="5"/>
  <c r="BW89" i="5" s="1"/>
  <c r="BX27" i="5"/>
  <c r="BM28" i="5"/>
  <c r="C34" i="5"/>
  <c r="K27" i="5"/>
  <c r="R40" i="5"/>
  <c r="R41" i="5" s="1"/>
  <c r="AQ34" i="5"/>
  <c r="AP40" i="5"/>
  <c r="AP42" i="5" s="1"/>
  <c r="BV34" i="5"/>
  <c r="AR34" i="5"/>
  <c r="M27" i="5"/>
  <c r="BY34" i="5"/>
  <c r="AK34" i="5"/>
  <c r="BH40" i="5"/>
  <c r="BH41" i="5" s="1"/>
  <c r="AW75" i="6"/>
  <c r="P81" i="6"/>
  <c r="L74" i="6"/>
  <c r="AB81" i="6"/>
  <c r="AG82" i="6"/>
  <c r="AT75" i="6"/>
  <c r="BU74" i="6"/>
  <c r="BM74" i="6"/>
  <c r="Q81" i="6"/>
  <c r="L27" i="6"/>
  <c r="CK27" i="7"/>
  <c r="AH27" i="6"/>
  <c r="V24" i="7"/>
  <c r="V26" i="7" s="1"/>
  <c r="V27" i="7" s="1"/>
  <c r="AP34" i="6"/>
  <c r="AT28" i="6"/>
  <c r="BV40" i="6"/>
  <c r="BV41" i="6" s="1"/>
  <c r="C40" i="6"/>
  <c r="C42" i="6" s="1"/>
  <c r="U34" i="6"/>
  <c r="AK35" i="6"/>
  <c r="BR28" i="6"/>
  <c r="CA27" i="6"/>
  <c r="D27" i="6"/>
  <c r="F34" i="6"/>
  <c r="E40" i="6"/>
  <c r="E42" i="6" s="1"/>
  <c r="G40" i="6"/>
  <c r="G41" i="6" s="1"/>
  <c r="I40" i="6"/>
  <c r="I42" i="6" s="1"/>
  <c r="K40" i="6"/>
  <c r="K42" i="6" s="1"/>
  <c r="BJ28" i="6"/>
  <c r="AV75" i="2"/>
  <c r="AC81" i="2"/>
  <c r="AR75" i="2"/>
  <c r="AB82" i="2"/>
  <c r="AB87" i="2"/>
  <c r="AB89" i="2" s="1"/>
  <c r="AG87" i="2"/>
  <c r="AG88" i="2" s="1"/>
  <c r="AQ82" i="2"/>
  <c r="BH82" i="2"/>
  <c r="BW75" i="2"/>
  <c r="AX87" i="2"/>
  <c r="AX89" i="2" s="1"/>
  <c r="AU82" i="2"/>
  <c r="AR87" i="2"/>
  <c r="AR89" i="2" s="1"/>
  <c r="W87" i="2"/>
  <c r="W88" i="2" s="1"/>
  <c r="AE87" i="2"/>
  <c r="AE88" i="2" s="1"/>
  <c r="AG82" i="2"/>
  <c r="BA81" i="2"/>
  <c r="BY34" i="2"/>
  <c r="S28" i="2"/>
  <c r="AE35" i="2"/>
  <c r="AI34" i="2"/>
  <c r="BH40" i="2"/>
  <c r="BH41" i="2" s="1"/>
  <c r="BI35" i="2"/>
  <c r="Y27" i="2"/>
  <c r="BF35" i="2"/>
  <c r="AW82" i="1"/>
  <c r="C81" i="1"/>
  <c r="AI82" i="1"/>
  <c r="AK74" i="1"/>
  <c r="D81" i="1"/>
  <c r="AF81" i="1"/>
  <c r="Q75" i="1"/>
  <c r="Z82" i="1"/>
  <c r="AP75" i="1"/>
  <c r="L74" i="1"/>
  <c r="T75" i="1"/>
  <c r="AH81" i="1"/>
  <c r="AN87" i="1"/>
  <c r="AN88" i="1" s="1"/>
  <c r="BM87" i="1"/>
  <c r="BM88" i="1" s="1"/>
  <c r="AL40" i="1"/>
  <c r="AL42" i="1" s="1"/>
  <c r="AN40" i="1"/>
  <c r="AN41" i="1" s="1"/>
  <c r="AE27" i="1"/>
  <c r="AJ40" i="1"/>
  <c r="AJ41" i="1" s="1"/>
  <c r="CJ42" i="1"/>
  <c r="BY81" i="4"/>
  <c r="AE82" i="4"/>
  <c r="R86" i="4"/>
  <c r="AV86" i="7"/>
  <c r="N74" i="4"/>
  <c r="E74" i="4"/>
  <c r="AE87" i="4"/>
  <c r="AE89" i="4" s="1"/>
  <c r="CA74" i="4"/>
  <c r="J81" i="4"/>
  <c r="G87" i="4"/>
  <c r="G89" i="4" s="1"/>
  <c r="K87" i="4"/>
  <c r="K88" i="4" s="1"/>
  <c r="AD82" i="4"/>
  <c r="CA27" i="4"/>
  <c r="BZ34" i="4"/>
  <c r="S39" i="4"/>
  <c r="C27" i="4"/>
  <c r="C40" i="4"/>
  <c r="C42" i="4" s="1"/>
  <c r="I40" i="4"/>
  <c r="I41" i="4" s="1"/>
  <c r="V41" i="4"/>
  <c r="AO28" i="4"/>
  <c r="BC28" i="4"/>
  <c r="K27" i="4"/>
  <c r="U35" i="4"/>
  <c r="V39" i="4"/>
  <c r="V42" i="4" s="1"/>
  <c r="V28" i="4"/>
  <c r="L27" i="4"/>
  <c r="CB27" i="4"/>
  <c r="BJ40" i="2"/>
  <c r="BJ41" i="2" s="1"/>
  <c r="AF35" i="2"/>
  <c r="BC28" i="2"/>
  <c r="AD27" i="2"/>
  <c r="BK27" i="2"/>
  <c r="AC34" i="2"/>
  <c r="AS35" i="2"/>
  <c r="AH28" i="2"/>
  <c r="AY35" i="2"/>
  <c r="AW28" i="2"/>
  <c r="BW34" i="2"/>
  <c r="E35" i="2"/>
  <c r="G35" i="2"/>
  <c r="I35" i="2"/>
  <c r="K35" i="2"/>
  <c r="O27" i="2"/>
  <c r="X40" i="2"/>
  <c r="X41" i="2" s="1"/>
  <c r="AC40" i="2"/>
  <c r="AC42" i="2" s="1"/>
  <c r="AP40" i="2"/>
  <c r="AP42" i="2" s="1"/>
  <c r="AH34" i="2"/>
  <c r="AP27" i="2"/>
  <c r="BG35" i="2"/>
  <c r="AW35" i="2"/>
  <c r="CA34" i="2"/>
  <c r="D35" i="2"/>
  <c r="AD35" i="2"/>
  <c r="AX34" i="2"/>
  <c r="AL34" i="2"/>
  <c r="CB34" i="2"/>
  <c r="C40" i="2"/>
  <c r="C41" i="2" s="1"/>
  <c r="I40" i="2"/>
  <c r="I41" i="2" s="1"/>
  <c r="AI40" i="2"/>
  <c r="AI41" i="2" s="1"/>
  <c r="AM40" i="2"/>
  <c r="AX28" i="1"/>
  <c r="BG35" i="7"/>
  <c r="BF8" i="26" s="1"/>
  <c r="AK27" i="1"/>
  <c r="L34" i="1"/>
  <c r="BX34" i="1"/>
  <c r="CE42" i="1"/>
  <c r="AF34" i="1"/>
  <c r="AW34" i="1"/>
  <c r="D34" i="1"/>
  <c r="CB34" i="1"/>
  <c r="AH34" i="1"/>
  <c r="AH28" i="1"/>
  <c r="P27" i="1"/>
  <c r="G34" i="1"/>
  <c r="AN35" i="1"/>
  <c r="BN35" i="1"/>
  <c r="Q34" i="1"/>
  <c r="H34" i="1"/>
  <c r="CA34" i="1"/>
  <c r="AR34" i="1"/>
  <c r="BD28" i="1"/>
  <c r="CI75" i="7"/>
  <c r="CH6" i="24" s="1"/>
  <c r="CO5" i="24"/>
  <c r="AY35" i="7"/>
  <c r="AX8" i="26" s="1"/>
  <c r="BG34" i="7"/>
  <c r="AY34" i="7"/>
  <c r="X87" i="5"/>
  <c r="X88" i="5" s="1"/>
  <c r="AH75" i="5"/>
  <c r="AP87" i="5"/>
  <c r="X82" i="5"/>
  <c r="BM75" i="5"/>
  <c r="AG75" i="5"/>
  <c r="BN87" i="5"/>
  <c r="BN89" i="5" s="1"/>
  <c r="F81" i="5"/>
  <c r="BX75" i="5"/>
  <c r="J81" i="5"/>
  <c r="W87" i="5"/>
  <c r="W88" i="5" s="1"/>
  <c r="AC81" i="5"/>
  <c r="BH87" i="5"/>
  <c r="Q40" i="5"/>
  <c r="Q41" i="5" s="1"/>
  <c r="BL28" i="5"/>
  <c r="V35" i="5"/>
  <c r="BW34" i="5"/>
  <c r="BT27" i="5"/>
  <c r="J35" i="5"/>
  <c r="D40" i="5"/>
  <c r="D41" i="5" s="1"/>
  <c r="F40" i="5"/>
  <c r="F41" i="5" s="1"/>
  <c r="H40" i="5"/>
  <c r="H41" i="5" s="1"/>
  <c r="J40" i="5"/>
  <c r="J41" i="5" s="1"/>
  <c r="Z34" i="5"/>
  <c r="Z28" i="5"/>
  <c r="AR27" i="5"/>
  <c r="AT35" i="5"/>
  <c r="AT27" i="5"/>
  <c r="BF28" i="5"/>
  <c r="AW35" i="5"/>
  <c r="BV40" i="5"/>
  <c r="BV41" i="5" s="1"/>
  <c r="Q38" i="7"/>
  <c r="H28" i="5"/>
  <c r="BK27" i="5"/>
  <c r="N40" i="5"/>
  <c r="N41" i="5" s="1"/>
  <c r="E40" i="5"/>
  <c r="E41" i="5" s="1"/>
  <c r="I40" i="5"/>
  <c r="I41" i="5" s="1"/>
  <c r="X40" i="5"/>
  <c r="X42" i="5" s="1"/>
  <c r="BV27" i="5"/>
  <c r="BY28" i="5"/>
  <c r="BK82" i="6"/>
  <c r="BU81" i="6"/>
  <c r="AN82" i="6"/>
  <c r="BZ75" i="6"/>
  <c r="AI82" i="6"/>
  <c r="BW81" i="6"/>
  <c r="BS74" i="6"/>
  <c r="R86" i="6"/>
  <c r="AM74" i="6"/>
  <c r="CE80" i="7"/>
  <c r="CE81" i="7" s="1"/>
  <c r="AA74" i="6"/>
  <c r="BZ81" i="6"/>
  <c r="G87" i="6"/>
  <c r="G89" i="6" s="1"/>
  <c r="X82" i="6"/>
  <c r="BP75" i="6"/>
  <c r="AE81" i="6"/>
  <c r="H81" i="6"/>
  <c r="C86" i="7"/>
  <c r="Y86" i="6"/>
  <c r="AO87" i="6"/>
  <c r="AO89" i="6" s="1"/>
  <c r="BR87" i="6"/>
  <c r="BV81" i="6"/>
  <c r="F40" i="6"/>
  <c r="F42" i="6" s="1"/>
  <c r="AF40" i="6"/>
  <c r="AF41" i="6" s="1"/>
  <c r="AM35" i="6"/>
  <c r="BB28" i="6"/>
  <c r="BK35" i="6"/>
  <c r="BY34" i="6"/>
  <c r="BN40" i="6"/>
  <c r="BU28" i="6"/>
  <c r="AB34" i="6"/>
  <c r="H34" i="6"/>
  <c r="R27" i="6"/>
  <c r="U24" i="7"/>
  <c r="U26" i="7" s="1"/>
  <c r="U27" i="7" s="1"/>
  <c r="AG34" i="6"/>
  <c r="AN40" i="6"/>
  <c r="AN41" i="6" s="1"/>
  <c r="AR34" i="6"/>
  <c r="BA40" i="6"/>
  <c r="BA41" i="6" s="1"/>
  <c r="AZ28" i="6"/>
  <c r="BW27" i="6"/>
  <c r="F27" i="6"/>
  <c r="D40" i="6"/>
  <c r="D42" i="6" s="1"/>
  <c r="H40" i="6"/>
  <c r="H42" i="6" s="1"/>
  <c r="J40" i="6"/>
  <c r="J42" i="6" s="1"/>
  <c r="AZ35" i="7"/>
  <c r="AY8" i="26" s="1"/>
  <c r="AZ34" i="7"/>
  <c r="R32" i="7"/>
  <c r="CB34" i="6"/>
  <c r="BT40" i="6"/>
  <c r="BT41" i="6" s="1"/>
  <c r="BF28" i="6"/>
  <c r="I74" i="4"/>
  <c r="T82" i="4"/>
  <c r="BX74" i="4"/>
  <c r="CB81" i="4"/>
  <c r="BX87" i="4"/>
  <c r="AU82" i="4"/>
  <c r="D87" i="4"/>
  <c r="D89" i="4" s="1"/>
  <c r="AP82" i="4"/>
  <c r="BR82" i="4"/>
  <c r="AP74" i="4"/>
  <c r="BS87" i="4"/>
  <c r="BS89" i="4" s="1"/>
  <c r="AR87" i="4"/>
  <c r="AO82" i="4"/>
  <c r="F81" i="4"/>
  <c r="H87" i="4"/>
  <c r="H88" i="4" s="1"/>
  <c r="T79" i="7"/>
  <c r="T80" i="7" s="1"/>
  <c r="BN82" i="4"/>
  <c r="AR28" i="4"/>
  <c r="W28" i="4"/>
  <c r="AS28" i="4"/>
  <c r="AJ34" i="4"/>
  <c r="AX28" i="4"/>
  <c r="AM28" i="4"/>
  <c r="BY34" i="4"/>
  <c r="BO40" i="4"/>
  <c r="BO41" i="4" s="1"/>
  <c r="E27" i="4"/>
  <c r="J40" i="4"/>
  <c r="J41" i="4" s="1"/>
  <c r="W32" i="7"/>
  <c r="CD33" i="7"/>
  <c r="CD34" i="7" s="1"/>
  <c r="AR40" i="4"/>
  <c r="AR41" i="4" s="1"/>
  <c r="BQ28" i="4"/>
  <c r="AV28" i="4"/>
  <c r="BQ40" i="4"/>
  <c r="BQ42" i="4" s="1"/>
  <c r="AL28" i="4"/>
  <c r="M27" i="4"/>
  <c r="M40" i="4"/>
  <c r="M41" i="4" s="1"/>
  <c r="G40" i="4"/>
  <c r="G41" i="4" s="1"/>
  <c r="P34" i="4"/>
  <c r="AQ34" i="4"/>
  <c r="AQ87" i="2"/>
  <c r="BY81" i="2"/>
  <c r="BI82" i="2"/>
  <c r="BW81" i="2"/>
  <c r="CB81" i="2"/>
  <c r="BL75" i="2"/>
  <c r="BN74" i="2"/>
  <c r="F87" i="2"/>
  <c r="F88" i="2" s="1"/>
  <c r="J87" i="2"/>
  <c r="J88" i="2" s="1"/>
  <c r="G86" i="7"/>
  <c r="H87" i="2"/>
  <c r="H89" i="2" s="1"/>
  <c r="K86" i="7"/>
  <c r="W81" i="2"/>
  <c r="AL87" i="2"/>
  <c r="AL88" i="2" s="1"/>
  <c r="BY75" i="2"/>
  <c r="M74" i="2"/>
  <c r="AL81" i="2"/>
  <c r="AP81" i="2"/>
  <c r="AK75" i="2"/>
  <c r="BZ81" i="2"/>
  <c r="BM87" i="2"/>
  <c r="BM88" i="2" s="1"/>
  <c r="BN87" i="2"/>
  <c r="BN88" i="2" s="1"/>
  <c r="I74" i="2"/>
  <c r="N87" i="2"/>
  <c r="N88" i="2" s="1"/>
  <c r="T74" i="2"/>
  <c r="R87" i="2"/>
  <c r="R88" i="2" s="1"/>
  <c r="AC75" i="2"/>
  <c r="AF87" i="2"/>
  <c r="AF88" i="2" s="1"/>
  <c r="AH87" i="2"/>
  <c r="AH88" i="2" s="1"/>
  <c r="X27" i="2"/>
  <c r="H27" i="2"/>
  <c r="BB35" i="7"/>
  <c r="BA8" i="26" s="1"/>
  <c r="BE40" i="2"/>
  <c r="BE42" i="2" s="1"/>
  <c r="T27" i="2"/>
  <c r="D27" i="2"/>
  <c r="BW40" i="2"/>
  <c r="BW41" i="2" s="1"/>
  <c r="BB40" i="2"/>
  <c r="BB42" i="2" s="1"/>
  <c r="U27" i="2"/>
  <c r="E27" i="2"/>
  <c r="AT28" i="2"/>
  <c r="BA35" i="7"/>
  <c r="AZ8" i="26" s="1"/>
  <c r="BA27" i="2"/>
  <c r="CB28" i="2"/>
  <c r="BX34" i="2"/>
  <c r="M34" i="2"/>
  <c r="D40" i="2"/>
  <c r="D41" i="2" s="1"/>
  <c r="F40" i="2"/>
  <c r="H40" i="2"/>
  <c r="Z40" i="2"/>
  <c r="Z41" i="2" s="1"/>
  <c r="AJ28" i="2"/>
  <c r="AL40" i="2"/>
  <c r="BD27" i="2"/>
  <c r="AJ40" i="2"/>
  <c r="AJ41" i="2" s="1"/>
  <c r="BP28" i="2"/>
  <c r="U75" i="1"/>
  <c r="AH87" i="1"/>
  <c r="AH88" i="1" s="1"/>
  <c r="AV75" i="1"/>
  <c r="BR74" i="1"/>
  <c r="P87" i="1"/>
  <c r="P88" i="1" s="1"/>
  <c r="X81" i="1"/>
  <c r="AS80" i="7"/>
  <c r="AS81" i="7" s="1"/>
  <c r="W75" i="1"/>
  <c r="Q81" i="1"/>
  <c r="CA81" i="1"/>
  <c r="CB81" i="1"/>
  <c r="BR81" i="1"/>
  <c r="AD81" i="1"/>
  <c r="M87" i="1"/>
  <c r="M89" i="1" s="1"/>
  <c r="AG75" i="1"/>
  <c r="AH75" i="1"/>
  <c r="BM82" i="1"/>
  <c r="AF74" i="1"/>
  <c r="BW81" i="1"/>
  <c r="K74" i="1"/>
  <c r="V82" i="1"/>
  <c r="AE87" i="1"/>
  <c r="AE89" i="1" s="1"/>
  <c r="L40" i="1"/>
  <c r="L42" i="1" s="1"/>
  <c r="V40" i="1"/>
  <c r="V42" i="1" s="1"/>
  <c r="BH27" i="1"/>
  <c r="AV28" i="1"/>
  <c r="AW28" i="1"/>
  <c r="AE34" i="1"/>
  <c r="BZ27" i="1"/>
  <c r="O33" i="7"/>
  <c r="O35" i="7" s="1"/>
  <c r="N8" i="26" s="1"/>
  <c r="P35" i="1"/>
  <c r="BW34" i="1"/>
  <c r="G33" i="7"/>
  <c r="G34" i="7" s="1"/>
  <c r="K33" i="7"/>
  <c r="K34" i="7" s="1"/>
  <c r="F40" i="1"/>
  <c r="F42" i="1" s="1"/>
  <c r="V35" i="1"/>
  <c r="AF27" i="1"/>
  <c r="AM33" i="7"/>
  <c r="AM34" i="7" s="1"/>
  <c r="CD42" i="1"/>
  <c r="BR35" i="1"/>
  <c r="BZ34" i="1"/>
  <c r="E40" i="1"/>
  <c r="E41" i="1" s="1"/>
  <c r="G40" i="1"/>
  <c r="G42" i="1" s="1"/>
  <c r="I40" i="1"/>
  <c r="I42" i="1" s="1"/>
  <c r="J40" i="1"/>
  <c r="J42" i="1" s="1"/>
  <c r="K40" i="1"/>
  <c r="K42" i="1" s="1"/>
  <c r="AE40" i="1"/>
  <c r="AE41" i="1" s="1"/>
  <c r="AG40" i="1"/>
  <c r="AG41" i="1" s="1"/>
  <c r="CF42" i="1"/>
  <c r="O80" i="7"/>
  <c r="O81" i="7" s="1"/>
  <c r="AU10" i="7"/>
  <c r="AU11" i="7" s="1"/>
  <c r="BK33" i="7"/>
  <c r="BK34" i="7" s="1"/>
  <c r="BZ80" i="7"/>
  <c r="BZ81" i="7" s="1"/>
  <c r="C18" i="7"/>
  <c r="C20" i="7" s="1"/>
  <c r="CE26" i="7"/>
  <c r="CE28" i="7" s="1"/>
  <c r="BY33" i="7"/>
  <c r="BY34" i="7" s="1"/>
  <c r="CC33" i="7"/>
  <c r="CC35" i="7" s="1"/>
  <c r="CB8" i="26" s="1"/>
  <c r="BX53" i="7"/>
  <c r="CB53" i="7"/>
  <c r="CB54" i="7" s="1"/>
  <c r="CB80" i="7"/>
  <c r="CB81" i="7" s="1"/>
  <c r="AL26" i="7"/>
  <c r="AL28" i="7" s="1"/>
  <c r="AK7" i="26" s="1"/>
  <c r="BV18" i="7"/>
  <c r="BV19" i="7" s="1"/>
  <c r="V53" i="7"/>
  <c r="V54" i="7" s="1"/>
  <c r="BO33" i="7"/>
  <c r="BO34" i="7" s="1"/>
  <c r="BS80" i="7"/>
  <c r="BS81" i="7" s="1"/>
  <c r="BR10" i="7"/>
  <c r="BR11" i="7" s="1"/>
  <c r="BR53" i="7"/>
  <c r="BR55" i="7" s="1"/>
  <c r="BQ12" i="15" s="1"/>
  <c r="BW80" i="7"/>
  <c r="BW81" i="7" s="1"/>
  <c r="C53" i="7"/>
  <c r="C101" i="7" s="1"/>
  <c r="BO80" i="7"/>
  <c r="BO81" i="7" s="1"/>
  <c r="CA33" i="7"/>
  <c r="CA34" i="7" s="1"/>
  <c r="CC53" i="7"/>
  <c r="CC54" i="7" s="1"/>
  <c r="CD80" i="7"/>
  <c r="CD81" i="7" s="1"/>
  <c r="CF19" i="7"/>
  <c r="BX67" i="2"/>
  <c r="BX65" i="2"/>
  <c r="BW6" i="14" s="1"/>
  <c r="CB74" i="6"/>
  <c r="CB75" i="6"/>
  <c r="N34" i="2"/>
  <c r="N35" i="2"/>
  <c r="L75" i="2"/>
  <c r="L74" i="2"/>
  <c r="C20" i="2"/>
  <c r="B6" i="13" s="1"/>
  <c r="C19" i="2"/>
  <c r="P35" i="2"/>
  <c r="P34" i="2"/>
  <c r="W34" i="1"/>
  <c r="W35" i="1"/>
  <c r="Y35" i="4"/>
  <c r="Y32" i="7"/>
  <c r="Y33" i="7" s="1"/>
  <c r="Y34" i="7" s="1"/>
  <c r="X19" i="2"/>
  <c r="X20" i="2"/>
  <c r="W6" i="13" s="1"/>
  <c r="AF86" i="4"/>
  <c r="AF73" i="4"/>
  <c r="AF74" i="4" s="1"/>
  <c r="BX19" i="2"/>
  <c r="BX20" i="2"/>
  <c r="BW6" i="13" s="1"/>
  <c r="BL28" i="1"/>
  <c r="BL74" i="1"/>
  <c r="BL75" i="1"/>
  <c r="G65" i="2"/>
  <c r="F6" i="14" s="1"/>
  <c r="G64" i="2"/>
  <c r="H55" i="2"/>
  <c r="G6" i="15" s="1"/>
  <c r="H54" i="2"/>
  <c r="K20" i="1"/>
  <c r="J5" i="13" s="1"/>
  <c r="K19" i="1"/>
  <c r="K65" i="6"/>
  <c r="J8" i="14" s="1"/>
  <c r="K64" i="6"/>
  <c r="K67" i="6"/>
  <c r="G82" i="2"/>
  <c r="G81" i="2"/>
  <c r="M65" i="4"/>
  <c r="L7" i="14" s="1"/>
  <c r="M64" i="4"/>
  <c r="Y79" i="7"/>
  <c r="Y80" i="7" s="1"/>
  <c r="Y82" i="4"/>
  <c r="AE28" i="2"/>
  <c r="AE27" i="2"/>
  <c r="V20" i="5"/>
  <c r="U9" i="13" s="1"/>
  <c r="V19" i="5"/>
  <c r="BB65" i="2"/>
  <c r="BA6" i="14" s="1"/>
  <c r="BB67" i="2"/>
  <c r="S35" i="5"/>
  <c r="AJ27" i="4"/>
  <c r="AJ40" i="4"/>
  <c r="AJ42" i="4" s="1"/>
  <c r="P82" i="1"/>
  <c r="BW64" i="5"/>
  <c r="BW65" i="5"/>
  <c r="BV9" i="14" s="1"/>
  <c r="CA74" i="2"/>
  <c r="CA75" i="2"/>
  <c r="BY67" i="2"/>
  <c r="BY27" i="2"/>
  <c r="BY28" i="2"/>
  <c r="BZ74" i="2"/>
  <c r="BZ75" i="2"/>
  <c r="BX27" i="2"/>
  <c r="BX28" i="2"/>
  <c r="CB64" i="1"/>
  <c r="CB65" i="1"/>
  <c r="CA5" i="14" s="1"/>
  <c r="BX28" i="1"/>
  <c r="BX27" i="1"/>
  <c r="BW74" i="1"/>
  <c r="BW75" i="1"/>
  <c r="BO40" i="6"/>
  <c r="BO41" i="6" s="1"/>
  <c r="BP67" i="5"/>
  <c r="BN67" i="6"/>
  <c r="BN65" i="6"/>
  <c r="BM8" i="14" s="1"/>
  <c r="BS65" i="4"/>
  <c r="BR7" i="14" s="1"/>
  <c r="BS64" i="4"/>
  <c r="BL19" i="5"/>
  <c r="BL20" i="5"/>
  <c r="BK9" i="13" s="1"/>
  <c r="M87" i="4"/>
  <c r="M88" i="4" s="1"/>
  <c r="I12" i="2"/>
  <c r="H6" i="8" s="1"/>
  <c r="I11" i="2"/>
  <c r="I19" i="4"/>
  <c r="I20" i="4"/>
  <c r="H7" i="13" s="1"/>
  <c r="M82" i="1"/>
  <c r="M81" i="1"/>
  <c r="C28" i="2"/>
  <c r="C27" i="2"/>
  <c r="G28" i="2"/>
  <c r="G27" i="2"/>
  <c r="K28" i="2"/>
  <c r="K27" i="2"/>
  <c r="N82" i="2"/>
  <c r="N81" i="2"/>
  <c r="I28" i="4"/>
  <c r="I27" i="4"/>
  <c r="J35" i="6"/>
  <c r="J34" i="6"/>
  <c r="G88" i="1"/>
  <c r="D40" i="4"/>
  <c r="D42" i="4" s="1"/>
  <c r="M20" i="2"/>
  <c r="L6" i="13" s="1"/>
  <c r="M19" i="2"/>
  <c r="L20" i="5"/>
  <c r="K9" i="13" s="1"/>
  <c r="L67" i="5"/>
  <c r="C24" i="7"/>
  <c r="C26" i="7" s="1"/>
  <c r="C26" i="5"/>
  <c r="P40" i="1"/>
  <c r="P41" i="1" s="1"/>
  <c r="O87" i="1"/>
  <c r="O89" i="1" s="1"/>
  <c r="Q86" i="5"/>
  <c r="Q87" i="5" s="1"/>
  <c r="Q88" i="5" s="1"/>
  <c r="Q73" i="5"/>
  <c r="Q75" i="5" s="1"/>
  <c r="P26" i="5"/>
  <c r="P28" i="5" s="1"/>
  <c r="P38" i="5"/>
  <c r="P40" i="5" s="1"/>
  <c r="P42" i="5" s="1"/>
  <c r="T85" i="6"/>
  <c r="T71" i="7"/>
  <c r="R40" i="2"/>
  <c r="R41" i="2" s="1"/>
  <c r="W81" i="6"/>
  <c r="W82" i="6"/>
  <c r="Y54" i="2"/>
  <c r="Y55" i="2"/>
  <c r="X6" i="15" s="1"/>
  <c r="AB82" i="1"/>
  <c r="AB81" i="1"/>
  <c r="AE34" i="4"/>
  <c r="AE35" i="4"/>
  <c r="BB87" i="2"/>
  <c r="BB88" i="2" s="1"/>
  <c r="AG34" i="4"/>
  <c r="AO74" i="4"/>
  <c r="AO87" i="4"/>
  <c r="CA19" i="2"/>
  <c r="CA20" i="2"/>
  <c r="BZ6" i="13" s="1"/>
  <c r="BY67" i="6"/>
  <c r="BY64" i="6"/>
  <c r="BK19" i="2"/>
  <c r="BK67" i="2"/>
  <c r="BP19" i="5"/>
  <c r="BP20" i="5"/>
  <c r="BO9" i="13" s="1"/>
  <c r="BS20" i="4"/>
  <c r="BR7" i="13" s="1"/>
  <c r="BS40" i="4"/>
  <c r="BS42" i="4" s="1"/>
  <c r="E19" i="6"/>
  <c r="E20" i="6"/>
  <c r="D8" i="13" s="1"/>
  <c r="F20" i="5"/>
  <c r="E9" i="13" s="1"/>
  <c r="F19" i="5"/>
  <c r="K82" i="1"/>
  <c r="K81" i="1"/>
  <c r="F35" i="4"/>
  <c r="F34" i="4"/>
  <c r="J35" i="4"/>
  <c r="J34" i="4"/>
  <c r="N40" i="2"/>
  <c r="N41" i="2" s="1"/>
  <c r="X34" i="5"/>
  <c r="X35" i="5"/>
  <c r="AD38" i="6"/>
  <c r="AD40" i="6" s="1"/>
  <c r="AD26" i="6"/>
  <c r="BW74" i="5"/>
  <c r="AQ28" i="2"/>
  <c r="AQ27" i="2"/>
  <c r="BX64" i="2"/>
  <c r="C19" i="6"/>
  <c r="C20" i="6"/>
  <c r="B8" i="13" s="1"/>
  <c r="K20" i="4"/>
  <c r="J7" i="13" s="1"/>
  <c r="K19" i="4"/>
  <c r="K65" i="2"/>
  <c r="J6" i="14" s="1"/>
  <c r="K64" i="2"/>
  <c r="K67" i="2"/>
  <c r="N65" i="1"/>
  <c r="M5" i="14" s="1"/>
  <c r="N64" i="1"/>
  <c r="L65" i="6"/>
  <c r="K8" i="14" s="1"/>
  <c r="L64" i="6"/>
  <c r="L67" i="6"/>
  <c r="R74" i="2"/>
  <c r="R75" i="2"/>
  <c r="V85" i="4"/>
  <c r="V85" i="7" s="1"/>
  <c r="V74" i="4"/>
  <c r="AA28" i="5"/>
  <c r="AQ74" i="5"/>
  <c r="AX75" i="2"/>
  <c r="BY74" i="5"/>
  <c r="AA75" i="5"/>
  <c r="AA74" i="5"/>
  <c r="O34" i="5"/>
  <c r="O35" i="5"/>
  <c r="BX65" i="5"/>
  <c r="BW9" i="14" s="1"/>
  <c r="BX67" i="5"/>
  <c r="BY64" i="1"/>
  <c r="BY19" i="6"/>
  <c r="BY20" i="6"/>
  <c r="BX8" i="13" s="1"/>
  <c r="BX67" i="6"/>
  <c r="BX64" i="6"/>
  <c r="BZ19" i="6"/>
  <c r="BZ20" i="6"/>
  <c r="BY8" i="13" s="1"/>
  <c r="W65" i="6"/>
  <c r="V8" i="14" s="1"/>
  <c r="BP20" i="6"/>
  <c r="BO8" i="13" s="1"/>
  <c r="BV20" i="1"/>
  <c r="BU5" i="13" s="1"/>
  <c r="BV19" i="1"/>
  <c r="BU19" i="6"/>
  <c r="BU20" i="6"/>
  <c r="BT8" i="13" s="1"/>
  <c r="BO65" i="1"/>
  <c r="BN5" i="14" s="1"/>
  <c r="BO64" i="1"/>
  <c r="BL87" i="6"/>
  <c r="BL88" i="6" s="1"/>
  <c r="BV20" i="5"/>
  <c r="BU9" i="13" s="1"/>
  <c r="BV19" i="5"/>
  <c r="BO19" i="4"/>
  <c r="BO20" i="4"/>
  <c r="BN7" i="13" s="1"/>
  <c r="BN65" i="2"/>
  <c r="BM6" i="14" s="1"/>
  <c r="BN67" i="2"/>
  <c r="I19" i="5"/>
  <c r="I20" i="5"/>
  <c r="H9" i="13" s="1"/>
  <c r="G65" i="1"/>
  <c r="F5" i="14" s="1"/>
  <c r="G67" i="1"/>
  <c r="G65" i="4"/>
  <c r="F7" i="14" s="1"/>
  <c r="G67" i="4"/>
  <c r="E67" i="6"/>
  <c r="C20" i="4"/>
  <c r="B7" i="13" s="1"/>
  <c r="C67" i="4"/>
  <c r="K65" i="1"/>
  <c r="J5" i="14" s="1"/>
  <c r="K67" i="1"/>
  <c r="K64" i="1"/>
  <c r="L28" i="1"/>
  <c r="L27" i="1"/>
  <c r="M75" i="1"/>
  <c r="M74" i="1"/>
  <c r="C67" i="2"/>
  <c r="C65" i="2"/>
  <c r="B6" i="14" s="1"/>
  <c r="C64" i="2"/>
  <c r="P65" i="2"/>
  <c r="O6" i="14" s="1"/>
  <c r="P67" i="2"/>
  <c r="W28" i="2"/>
  <c r="W27" i="2"/>
  <c r="AC20" i="6"/>
  <c r="AB8" i="13" s="1"/>
  <c r="AC19" i="6"/>
  <c r="AC65" i="1"/>
  <c r="AB5" i="14" s="1"/>
  <c r="AC64" i="1"/>
  <c r="AC67" i="1"/>
  <c r="AE20" i="6"/>
  <c r="AD8" i="13" s="1"/>
  <c r="AE19" i="6"/>
  <c r="AE64" i="1"/>
  <c r="AE65" i="1"/>
  <c r="AD5" i="14" s="1"/>
  <c r="AN39" i="7"/>
  <c r="AQ86" i="7"/>
  <c r="N35" i="5"/>
  <c r="N34" i="5"/>
  <c r="C65" i="6"/>
  <c r="B8" i="14" s="1"/>
  <c r="C64" i="6"/>
  <c r="C67" i="6"/>
  <c r="Q28" i="2"/>
  <c r="Q27" i="2"/>
  <c r="O74" i="2"/>
  <c r="O75" i="2"/>
  <c r="P12" i="2"/>
  <c r="O6" i="8" s="1"/>
  <c r="P11" i="2"/>
  <c r="O65" i="4"/>
  <c r="N7" i="14" s="1"/>
  <c r="O64" i="4"/>
  <c r="T65" i="2"/>
  <c r="S6" i="14" s="1"/>
  <c r="T64" i="2"/>
  <c r="V27" i="5"/>
  <c r="V28" i="5"/>
  <c r="W31" i="7"/>
  <c r="W65" i="5"/>
  <c r="V9" i="14" s="1"/>
  <c r="W67" i="5"/>
  <c r="X67" i="2"/>
  <c r="Y82" i="1"/>
  <c r="Y81" i="1"/>
  <c r="AA40" i="2"/>
  <c r="AA42" i="2" s="1"/>
  <c r="AC20" i="4"/>
  <c r="AB7" i="13" s="1"/>
  <c r="AC67" i="4"/>
  <c r="AB64" i="2"/>
  <c r="AB65" i="2"/>
  <c r="AA6" i="14" s="1"/>
  <c r="AD40" i="1"/>
  <c r="AD41" i="1" s="1"/>
  <c r="AF20" i="1"/>
  <c r="AE5" i="13" s="1"/>
  <c r="AF67" i="1"/>
  <c r="AE20" i="4"/>
  <c r="AD7" i="13" s="1"/>
  <c r="AE19" i="4"/>
  <c r="AH35" i="6"/>
  <c r="AH34" i="6"/>
  <c r="AI54" i="6"/>
  <c r="AG26" i="5"/>
  <c r="AG27" i="5" s="1"/>
  <c r="AI86" i="4"/>
  <c r="AI86" i="7" s="1"/>
  <c r="AH40" i="1"/>
  <c r="AH41" i="1" s="1"/>
  <c r="AG34" i="2"/>
  <c r="AH65" i="5"/>
  <c r="AG9" i="14" s="1"/>
  <c r="AH64" i="5"/>
  <c r="AI65" i="2"/>
  <c r="AH6" i="14" s="1"/>
  <c r="AI67" i="2"/>
  <c r="AH65" i="1"/>
  <c r="AG5" i="14" s="1"/>
  <c r="AH64" i="1"/>
  <c r="AH67" i="1"/>
  <c r="AJ20" i="4"/>
  <c r="AI7" i="13" s="1"/>
  <c r="AJ19" i="4"/>
  <c r="AJ64" i="2"/>
  <c r="AJ67" i="2"/>
  <c r="AO82" i="5"/>
  <c r="AO81" i="5"/>
  <c r="AN20" i="5"/>
  <c r="AM9" i="13" s="1"/>
  <c r="AN19" i="5"/>
  <c r="AQ81" i="4"/>
  <c r="AQ82" i="4"/>
  <c r="AW85" i="2"/>
  <c r="AW87" i="2" s="1"/>
  <c r="AW88" i="2" s="1"/>
  <c r="AW73" i="2"/>
  <c r="AF57" i="4"/>
  <c r="AF12" i="4"/>
  <c r="AE7" i="8" s="1"/>
  <c r="S11" i="4"/>
  <c r="S12" i="4"/>
  <c r="R7" i="8" s="1"/>
  <c r="Q57" i="4"/>
  <c r="Q11" i="4"/>
  <c r="O57" i="4"/>
  <c r="O12" i="4"/>
  <c r="N7" i="8" s="1"/>
  <c r="AG55" i="5"/>
  <c r="AF9" i="15" s="1"/>
  <c r="AG54" i="5"/>
  <c r="AE57" i="5"/>
  <c r="AE55" i="5"/>
  <c r="AD9" i="15" s="1"/>
  <c r="AC55" i="5"/>
  <c r="AB9" i="15" s="1"/>
  <c r="AC54" i="5"/>
  <c r="W57" i="5"/>
  <c r="W55" i="5"/>
  <c r="V9" i="15" s="1"/>
  <c r="BF27" i="1"/>
  <c r="BF28" i="1"/>
  <c r="BH57" i="1"/>
  <c r="BD57" i="1"/>
  <c r="BD11" i="1"/>
  <c r="AZ57" i="1"/>
  <c r="BH39" i="1"/>
  <c r="BH20" i="1"/>
  <c r="BG5" i="13" s="1"/>
  <c r="BJ25" i="7"/>
  <c r="BJ28" i="1"/>
  <c r="BH63" i="1"/>
  <c r="BH67" i="1" s="1"/>
  <c r="BH86" i="1"/>
  <c r="BI85" i="1"/>
  <c r="BI73" i="1"/>
  <c r="BJ73" i="1"/>
  <c r="BJ74" i="1" s="1"/>
  <c r="BJ86" i="1"/>
  <c r="BJ87" i="1" s="1"/>
  <c r="BJ88" i="1" s="1"/>
  <c r="BV54" i="4"/>
  <c r="BV55" i="4"/>
  <c r="BU7" i="15" s="1"/>
  <c r="BR54" i="4"/>
  <c r="BR55" i="4"/>
  <c r="BQ7" i="15" s="1"/>
  <c r="BL26" i="4"/>
  <c r="BL38" i="4"/>
  <c r="BM39" i="4"/>
  <c r="BM73" i="4"/>
  <c r="BM87" i="4" s="1"/>
  <c r="BM86" i="4"/>
  <c r="BP35" i="5"/>
  <c r="BP34" i="5"/>
  <c r="BO38" i="5"/>
  <c r="BO40" i="5" s="1"/>
  <c r="BO41" i="5" s="1"/>
  <c r="BO18" i="5"/>
  <c r="BU51" i="7"/>
  <c r="BU53" i="7" s="1"/>
  <c r="BU54" i="7" s="1"/>
  <c r="BU53" i="2"/>
  <c r="BU85" i="2"/>
  <c r="BU87" i="2" s="1"/>
  <c r="BT65" i="2"/>
  <c r="BS6" i="14" s="1"/>
  <c r="BT64" i="2"/>
  <c r="BT67" i="2"/>
  <c r="BV75" i="2"/>
  <c r="AZ28" i="2"/>
  <c r="AF74" i="5"/>
  <c r="AR75" i="4"/>
  <c r="BH63" i="2"/>
  <c r="BD64" i="6"/>
  <c r="BD65" i="6"/>
  <c r="BC8" i="14" s="1"/>
  <c r="BA38" i="2"/>
  <c r="BA35" i="2"/>
  <c r="AS55" i="6"/>
  <c r="AR8" i="15" s="1"/>
  <c r="AW54" i="6"/>
  <c r="AV65" i="6"/>
  <c r="AU8" i="14" s="1"/>
  <c r="AF19" i="1"/>
  <c r="Z35" i="1"/>
  <c r="W64" i="2"/>
  <c r="T86" i="6"/>
  <c r="AU55" i="6"/>
  <c r="AT8" i="15" s="1"/>
  <c r="AW11" i="2"/>
  <c r="AS26" i="1"/>
  <c r="AS27" i="1" s="1"/>
  <c r="AP75" i="5"/>
  <c r="AJ78" i="7"/>
  <c r="AJ80" i="7" s="1"/>
  <c r="AJ81" i="7" s="1"/>
  <c r="BW81" i="5"/>
  <c r="CA19" i="4"/>
  <c r="CA34" i="4"/>
  <c r="BW67" i="2"/>
  <c r="BW40" i="6"/>
  <c r="BM19" i="4"/>
  <c r="BN75" i="6"/>
  <c r="BT62" i="7"/>
  <c r="BV72" i="7"/>
  <c r="BO16" i="7"/>
  <c r="BL24" i="7"/>
  <c r="BM72" i="7"/>
  <c r="BV55" i="6"/>
  <c r="BU8" i="15" s="1"/>
  <c r="BP57" i="5"/>
  <c r="BK85" i="4"/>
  <c r="S64" i="1"/>
  <c r="O67" i="4"/>
  <c r="E102" i="7"/>
  <c r="E11" i="5"/>
  <c r="G12" i="5"/>
  <c r="F9" i="8" s="1"/>
  <c r="E19" i="5"/>
  <c r="E20" i="5"/>
  <c r="D9" i="13" s="1"/>
  <c r="F65" i="1"/>
  <c r="E5" i="14" s="1"/>
  <c r="F64" i="1"/>
  <c r="F67" i="1"/>
  <c r="I65" i="5"/>
  <c r="H9" i="14" s="1"/>
  <c r="I67" i="5"/>
  <c r="F81" i="2"/>
  <c r="G35" i="4"/>
  <c r="G34" i="4"/>
  <c r="J82" i="6"/>
  <c r="J81" i="6"/>
  <c r="N87" i="1"/>
  <c r="N88" i="1" s="1"/>
  <c r="M20" i="5"/>
  <c r="L9" i="13" s="1"/>
  <c r="M19" i="5"/>
  <c r="M67" i="5"/>
  <c r="L65" i="5"/>
  <c r="K9" i="14" s="1"/>
  <c r="L64" i="5"/>
  <c r="O24" i="7"/>
  <c r="Q12" i="4"/>
  <c r="P7" i="8" s="1"/>
  <c r="Q67" i="2"/>
  <c r="S54" i="5"/>
  <c r="S71" i="7"/>
  <c r="S20" i="2"/>
  <c r="R6" i="13" s="1"/>
  <c r="S19" i="2"/>
  <c r="U34" i="1"/>
  <c r="U28" i="1"/>
  <c r="X64" i="2"/>
  <c r="U82" i="2"/>
  <c r="U82" i="6"/>
  <c r="U81" i="6"/>
  <c r="V87" i="1"/>
  <c r="V88" i="1" s="1"/>
  <c r="U40" i="5"/>
  <c r="U41" i="5" s="1"/>
  <c r="V40" i="5"/>
  <c r="V41" i="5" s="1"/>
  <c r="Z79" i="7"/>
  <c r="Z80" i="7" s="1"/>
  <c r="Z82" i="7" s="1"/>
  <c r="Z55" i="4"/>
  <c r="Y7" i="15" s="1"/>
  <c r="AA54" i="5"/>
  <c r="AB35" i="1"/>
  <c r="AB34" i="1"/>
  <c r="AA82" i="2"/>
  <c r="AC34" i="4"/>
  <c r="AB26" i="6"/>
  <c r="AB28" i="6" s="1"/>
  <c r="AB38" i="6"/>
  <c r="AB40" i="6" s="1"/>
  <c r="AB41" i="6" s="1"/>
  <c r="AB20" i="6"/>
  <c r="AA8" i="13" s="1"/>
  <c r="AB67" i="6"/>
  <c r="AE54" i="5"/>
  <c r="AD12" i="4"/>
  <c r="AC7" i="8" s="1"/>
  <c r="AE65" i="2"/>
  <c r="AD6" i="14" s="1"/>
  <c r="AH82" i="2"/>
  <c r="AH18" i="6"/>
  <c r="AH19" i="6" s="1"/>
  <c r="AH64" i="2"/>
  <c r="AH65" i="2"/>
  <c r="AG6" i="14" s="1"/>
  <c r="AL73" i="4"/>
  <c r="AJ38" i="6"/>
  <c r="AJ40" i="6" s="1"/>
  <c r="AK27" i="2"/>
  <c r="AK28" i="2"/>
  <c r="AM81" i="4"/>
  <c r="AM82" i="4"/>
  <c r="AN20" i="4"/>
  <c r="AM7" i="13" s="1"/>
  <c r="AN19" i="4"/>
  <c r="AN67" i="4"/>
  <c r="AO34" i="2"/>
  <c r="AO35" i="2"/>
  <c r="AQ35" i="1"/>
  <c r="AQ78" i="7"/>
  <c r="AQ80" i="7" s="1"/>
  <c r="AQ80" i="1"/>
  <c r="AU35" i="2"/>
  <c r="AU34" i="2"/>
  <c r="AR12" i="2"/>
  <c r="AQ6" i="8" s="1"/>
  <c r="AR11" i="2"/>
  <c r="AN12" i="2"/>
  <c r="AM6" i="8" s="1"/>
  <c r="AN11" i="2"/>
  <c r="AX55" i="1"/>
  <c r="AW5" i="15" s="1"/>
  <c r="AX54" i="1"/>
  <c r="AV55" i="1"/>
  <c r="AU5" i="15" s="1"/>
  <c r="AV54" i="1"/>
  <c r="AT55" i="1"/>
  <c r="AS5" i="15" s="1"/>
  <c r="AT54" i="1"/>
  <c r="AP57" i="1"/>
  <c r="AP54" i="1"/>
  <c r="AP55" i="1"/>
  <c r="AO5" i="15" s="1"/>
  <c r="AJ55" i="1"/>
  <c r="AI5" i="15" s="1"/>
  <c r="AJ54" i="1"/>
  <c r="AF55" i="1"/>
  <c r="AE5" i="15" s="1"/>
  <c r="AF54" i="1"/>
  <c r="AB55" i="1"/>
  <c r="AA5" i="15" s="1"/>
  <c r="AB54" i="1"/>
  <c r="Z55" i="1"/>
  <c r="Y5" i="15" s="1"/>
  <c r="Z54" i="1"/>
  <c r="R55" i="1"/>
  <c r="Q5" i="15" s="1"/>
  <c r="R54" i="1"/>
  <c r="P55" i="1"/>
  <c r="O5" i="15" s="1"/>
  <c r="P54" i="1"/>
  <c r="AX54" i="4"/>
  <c r="AX55" i="4"/>
  <c r="AW7" i="15" s="1"/>
  <c r="AV55" i="4"/>
  <c r="AU7" i="15" s="1"/>
  <c r="AV54" i="4"/>
  <c r="AT55" i="4"/>
  <c r="AS7" i="15" s="1"/>
  <c r="AT54" i="4"/>
  <c r="AP55" i="4"/>
  <c r="AO7" i="15" s="1"/>
  <c r="AP54" i="4"/>
  <c r="AL55" i="4"/>
  <c r="AK7" i="15" s="1"/>
  <c r="AL54" i="4"/>
  <c r="AH55" i="4"/>
  <c r="AG7" i="15" s="1"/>
  <c r="AH54" i="4"/>
  <c r="AZ11" i="1"/>
  <c r="BI26" i="1"/>
  <c r="AZ27" i="1"/>
  <c r="AZ28" i="1"/>
  <c r="AY25" i="7"/>
  <c r="AY26" i="1"/>
  <c r="AY27" i="1" s="1"/>
  <c r="AY39" i="1"/>
  <c r="AY85" i="1"/>
  <c r="AY73" i="1"/>
  <c r="AY75" i="1" s="1"/>
  <c r="BD65" i="5"/>
  <c r="BC9" i="14" s="1"/>
  <c r="BD64" i="5"/>
  <c r="BC11" i="2"/>
  <c r="BC12" i="2"/>
  <c r="BB6" i="8" s="1"/>
  <c r="BC57" i="2"/>
  <c r="BB18" i="5"/>
  <c r="BB38" i="5"/>
  <c r="BB40" i="5" s="1"/>
  <c r="BC18" i="5"/>
  <c r="BC39" i="5"/>
  <c r="BC17" i="7"/>
  <c r="BC73" i="5"/>
  <c r="BC74" i="5" s="1"/>
  <c r="BB24" i="7"/>
  <c r="BB38" i="1"/>
  <c r="BF81" i="2"/>
  <c r="BF82" i="2"/>
  <c r="BQ82" i="4"/>
  <c r="BQ81" i="4"/>
  <c r="BV64" i="4"/>
  <c r="BK11" i="6"/>
  <c r="BK57" i="6"/>
  <c r="BK12" i="6"/>
  <c r="BJ8" i="8" s="1"/>
  <c r="BL20" i="6"/>
  <c r="BK8" i="13" s="1"/>
  <c r="BL19" i="6"/>
  <c r="AI75" i="1"/>
  <c r="AI74" i="1"/>
  <c r="AG78" i="7"/>
  <c r="AG80" i="7" s="1"/>
  <c r="AG85" i="4"/>
  <c r="AG20" i="6"/>
  <c r="AF8" i="13" s="1"/>
  <c r="AG19" i="6"/>
  <c r="AH64" i="6"/>
  <c r="AH65" i="6"/>
  <c r="AG8" i="14" s="1"/>
  <c r="AL27" i="6"/>
  <c r="AL28" i="6"/>
  <c r="AO24" i="7"/>
  <c r="AO26" i="2"/>
  <c r="AK34" i="2"/>
  <c r="AK35" i="2"/>
  <c r="AR82" i="2"/>
  <c r="AR81" i="2"/>
  <c r="AP38" i="4"/>
  <c r="AP26" i="4"/>
  <c r="AP40" i="4" s="1"/>
  <c r="AP42" i="4" s="1"/>
  <c r="AU82" i="6"/>
  <c r="AU81" i="6"/>
  <c r="AU64" i="2"/>
  <c r="AU65" i="2"/>
  <c r="AT6" i="14" s="1"/>
  <c r="AW82" i="4"/>
  <c r="AW81" i="4"/>
  <c r="AV26" i="2"/>
  <c r="AV24" i="7"/>
  <c r="AV38" i="2"/>
  <c r="AX64" i="2"/>
  <c r="AX65" i="2"/>
  <c r="AW6" i="14" s="1"/>
  <c r="AX81" i="4"/>
  <c r="O57" i="5"/>
  <c r="O11" i="5"/>
  <c r="K11" i="5"/>
  <c r="K12" i="5"/>
  <c r="J9" i="8" s="1"/>
  <c r="I57" i="5"/>
  <c r="I12" i="5"/>
  <c r="H9" i="8" s="1"/>
  <c r="AK57" i="6"/>
  <c r="AK55" i="6"/>
  <c r="AJ8" i="15" s="1"/>
  <c r="AK54" i="6"/>
  <c r="X57" i="6"/>
  <c r="X55" i="6"/>
  <c r="W8" i="15" s="1"/>
  <c r="X54" i="6"/>
  <c r="R57" i="6"/>
  <c r="R11" i="6"/>
  <c r="P12" i="6"/>
  <c r="O8" i="8" s="1"/>
  <c r="P11" i="6"/>
  <c r="N57" i="6"/>
  <c r="N12" i="6"/>
  <c r="M8" i="8" s="1"/>
  <c r="L11" i="6"/>
  <c r="L12" i="6"/>
  <c r="K8" i="8" s="1"/>
  <c r="J57" i="6"/>
  <c r="J12" i="6"/>
  <c r="I8" i="8" s="1"/>
  <c r="D51" i="7"/>
  <c r="D53" i="7" s="1"/>
  <c r="D55" i="7" s="1"/>
  <c r="C12" i="15" s="1"/>
  <c r="D53" i="6"/>
  <c r="D57" i="6" s="1"/>
  <c r="D85" i="6"/>
  <c r="D87" i="6" s="1"/>
  <c r="D89" i="6" s="1"/>
  <c r="U52" i="7"/>
  <c r="U53" i="7" s="1"/>
  <c r="U55" i="4"/>
  <c r="T7" i="15" s="1"/>
  <c r="W8" i="7"/>
  <c r="W10" i="7" s="1"/>
  <c r="W12" i="7" s="1"/>
  <c r="W11" i="6"/>
  <c r="AI20" i="5"/>
  <c r="AH9" i="13" s="1"/>
  <c r="AI19" i="5"/>
  <c r="AH18" i="5"/>
  <c r="AH39" i="5"/>
  <c r="AH40" i="5" s="1"/>
  <c r="W20" i="5"/>
  <c r="V9" i="13" s="1"/>
  <c r="W39" i="5"/>
  <c r="W40" i="5" s="1"/>
  <c r="W41" i="5" s="1"/>
  <c r="W67" i="6"/>
  <c r="W62" i="4"/>
  <c r="W64" i="4"/>
  <c r="V20" i="6"/>
  <c r="U8" i="13" s="1"/>
  <c r="V39" i="6"/>
  <c r="V62" i="6"/>
  <c r="V65" i="6" s="1"/>
  <c r="U8" i="14" s="1"/>
  <c r="V67" i="6"/>
  <c r="U16" i="6"/>
  <c r="U16" i="7" s="1"/>
  <c r="U39" i="6"/>
  <c r="T18" i="5"/>
  <c r="T19" i="5" s="1"/>
  <c r="T38" i="5"/>
  <c r="T40" i="5" s="1"/>
  <c r="T41" i="5" s="1"/>
  <c r="T61" i="7"/>
  <c r="T85" i="4"/>
  <c r="AZ12" i="2"/>
  <c r="AY6" i="8" s="1"/>
  <c r="AZ11" i="2"/>
  <c r="AZ54" i="2"/>
  <c r="AZ57" i="2"/>
  <c r="BJ64" i="1"/>
  <c r="BJ67" i="1"/>
  <c r="AZ73" i="5"/>
  <c r="AZ74" i="5" s="1"/>
  <c r="BE57" i="4"/>
  <c r="BE12" i="4"/>
  <c r="BD7" i="8" s="1"/>
  <c r="BA73" i="4"/>
  <c r="BA74" i="4" s="1"/>
  <c r="BD75" i="6"/>
  <c r="BD74" i="6"/>
  <c r="BE11" i="6"/>
  <c r="BE57" i="6"/>
  <c r="BE12" i="6"/>
  <c r="BD8" i="8" s="1"/>
  <c r="BJ54" i="5"/>
  <c r="BJ55" i="5"/>
  <c r="BI9" i="15" s="1"/>
  <c r="BH54" i="5"/>
  <c r="BH55" i="5"/>
  <c r="BG9" i="15" s="1"/>
  <c r="BH58" i="5"/>
  <c r="BC11" i="5"/>
  <c r="BC12" i="5"/>
  <c r="BB9" i="8" s="1"/>
  <c r="AQ75" i="2"/>
  <c r="BP82" i="5"/>
  <c r="BU75" i="2"/>
  <c r="BI71" i="7"/>
  <c r="BI73" i="7" s="1"/>
  <c r="BI75" i="7" s="1"/>
  <c r="BH6" i="24" s="1"/>
  <c r="AX71" i="7"/>
  <c r="AR71" i="7"/>
  <c r="AW64" i="1"/>
  <c r="AP25" i="7"/>
  <c r="AQ72" i="7"/>
  <c r="AN35" i="2"/>
  <c r="AK35" i="1"/>
  <c r="AK40" i="4"/>
  <c r="AK41" i="4" s="1"/>
  <c r="AI67" i="5"/>
  <c r="AI38" i="6"/>
  <c r="AI40" i="6" s="1"/>
  <c r="AI35" i="5"/>
  <c r="S64" i="5"/>
  <c r="AU54" i="6"/>
  <c r="AQ65" i="5"/>
  <c r="AP9" i="14" s="1"/>
  <c r="BW34" i="4"/>
  <c r="BO61" i="7"/>
  <c r="BM26" i="4"/>
  <c r="BI38" i="1"/>
  <c r="BJ73" i="2"/>
  <c r="BA16" i="7"/>
  <c r="X67" i="4"/>
  <c r="T67" i="1"/>
  <c r="AE67" i="2"/>
  <c r="Y39" i="6"/>
  <c r="E19" i="4"/>
  <c r="E20" i="4"/>
  <c r="D7" i="13" s="1"/>
  <c r="J19" i="2"/>
  <c r="J20" i="2"/>
  <c r="I6" i="13" s="1"/>
  <c r="J67" i="2"/>
  <c r="J65" i="5"/>
  <c r="I9" i="14" s="1"/>
  <c r="J64" i="5"/>
  <c r="J65" i="1"/>
  <c r="I5" i="14" s="1"/>
  <c r="J67" i="1"/>
  <c r="E82" i="1"/>
  <c r="E81" i="1"/>
  <c r="N82" i="1"/>
  <c r="N81" i="1"/>
  <c r="I82" i="2"/>
  <c r="I81" i="2"/>
  <c r="G75" i="4"/>
  <c r="G74" i="4"/>
  <c r="M40" i="1"/>
  <c r="M41" i="1" s="1"/>
  <c r="L40" i="2"/>
  <c r="L41" i="2" s="1"/>
  <c r="N40" i="4"/>
  <c r="N41" i="4" s="1"/>
  <c r="L55" i="2"/>
  <c r="K6" i="15" s="1"/>
  <c r="L54" i="2"/>
  <c r="M65" i="1"/>
  <c r="L5" i="14" s="1"/>
  <c r="M64" i="1"/>
  <c r="M67" i="2"/>
  <c r="O75" i="1"/>
  <c r="O74" i="1"/>
  <c r="Q35" i="2"/>
  <c r="Q34" i="2"/>
  <c r="P40" i="2"/>
  <c r="P41" i="2" s="1"/>
  <c r="Q12" i="2"/>
  <c r="P6" i="8" s="1"/>
  <c r="Q11" i="2"/>
  <c r="R34" i="5"/>
  <c r="R35" i="5"/>
  <c r="R19" i="4"/>
  <c r="T73" i="5"/>
  <c r="T74" i="5" s="1"/>
  <c r="T63" i="4"/>
  <c r="W27" i="5"/>
  <c r="W28" i="5"/>
  <c r="V19" i="2"/>
  <c r="V67" i="2"/>
  <c r="U20" i="1"/>
  <c r="T5" i="13" s="1"/>
  <c r="U67" i="1"/>
  <c r="U19" i="1"/>
  <c r="X64" i="4"/>
  <c r="Y12" i="6"/>
  <c r="X8" i="8" s="1"/>
  <c r="Y40" i="2"/>
  <c r="Y41" i="2" s="1"/>
  <c r="X65" i="2"/>
  <c r="W6" i="14" s="1"/>
  <c r="Z72" i="4"/>
  <c r="Z75" i="4" s="1"/>
  <c r="Y73" i="6"/>
  <c r="Y74" i="6" s="1"/>
  <c r="X73" i="5"/>
  <c r="X74" i="5" s="1"/>
  <c r="Z20" i="1"/>
  <c r="Y5" i="13" s="1"/>
  <c r="Z19" i="1"/>
  <c r="AA75" i="2"/>
  <c r="AA87" i="2"/>
  <c r="AA89" i="2" s="1"/>
  <c r="AB12" i="4"/>
  <c r="AA7" i="8" s="1"/>
  <c r="AF28" i="2"/>
  <c r="AF27" i="2"/>
  <c r="AD39" i="7"/>
  <c r="AF40" i="1"/>
  <c r="AF41" i="1" s="1"/>
  <c r="AG26" i="6"/>
  <c r="AH86" i="4"/>
  <c r="AH86" i="7" s="1"/>
  <c r="AI24" i="7"/>
  <c r="AJ75" i="2"/>
  <c r="AL34" i="5"/>
  <c r="AJ65" i="1"/>
  <c r="AI5" i="14" s="1"/>
  <c r="AJ64" i="1"/>
  <c r="AO74" i="2"/>
  <c r="AO65" i="4"/>
  <c r="AN7" i="14" s="1"/>
  <c r="AN64" i="1"/>
  <c r="AN65" i="1"/>
  <c r="AM5" i="14" s="1"/>
  <c r="AQ35" i="6"/>
  <c r="AQ34" i="6"/>
  <c r="AR20" i="6"/>
  <c r="AQ8" i="13" s="1"/>
  <c r="AR19" i="6"/>
  <c r="AP20" i="2"/>
  <c r="AO6" i="13" s="1"/>
  <c r="AP19" i="2"/>
  <c r="AT64" i="5"/>
  <c r="AT65" i="5"/>
  <c r="AS9" i="14" s="1"/>
  <c r="AA11" i="5"/>
  <c r="AA12" i="5"/>
  <c r="Z9" i="8" s="1"/>
  <c r="Y57" i="5"/>
  <c r="Y12" i="5"/>
  <c r="X9" i="8" s="1"/>
  <c r="S57" i="5"/>
  <c r="S11" i="5"/>
  <c r="Q57" i="5"/>
  <c r="Q12" i="5"/>
  <c r="P9" i="8" s="1"/>
  <c r="R54" i="6"/>
  <c r="R55" i="6"/>
  <c r="Q8" i="15" s="1"/>
  <c r="C12" i="6"/>
  <c r="B8" i="8" s="1"/>
  <c r="C11" i="6"/>
  <c r="AJ16" i="7"/>
  <c r="AG63" i="5"/>
  <c r="AG85" i="5"/>
  <c r="AF65" i="5"/>
  <c r="AE9" i="14" s="1"/>
  <c r="AF64" i="5"/>
  <c r="AE63" i="5"/>
  <c r="AE67" i="5" s="1"/>
  <c r="AE85" i="5"/>
  <c r="AE87" i="5" s="1"/>
  <c r="AD18" i="6"/>
  <c r="AD19" i="6" s="1"/>
  <c r="AD85" i="5"/>
  <c r="AD87" i="5" s="1"/>
  <c r="AC85" i="5"/>
  <c r="AC87" i="5" s="1"/>
  <c r="AC89" i="5" s="1"/>
  <c r="AC63" i="5"/>
  <c r="AC65" i="5" s="1"/>
  <c r="AB9" i="14" s="1"/>
  <c r="AA18" i="6"/>
  <c r="AA19" i="6" s="1"/>
  <c r="AA39" i="6"/>
  <c r="AA40" i="6" s="1"/>
  <c r="AA20" i="6"/>
  <c r="Z8" i="13" s="1"/>
  <c r="AA20" i="4"/>
  <c r="Z7" i="13" s="1"/>
  <c r="AA67" i="4"/>
  <c r="AA85" i="5"/>
  <c r="Z65" i="5"/>
  <c r="Y9" i="14" s="1"/>
  <c r="Z67" i="5"/>
  <c r="Y38" i="4"/>
  <c r="Y38" i="7" s="1"/>
  <c r="Y19" i="4"/>
  <c r="Y65" i="5"/>
  <c r="X9" i="14" s="1"/>
  <c r="Y67" i="5"/>
  <c r="X18" i="6"/>
  <c r="X39" i="6"/>
  <c r="V17" i="7"/>
  <c r="V20" i="4"/>
  <c r="U7" i="13" s="1"/>
  <c r="V64" i="4"/>
  <c r="U62" i="4"/>
  <c r="T86" i="4"/>
  <c r="BG54" i="1"/>
  <c r="BG55" i="1"/>
  <c r="BF5" i="15" s="1"/>
  <c r="BC54" i="1"/>
  <c r="BC55" i="1"/>
  <c r="BB5" i="15" s="1"/>
  <c r="BJ74" i="5"/>
  <c r="BJ75" i="5"/>
  <c r="BM63" i="2"/>
  <c r="BM61" i="7"/>
  <c r="BR55" i="6"/>
  <c r="BQ8" i="15" s="1"/>
  <c r="BR54" i="6"/>
  <c r="BT86" i="6"/>
  <c r="BT87" i="6" s="1"/>
  <c r="BT73" i="6"/>
  <c r="BU38" i="1"/>
  <c r="BU40" i="1" s="1"/>
  <c r="BU18" i="1"/>
  <c r="BT75" i="4"/>
  <c r="BT74" i="4"/>
  <c r="BU73" i="4"/>
  <c r="BU74" i="4" s="1"/>
  <c r="BV19" i="4"/>
  <c r="BV20" i="4"/>
  <c r="BU7" i="13" s="1"/>
  <c r="BV39" i="4"/>
  <c r="BV26" i="4"/>
  <c r="BV40" i="4" s="1"/>
  <c r="CH75" i="7"/>
  <c r="CG6" i="24" s="1"/>
  <c r="CH74" i="7"/>
  <c r="H67" i="1"/>
  <c r="I65" i="2"/>
  <c r="H6" i="14" s="1"/>
  <c r="M87" i="6"/>
  <c r="M88" i="6" s="1"/>
  <c r="M40" i="5"/>
  <c r="I27" i="5"/>
  <c r="O38" i="5"/>
  <c r="O40" i="5" s="1"/>
  <c r="O41" i="5" s="1"/>
  <c r="Q40" i="1"/>
  <c r="P26" i="4"/>
  <c r="R11" i="2"/>
  <c r="S86" i="5"/>
  <c r="T27" i="5"/>
  <c r="S40" i="5"/>
  <c r="S42" i="5" s="1"/>
  <c r="R20" i="2"/>
  <c r="Q6" i="13" s="1"/>
  <c r="U41" i="4"/>
  <c r="U40" i="2"/>
  <c r="U41" i="2" s="1"/>
  <c r="U38" i="6"/>
  <c r="V87" i="4"/>
  <c r="Z87" i="2"/>
  <c r="Z25" i="4"/>
  <c r="AA40" i="1"/>
  <c r="AA41" i="1" s="1"/>
  <c r="AL81" i="1"/>
  <c r="AC67" i="2"/>
  <c r="AE19" i="5"/>
  <c r="AD75" i="2"/>
  <c r="AD34" i="6"/>
  <c r="AD38" i="4"/>
  <c r="AG26" i="4"/>
  <c r="AG28" i="4" s="1"/>
  <c r="AJ87" i="1"/>
  <c r="AJ89" i="1" s="1"/>
  <c r="AK19" i="2"/>
  <c r="AK87" i="2"/>
  <c r="AK88" i="2" s="1"/>
  <c r="AL71" i="7"/>
  <c r="AJ71" i="7"/>
  <c r="AJ73" i="7" s="1"/>
  <c r="AJ74" i="7" s="1"/>
  <c r="AN85" i="2"/>
  <c r="AN87" i="2" s="1"/>
  <c r="AN88" i="2" s="1"/>
  <c r="AN38" i="7"/>
  <c r="AM72" i="7"/>
  <c r="AM55" i="2"/>
  <c r="AL6" i="15" s="1"/>
  <c r="AQ55" i="2"/>
  <c r="AP6" i="15" s="1"/>
  <c r="AT82" i="1"/>
  <c r="AT81" i="1"/>
  <c r="AP85" i="6"/>
  <c r="AP87" i="6" s="1"/>
  <c r="AP88" i="6" s="1"/>
  <c r="AP73" i="6"/>
  <c r="AP75" i="6" s="1"/>
  <c r="AX55" i="5"/>
  <c r="AW9" i="15" s="1"/>
  <c r="J57" i="4"/>
  <c r="H57" i="4"/>
  <c r="AQ55" i="5"/>
  <c r="AP9" i="15" s="1"/>
  <c r="AQ54" i="5"/>
  <c r="AM9" i="7"/>
  <c r="AM10" i="7" s="1"/>
  <c r="AM10" i="5"/>
  <c r="AM11" i="5" s="1"/>
  <c r="AM39" i="5"/>
  <c r="C61" i="7"/>
  <c r="C63" i="7" s="1"/>
  <c r="C64" i="7" s="1"/>
  <c r="AX63" i="1"/>
  <c r="AX18" i="4"/>
  <c r="AW62" i="7"/>
  <c r="AW18" i="2"/>
  <c r="AW18" i="4"/>
  <c r="AW40" i="4" s="1"/>
  <c r="AW41" i="4" s="1"/>
  <c r="AW18" i="6"/>
  <c r="AW67" i="6" s="1"/>
  <c r="AW38" i="6"/>
  <c r="AW40" i="6" s="1"/>
  <c r="AW42" i="6" s="1"/>
  <c r="AV18" i="4"/>
  <c r="AV40" i="4" s="1"/>
  <c r="AV41" i="4" s="1"/>
  <c r="AU18" i="4"/>
  <c r="AQ39" i="2"/>
  <c r="AO38" i="2"/>
  <c r="AO40" i="2" s="1"/>
  <c r="AN63" i="5"/>
  <c r="AM85" i="6"/>
  <c r="AM63" i="6"/>
  <c r="AL18" i="4"/>
  <c r="AL19" i="4" s="1"/>
  <c r="AL63" i="6"/>
  <c r="AJ17" i="7"/>
  <c r="AG17" i="7"/>
  <c r="Y17" i="4"/>
  <c r="Y20" i="4" s="1"/>
  <c r="X7" i="13" s="1"/>
  <c r="X17" i="4"/>
  <c r="X20" i="4" s="1"/>
  <c r="W7" i="13" s="1"/>
  <c r="BE86" i="4"/>
  <c r="BJ55" i="4"/>
  <c r="BI7" i="15" s="1"/>
  <c r="BJ57" i="4"/>
  <c r="BB55" i="4"/>
  <c r="BA7" i="15" s="1"/>
  <c r="BB57" i="4"/>
  <c r="BJ27" i="4"/>
  <c r="BJ28" i="4"/>
  <c r="BB28" i="4"/>
  <c r="BB27" i="4"/>
  <c r="BD12" i="6"/>
  <c r="BC8" i="8" s="1"/>
  <c r="BD11" i="6"/>
  <c r="BA11" i="6"/>
  <c r="BA12" i="6"/>
  <c r="AZ8" i="8" s="1"/>
  <c r="BA57" i="6"/>
  <c r="BP81" i="4"/>
  <c r="BL82" i="4"/>
  <c r="BL81" i="4"/>
  <c r="BM67" i="4"/>
  <c r="L40" i="4"/>
  <c r="L41" i="4" s="1"/>
  <c r="M40" i="6"/>
  <c r="M42" i="6" s="1"/>
  <c r="E87" i="2"/>
  <c r="E88" i="2" s="1"/>
  <c r="I87" i="2"/>
  <c r="I88" i="2" s="1"/>
  <c r="K87" i="6"/>
  <c r="K88" i="6" s="1"/>
  <c r="E87" i="4"/>
  <c r="E88" i="4" s="1"/>
  <c r="F87" i="6"/>
  <c r="F89" i="6" s="1"/>
  <c r="I87" i="4"/>
  <c r="I88" i="4" s="1"/>
  <c r="J87" i="6"/>
  <c r="J89" i="6" s="1"/>
  <c r="J40" i="2"/>
  <c r="J42" i="2" s="1"/>
  <c r="Q40" i="2"/>
  <c r="Q41" i="2" s="1"/>
  <c r="S73" i="5"/>
  <c r="S74" i="5" s="1"/>
  <c r="R39" i="4"/>
  <c r="W87" i="4"/>
  <c r="W67" i="2"/>
  <c r="V67" i="1"/>
  <c r="Z32" i="7"/>
  <c r="Z33" i="7" s="1"/>
  <c r="Z85" i="5"/>
  <c r="AB73" i="4"/>
  <c r="AB75" i="4" s="1"/>
  <c r="AC39" i="6"/>
  <c r="AF26" i="6"/>
  <c r="AI39" i="5"/>
  <c r="AG39" i="6"/>
  <c r="AG39" i="7" s="1"/>
  <c r="AN27" i="4"/>
  <c r="AN28" i="4"/>
  <c r="AO81" i="6"/>
  <c r="AO82" i="6"/>
  <c r="AN20" i="1"/>
  <c r="AM5" i="13" s="1"/>
  <c r="AN19" i="1"/>
  <c r="AR65" i="2"/>
  <c r="AQ6" i="14" s="1"/>
  <c r="AR64" i="2"/>
  <c r="AT82" i="4"/>
  <c r="AT81" i="4"/>
  <c r="AS73" i="5"/>
  <c r="AV20" i="1"/>
  <c r="AU5" i="13" s="1"/>
  <c r="AV19" i="1"/>
  <c r="AV87" i="6"/>
  <c r="AV88" i="6" s="1"/>
  <c r="AO55" i="2"/>
  <c r="AN6" i="15" s="1"/>
  <c r="AO54" i="2"/>
  <c r="AA57" i="2"/>
  <c r="AR12" i="4"/>
  <c r="AQ7" i="8" s="1"/>
  <c r="AR11" i="4"/>
  <c r="AJ57" i="4"/>
  <c r="AJ12" i="4"/>
  <c r="AI7" i="8" s="1"/>
  <c r="AH57" i="4"/>
  <c r="AR12" i="5"/>
  <c r="AQ9" i="8" s="1"/>
  <c r="AR11" i="5"/>
  <c r="AW57" i="6"/>
  <c r="AM12" i="6"/>
  <c r="AL8" i="8" s="1"/>
  <c r="AM11" i="6"/>
  <c r="AI57" i="6"/>
  <c r="P8" i="7"/>
  <c r="P10" i="7" s="1"/>
  <c r="P10" i="5"/>
  <c r="AV18" i="5"/>
  <c r="AV19" i="5" s="1"/>
  <c r="AV39" i="5"/>
  <c r="AV40" i="5" s="1"/>
  <c r="AU39" i="5"/>
  <c r="AU40" i="5" s="1"/>
  <c r="AU18" i="5"/>
  <c r="AT86" i="6"/>
  <c r="AT87" i="6" s="1"/>
  <c r="AT88" i="6" s="1"/>
  <c r="AT63" i="6"/>
  <c r="AT18" i="2"/>
  <c r="AT38" i="2"/>
  <c r="AT40" i="2" s="1"/>
  <c r="AS39" i="5"/>
  <c r="AS18" i="5"/>
  <c r="AS38" i="4"/>
  <c r="AS18" i="4"/>
  <c r="AR86" i="6"/>
  <c r="AR86" i="7" s="1"/>
  <c r="AR20" i="2"/>
  <c r="AQ6" i="13" s="1"/>
  <c r="AR19" i="2"/>
  <c r="AQ65" i="1"/>
  <c r="AP5" i="14" s="1"/>
  <c r="AQ64" i="1"/>
  <c r="AQ18" i="2"/>
  <c r="AQ19" i="2" s="1"/>
  <c r="AQ38" i="2"/>
  <c r="AP63" i="6"/>
  <c r="AN18" i="6"/>
  <c r="AN86" i="6"/>
  <c r="AN86" i="7" s="1"/>
  <c r="AM18" i="4"/>
  <c r="AM63" i="4"/>
  <c r="AL86" i="6"/>
  <c r="AL86" i="7" s="1"/>
  <c r="AJ63" i="4"/>
  <c r="AI62" i="7"/>
  <c r="BA18" i="1"/>
  <c r="BA19" i="1" s="1"/>
  <c r="AY20" i="1"/>
  <c r="AX5" i="13" s="1"/>
  <c r="AY19" i="1"/>
  <c r="AZ75" i="1"/>
  <c r="AY26" i="4"/>
  <c r="AY27" i="4" s="1"/>
  <c r="BC63" i="2"/>
  <c r="BC85" i="2"/>
  <c r="BB25" i="7"/>
  <c r="BB73" i="1"/>
  <c r="BB74" i="1" s="1"/>
  <c r="BB63" i="4"/>
  <c r="BB85" i="4"/>
  <c r="BC63" i="4"/>
  <c r="BC64" i="4" s="1"/>
  <c r="BC86" i="4"/>
  <c r="BC63" i="6"/>
  <c r="BC65" i="6" s="1"/>
  <c r="BB8" i="14" s="1"/>
  <c r="BC86" i="6"/>
  <c r="BC87" i="6" s="1"/>
  <c r="BF26" i="4"/>
  <c r="BF27" i="4" s="1"/>
  <c r="BG63" i="4"/>
  <c r="BG64" i="4" s="1"/>
  <c r="BG85" i="4"/>
  <c r="BF86" i="4"/>
  <c r="BF73" i="4"/>
  <c r="BF74" i="4" s="1"/>
  <c r="BF18" i="2"/>
  <c r="BF39" i="2"/>
  <c r="BF40" i="2" s="1"/>
  <c r="BF41" i="2" s="1"/>
  <c r="BF85" i="1"/>
  <c r="BF87" i="1" s="1"/>
  <c r="BF88" i="1" s="1"/>
  <c r="BF73" i="1"/>
  <c r="BF55" i="5"/>
  <c r="BE9" i="15" s="1"/>
  <c r="BF54" i="5"/>
  <c r="BG73" i="5"/>
  <c r="BG74" i="5" s="1"/>
  <c r="BI18" i="6"/>
  <c r="BI67" i="6" s="1"/>
  <c r="BI38" i="6"/>
  <c r="BI40" i="6" s="1"/>
  <c r="BJ18" i="6"/>
  <c r="BJ19" i="6" s="1"/>
  <c r="BJ39" i="6"/>
  <c r="BJ40" i="6" s="1"/>
  <c r="BI73" i="6"/>
  <c r="BI74" i="6" s="1"/>
  <c r="BJ38" i="4"/>
  <c r="BJ38" i="7" s="1"/>
  <c r="BJ18" i="4"/>
  <c r="BH64" i="4"/>
  <c r="BH65" i="4"/>
  <c r="BG7" i="14" s="1"/>
  <c r="BI63" i="4"/>
  <c r="BI65" i="4" s="1"/>
  <c r="BH7" i="14" s="1"/>
  <c r="BI86" i="4"/>
  <c r="BI18" i="5"/>
  <c r="BI38" i="5"/>
  <c r="BI40" i="5" s="1"/>
  <c r="BJ18" i="5"/>
  <c r="BJ39" i="5"/>
  <c r="BI65" i="5"/>
  <c r="BH9" i="14" s="1"/>
  <c r="BI63" i="5"/>
  <c r="BM11" i="1"/>
  <c r="BM12" i="1"/>
  <c r="BL5" i="8" s="1"/>
  <c r="BK34" i="5"/>
  <c r="BK35" i="5"/>
  <c r="AR39" i="4"/>
  <c r="AS86" i="1"/>
  <c r="AU85" i="1"/>
  <c r="AU87" i="1" s="1"/>
  <c r="AT85" i="1"/>
  <c r="AX57" i="2"/>
  <c r="AT57" i="2"/>
  <c r="AP57" i="2"/>
  <c r="AN57" i="2"/>
  <c r="K57" i="5"/>
  <c r="G57" i="5"/>
  <c r="S57" i="6"/>
  <c r="F57" i="6"/>
  <c r="AQ18" i="5"/>
  <c r="AQ20" i="5" s="1"/>
  <c r="AP9" i="13" s="1"/>
  <c r="AL63" i="4"/>
  <c r="AK18" i="5"/>
  <c r="AK63" i="4"/>
  <c r="AI18" i="6"/>
  <c r="AI67" i="6" s="1"/>
  <c r="AE38" i="5"/>
  <c r="AE40" i="5" s="1"/>
  <c r="AE42" i="5" s="1"/>
  <c r="AA16" i="7"/>
  <c r="Z63" i="6"/>
  <c r="S63" i="6"/>
  <c r="R63" i="6"/>
  <c r="AY18" i="2"/>
  <c r="AZ39" i="2"/>
  <c r="BA63" i="2"/>
  <c r="BG57" i="1"/>
  <c r="BC57" i="1"/>
  <c r="AY57" i="1"/>
  <c r="BF40" i="5"/>
  <c r="BF41" i="5" s="1"/>
  <c r="BG27" i="5"/>
  <c r="BG28" i="5"/>
  <c r="AY26" i="5"/>
  <c r="AY27" i="5" s="1"/>
  <c r="AZ55" i="4"/>
  <c r="AY7" i="15" s="1"/>
  <c r="AZ57" i="4"/>
  <c r="BD57" i="6"/>
  <c r="BE40" i="6"/>
  <c r="BB34" i="2"/>
  <c r="BB35" i="2"/>
  <c r="BB27" i="2"/>
  <c r="BB28" i="2"/>
  <c r="BE27" i="2"/>
  <c r="BE28" i="2"/>
  <c r="BP38" i="2"/>
  <c r="BP40" i="2" s="1"/>
  <c r="BP18" i="2"/>
  <c r="BP67" i="2" s="1"/>
  <c r="BN34" i="6"/>
  <c r="BN35" i="6"/>
  <c r="BS35" i="6"/>
  <c r="BS34" i="6"/>
  <c r="BR39" i="2"/>
  <c r="BR18" i="2"/>
  <c r="BR19" i="2" s="1"/>
  <c r="BR20" i="2"/>
  <c r="BQ6" i="13" s="1"/>
  <c r="BU27" i="1"/>
  <c r="BU28" i="1"/>
  <c r="AK86" i="6"/>
  <c r="AK86" i="7" s="1"/>
  <c r="AM25" i="7"/>
  <c r="AM26" i="7" s="1"/>
  <c r="AN26" i="1"/>
  <c r="AN27" i="1" s="1"/>
  <c r="AR73" i="6"/>
  <c r="AR74" i="6" s="1"/>
  <c r="AX86" i="6"/>
  <c r="AX87" i="6" s="1"/>
  <c r="AV57" i="2"/>
  <c r="AI57" i="2"/>
  <c r="AE57" i="2"/>
  <c r="AB57" i="2"/>
  <c r="Z57" i="2"/>
  <c r="T57" i="4"/>
  <c r="R57" i="4"/>
  <c r="P57" i="4"/>
  <c r="AI57" i="5"/>
  <c r="AG57" i="5"/>
  <c r="H57" i="5"/>
  <c r="AB57" i="6"/>
  <c r="K57" i="6"/>
  <c r="AT63" i="2"/>
  <c r="AT67" i="2" s="1"/>
  <c r="AT63" i="4"/>
  <c r="AT65" i="4" s="1"/>
  <c r="AS7" i="14" s="1"/>
  <c r="AT18" i="6"/>
  <c r="AT67" i="6" s="1"/>
  <c r="AS63" i="4"/>
  <c r="AS67" i="4" s="1"/>
  <c r="AS18" i="1"/>
  <c r="AS20" i="1" s="1"/>
  <c r="AR5" i="13" s="1"/>
  <c r="AR63" i="5"/>
  <c r="AN62" i="7"/>
  <c r="AI61" i="7"/>
  <c r="Z62" i="4"/>
  <c r="Z65" i="4" s="1"/>
  <c r="Y7" i="14" s="1"/>
  <c r="W16" i="6"/>
  <c r="W38" i="6" s="1"/>
  <c r="U61" i="7"/>
  <c r="AZ35" i="2"/>
  <c r="BA17" i="7"/>
  <c r="AY62" i="7"/>
  <c r="AY86" i="1"/>
  <c r="BA63" i="5"/>
  <c r="AY63" i="5"/>
  <c r="AZ73" i="6"/>
  <c r="AZ74" i="6" s="1"/>
  <c r="AZ85" i="6"/>
  <c r="AZ87" i="6" s="1"/>
  <c r="BG18" i="5"/>
  <c r="BG19" i="5" s="1"/>
  <c r="BK54" i="5"/>
  <c r="BK55" i="5"/>
  <c r="BJ9" i="15" s="1"/>
  <c r="BL28" i="2"/>
  <c r="BL27" i="2"/>
  <c r="BP19" i="4"/>
  <c r="BP20" i="4"/>
  <c r="BO7" i="13" s="1"/>
  <c r="BR34" i="6"/>
  <c r="BR35" i="6"/>
  <c r="BR63" i="2"/>
  <c r="BR65" i="2" s="1"/>
  <c r="BQ6" i="14" s="1"/>
  <c r="BR86" i="2"/>
  <c r="BR87" i="2" s="1"/>
  <c r="BW86" i="4"/>
  <c r="BW63" i="4"/>
  <c r="CB86" i="4"/>
  <c r="CB62" i="7"/>
  <c r="BZ85" i="4"/>
  <c r="BZ63" i="4"/>
  <c r="AZ18" i="4"/>
  <c r="AZ67" i="4" s="1"/>
  <c r="AY63" i="4"/>
  <c r="AY64" i="4" s="1"/>
  <c r="BJ57" i="6"/>
  <c r="BJ12" i="6"/>
  <c r="BI8" i="8" s="1"/>
  <c r="BJ11" i="6"/>
  <c r="BG11" i="6"/>
  <c r="BG12" i="6"/>
  <c r="BF8" i="8" s="1"/>
  <c r="AZ11" i="6"/>
  <c r="AZ12" i="6"/>
  <c r="AY8" i="8" s="1"/>
  <c r="BG57" i="5"/>
  <c r="BG11" i="5"/>
  <c r="BB62" i="7"/>
  <c r="BB63" i="7" s="1"/>
  <c r="BB64" i="7" s="1"/>
  <c r="BG63" i="1"/>
  <c r="BG64" i="1" s="1"/>
  <c r="BG18" i="1"/>
  <c r="BG67" i="1" s="1"/>
  <c r="BH85" i="6"/>
  <c r="BH87" i="6" s="1"/>
  <c r="BJ65" i="4"/>
  <c r="BI7" i="14" s="1"/>
  <c r="BJ72" i="7"/>
  <c r="BJ73" i="7" s="1"/>
  <c r="BJ74" i="7" s="1"/>
  <c r="BJ86" i="4"/>
  <c r="BJ73" i="4"/>
  <c r="BJ74" i="4" s="1"/>
  <c r="BK81" i="1"/>
  <c r="BK82" i="1"/>
  <c r="BS82" i="4"/>
  <c r="BS81" i="4"/>
  <c r="BV57" i="4"/>
  <c r="BV11" i="4"/>
  <c r="BR57" i="4"/>
  <c r="BR11" i="4"/>
  <c r="BT54" i="2"/>
  <c r="BT55" i="2"/>
  <c r="BS6" i="15" s="1"/>
  <c r="BL18" i="2"/>
  <c r="BL67" i="2" s="1"/>
  <c r="BL39" i="2"/>
  <c r="BU16" i="7"/>
  <c r="BU18" i="7" s="1"/>
  <c r="BT85" i="5"/>
  <c r="BT87" i="5" s="1"/>
  <c r="BU86" i="5"/>
  <c r="BU86" i="7" s="1"/>
  <c r="BU24" i="7"/>
  <c r="BU26" i="7" s="1"/>
  <c r="BU26" i="2"/>
  <c r="BT26" i="4"/>
  <c r="BT27" i="4" s="1"/>
  <c r="BW85" i="2"/>
  <c r="BW87" i="2" s="1"/>
  <c r="BX57" i="6"/>
  <c r="CB57" i="6"/>
  <c r="BG12" i="5"/>
  <c r="BF9" i="8" s="1"/>
  <c r="BA39" i="5"/>
  <c r="AZ38" i="4"/>
  <c r="BF19" i="4"/>
  <c r="BD64" i="4"/>
  <c r="BD65" i="4"/>
  <c r="BC7" i="14" s="1"/>
  <c r="AY86" i="4"/>
  <c r="BI86" i="6"/>
  <c r="BB55" i="2"/>
  <c r="BA6" i="15" s="1"/>
  <c r="BB12" i="2"/>
  <c r="BA6" i="8" s="1"/>
  <c r="BC39" i="2"/>
  <c r="BC20" i="2"/>
  <c r="BB6" i="13" s="1"/>
  <c r="BC73" i="6"/>
  <c r="BC74" i="6" s="1"/>
  <c r="BF74" i="6"/>
  <c r="BF75" i="6"/>
  <c r="BE18" i="5"/>
  <c r="BE39" i="5"/>
  <c r="BG27" i="2"/>
  <c r="BG28" i="2"/>
  <c r="BE82" i="2"/>
  <c r="BM39" i="5"/>
  <c r="BR12" i="4"/>
  <c r="BQ7" i="8" s="1"/>
  <c r="BL34" i="6"/>
  <c r="BL35" i="6"/>
  <c r="BL11" i="6"/>
  <c r="BL12" i="6"/>
  <c r="BK8" i="8" s="1"/>
  <c r="BL26" i="6"/>
  <c r="BO24" i="7"/>
  <c r="BO26" i="7" s="1"/>
  <c r="BO27" i="7" s="1"/>
  <c r="BP62" i="7"/>
  <c r="BP63" i="7" s="1"/>
  <c r="BO86" i="2"/>
  <c r="BO38" i="2"/>
  <c r="BO39" i="4"/>
  <c r="BP86" i="4"/>
  <c r="BP73" i="4"/>
  <c r="BP87" i="4" s="1"/>
  <c r="BP28" i="6"/>
  <c r="BP27" i="6"/>
  <c r="BR24" i="7"/>
  <c r="BR26" i="2"/>
  <c r="BR27" i="2" s="1"/>
  <c r="BR38" i="2"/>
  <c r="BQ85" i="1"/>
  <c r="BW85" i="6"/>
  <c r="BX86" i="6"/>
  <c r="BY85" i="6"/>
  <c r="CA86" i="2"/>
  <c r="CA87" i="2" s="1"/>
  <c r="CA88" i="2" s="1"/>
  <c r="BZ38" i="1"/>
  <c r="BZ40" i="1" s="1"/>
  <c r="BZ41" i="1" s="1"/>
  <c r="CH64" i="7"/>
  <c r="CH67" i="7"/>
  <c r="CH65" i="7"/>
  <c r="CG12" i="14" s="1"/>
  <c r="AZ86" i="5"/>
  <c r="BI57" i="4"/>
  <c r="BA57" i="4"/>
  <c r="BB57" i="6"/>
  <c r="BF57" i="5"/>
  <c r="BF24" i="7"/>
  <c r="BF26" i="7" s="1"/>
  <c r="BH26" i="2"/>
  <c r="BM57" i="5"/>
  <c r="BK86" i="5"/>
  <c r="BK73" i="5"/>
  <c r="BL86" i="5"/>
  <c r="BL87" i="5" s="1"/>
  <c r="BL89" i="5" s="1"/>
  <c r="BL63" i="4"/>
  <c r="BP85" i="4"/>
  <c r="AY18" i="5"/>
  <c r="AY86" i="5"/>
  <c r="AZ85" i="5"/>
  <c r="BJ40" i="4"/>
  <c r="BB40" i="4"/>
  <c r="AY73" i="4"/>
  <c r="AY87" i="4" s="1"/>
  <c r="BB57" i="5"/>
  <c r="BB73" i="2"/>
  <c r="BB74" i="2" s="1"/>
  <c r="BJ24" i="7"/>
  <c r="BK57" i="5"/>
  <c r="BM33" i="7"/>
  <c r="BM34" i="7" s="1"/>
  <c r="BO57" i="4"/>
  <c r="BK57" i="4"/>
  <c r="BN71" i="7"/>
  <c r="BN73" i="7" s="1"/>
  <c r="BO73" i="2"/>
  <c r="BO75" i="2" s="1"/>
  <c r="BN39" i="4"/>
  <c r="BN86" i="6"/>
  <c r="BQ16" i="7"/>
  <c r="BQ63" i="2"/>
  <c r="BQ73" i="2"/>
  <c r="BS85" i="2"/>
  <c r="BS87" i="2" s="1"/>
  <c r="BS88" i="2" s="1"/>
  <c r="BT63" i="5"/>
  <c r="CD26" i="7"/>
  <c r="CD27" i="7" s="1"/>
  <c r="BX33" i="7"/>
  <c r="BX34" i="7" s="1"/>
  <c r="CE63" i="7"/>
  <c r="BZ38" i="6"/>
  <c r="BZ40" i="6" s="1"/>
  <c r="CA85" i="6"/>
  <c r="CA87" i="6" s="1"/>
  <c r="CA88" i="6" s="1"/>
  <c r="CB86" i="6"/>
  <c r="CB73" i="5"/>
  <c r="CB75" i="5" s="1"/>
  <c r="CG40" i="7"/>
  <c r="D73" i="7"/>
  <c r="D74" i="7" s="1"/>
  <c r="BU33" i="7"/>
  <c r="BU35" i="7" s="1"/>
  <c r="BT8" i="26" s="1"/>
  <c r="CC18" i="7"/>
  <c r="CC19" i="7" s="1"/>
  <c r="BW33" i="7"/>
  <c r="BW34" i="7" s="1"/>
  <c r="CB10" i="7"/>
  <c r="CB11" i="7" s="1"/>
  <c r="BZ33" i="7"/>
  <c r="BZ35" i="7" s="1"/>
  <c r="BY8" i="26" s="1"/>
  <c r="CC63" i="7"/>
  <c r="CG65" i="7"/>
  <c r="CF12" i="14" s="1"/>
  <c r="BY10" i="7"/>
  <c r="CC26" i="7"/>
  <c r="CC27" i="7" s="1"/>
  <c r="CE33" i="7"/>
  <c r="CE34" i="7" s="1"/>
  <c r="CD53" i="7"/>
  <c r="CD54" i="7" s="1"/>
  <c r="BX80" i="7"/>
  <c r="BX82" i="7" s="1"/>
  <c r="BR33" i="7"/>
  <c r="BR34" i="7" s="1"/>
  <c r="BZ10" i="7"/>
  <c r="BZ11" i="7" s="1"/>
  <c r="CD18" i="7"/>
  <c r="CC80" i="7"/>
  <c r="CC82" i="7" s="1"/>
  <c r="C80" i="7"/>
  <c r="C82" i="7" s="1"/>
  <c r="G80" i="7"/>
  <c r="G82" i="7" s="1"/>
  <c r="K80" i="7"/>
  <c r="K82" i="7" s="1"/>
  <c r="M73" i="7"/>
  <c r="M74" i="7" s="1"/>
  <c r="I73" i="7"/>
  <c r="I74" i="7" s="1"/>
  <c r="E73" i="7"/>
  <c r="E74" i="7" s="1"/>
  <c r="W80" i="7"/>
  <c r="W82" i="7" s="1"/>
  <c r="AJ33" i="7"/>
  <c r="AJ34" i="7" s="1"/>
  <c r="M85" i="7"/>
  <c r="N86" i="7"/>
  <c r="BL80" i="7"/>
  <c r="BL81" i="7" s="1"/>
  <c r="BU80" i="7"/>
  <c r="BU81" i="7" s="1"/>
  <c r="BT10" i="7"/>
  <c r="BT12" i="7" s="1"/>
  <c r="BS9" i="26" s="1"/>
  <c r="CC10" i="7"/>
  <c r="CD63" i="7"/>
  <c r="CD65" i="7" s="1"/>
  <c r="CC12" i="14" s="1"/>
  <c r="T26" i="7"/>
  <c r="T27" i="7" s="1"/>
  <c r="BV10" i="7"/>
  <c r="BV11" i="7" s="1"/>
  <c r="CD10" i="7"/>
  <c r="CD11" i="7" s="1"/>
  <c r="CB33" i="7"/>
  <c r="CB34" i="7" s="1"/>
  <c r="CE53" i="7"/>
  <c r="CE54" i="7" s="1"/>
  <c r="BY80" i="7"/>
  <c r="BY82" i="7" s="1"/>
  <c r="CG75" i="7"/>
  <c r="CF6" i="24" s="1"/>
  <c r="N80" i="7"/>
  <c r="N81" i="7" s="1"/>
  <c r="N73" i="7"/>
  <c r="N74" i="7" s="1"/>
  <c r="J73" i="7"/>
  <c r="F73" i="7"/>
  <c r="F74" i="7" s="1"/>
  <c r="BH55" i="7"/>
  <c r="BG12" i="15" s="1"/>
  <c r="BT53" i="7"/>
  <c r="BT54" i="7" s="1"/>
  <c r="BM18" i="7"/>
  <c r="BM19" i="7" s="1"/>
  <c r="K73" i="7"/>
  <c r="G73" i="7"/>
  <c r="AP33" i="7"/>
  <c r="M39" i="7"/>
  <c r="BW10" i="7"/>
  <c r="BW12" i="7" s="1"/>
  <c r="BV5" i="26" s="1"/>
  <c r="CA10" i="7"/>
  <c r="CA12" i="7" s="1"/>
  <c r="CE10" i="7"/>
  <c r="CE11" i="7" s="1"/>
  <c r="D88" i="2"/>
  <c r="D89" i="2"/>
  <c r="E89" i="1"/>
  <c r="E88" i="1"/>
  <c r="K5" i="17"/>
  <c r="K9" i="17" s="1"/>
  <c r="K8" i="17"/>
  <c r="M5" i="17"/>
  <c r="M9" i="17" s="1"/>
  <c r="M8" i="17"/>
  <c r="AH28" i="4"/>
  <c r="AH27" i="4"/>
  <c r="BK65" i="5"/>
  <c r="BJ9" i="14" s="1"/>
  <c r="BK64" i="5"/>
  <c r="BR40" i="4"/>
  <c r="BK28" i="4"/>
  <c r="BK27" i="4"/>
  <c r="G20" i="6"/>
  <c r="F8" i="13" s="1"/>
  <c r="G19" i="6"/>
  <c r="G67" i="6"/>
  <c r="D65" i="1"/>
  <c r="C5" i="14" s="1"/>
  <c r="D64" i="1"/>
  <c r="D67" i="1"/>
  <c r="F65" i="2"/>
  <c r="E6" i="14" s="1"/>
  <c r="F64" i="2"/>
  <c r="F67" i="2"/>
  <c r="F65" i="4"/>
  <c r="E7" i="14" s="1"/>
  <c r="F67" i="4"/>
  <c r="K12" i="2"/>
  <c r="J6" i="8" s="1"/>
  <c r="K11" i="2"/>
  <c r="J67" i="6"/>
  <c r="J64" i="6"/>
  <c r="I75" i="1"/>
  <c r="I74" i="1"/>
  <c r="K82" i="2"/>
  <c r="K81" i="2"/>
  <c r="H82" i="4"/>
  <c r="H81" i="4"/>
  <c r="J75" i="6"/>
  <c r="J74" i="6"/>
  <c r="S39" i="6"/>
  <c r="S33" i="6"/>
  <c r="S34" i="6" s="1"/>
  <c r="S20" i="4"/>
  <c r="R7" i="13" s="1"/>
  <c r="S19" i="4"/>
  <c r="R65" i="2"/>
  <c r="Q6" i="14" s="1"/>
  <c r="R64" i="2"/>
  <c r="V79" i="7"/>
  <c r="V80" i="7" s="1"/>
  <c r="V81" i="7" s="1"/>
  <c r="V82" i="4"/>
  <c r="W40" i="2"/>
  <c r="W41" i="2" s="1"/>
  <c r="AA82" i="6"/>
  <c r="AA81" i="6"/>
  <c r="AF20" i="4"/>
  <c r="AE7" i="13" s="1"/>
  <c r="AF19" i="4"/>
  <c r="AK24" i="7"/>
  <c r="AK26" i="7" s="1"/>
  <c r="AK38" i="5"/>
  <c r="AM85" i="2"/>
  <c r="AM73" i="2"/>
  <c r="AU86" i="2"/>
  <c r="AU86" i="7" s="1"/>
  <c r="AU73" i="2"/>
  <c r="AU74" i="2" s="1"/>
  <c r="AT64" i="4"/>
  <c r="AZ81" i="2"/>
  <c r="AZ82" i="2"/>
  <c r="BX40" i="1"/>
  <c r="BX41" i="1" s="1"/>
  <c r="BY24" i="7"/>
  <c r="BY26" i="7" s="1"/>
  <c r="BY38" i="1"/>
  <c r="BY26" i="1"/>
  <c r="BW53" i="1"/>
  <c r="BW85" i="1"/>
  <c r="AX75" i="6"/>
  <c r="W39" i="4"/>
  <c r="BA64" i="1"/>
  <c r="CA40" i="2"/>
  <c r="CA41" i="2" s="1"/>
  <c r="T73" i="6"/>
  <c r="BX64" i="1"/>
  <c r="BX18" i="1"/>
  <c r="BX19" i="1" s="1"/>
  <c r="BY73" i="1"/>
  <c r="BY27" i="6"/>
  <c r="BL64" i="6"/>
  <c r="BD19" i="2"/>
  <c r="BM19" i="2"/>
  <c r="BS75" i="4"/>
  <c r="BS74" i="4"/>
  <c r="BB20" i="1"/>
  <c r="BA5" i="13" s="1"/>
  <c r="Q87" i="4"/>
  <c r="R54" i="2"/>
  <c r="I19" i="1"/>
  <c r="E65" i="1"/>
  <c r="D5" i="14" s="1"/>
  <c r="E64" i="1"/>
  <c r="I65" i="1"/>
  <c r="H5" i="14" s="1"/>
  <c r="I64" i="1"/>
  <c r="I67" i="1"/>
  <c r="I55" i="2"/>
  <c r="H6" i="15" s="1"/>
  <c r="I54" i="2"/>
  <c r="G75" i="2"/>
  <c r="G74" i="2"/>
  <c r="K75" i="4"/>
  <c r="K74" i="4"/>
  <c r="L81" i="4"/>
  <c r="D35" i="6"/>
  <c r="D34" i="6"/>
  <c r="L35" i="6"/>
  <c r="L34" i="6"/>
  <c r="F74" i="6"/>
  <c r="J88" i="1"/>
  <c r="D34" i="5"/>
  <c r="E35" i="5"/>
  <c r="E34" i="5"/>
  <c r="I35" i="5"/>
  <c r="I34" i="5"/>
  <c r="D87" i="1"/>
  <c r="D89" i="1" s="1"/>
  <c r="G87" i="2"/>
  <c r="G88" i="2" s="1"/>
  <c r="K87" i="2"/>
  <c r="K88" i="2" s="1"/>
  <c r="M20" i="4"/>
  <c r="L7" i="13" s="1"/>
  <c r="M67" i="4"/>
  <c r="M20" i="6"/>
  <c r="L8" i="13" s="1"/>
  <c r="M67" i="6"/>
  <c r="N65" i="4"/>
  <c r="M7" i="14" s="1"/>
  <c r="N64" i="4"/>
  <c r="Q34" i="4"/>
  <c r="Q85" i="6"/>
  <c r="Q87" i="6" s="1"/>
  <c r="Q73" i="6"/>
  <c r="P85" i="4"/>
  <c r="P73" i="4"/>
  <c r="P74" i="4" s="1"/>
  <c r="O73" i="5"/>
  <c r="O74" i="5" s="1"/>
  <c r="O85" i="5"/>
  <c r="O72" i="7"/>
  <c r="O73" i="7" s="1"/>
  <c r="O86" i="4"/>
  <c r="O86" i="7" s="1"/>
  <c r="O73" i="4"/>
  <c r="O74" i="4" s="1"/>
  <c r="Q26" i="6"/>
  <c r="Q39" i="6"/>
  <c r="Q20" i="5"/>
  <c r="P9" i="13" s="1"/>
  <c r="Q67" i="5"/>
  <c r="P65" i="6"/>
  <c r="O8" i="14" s="1"/>
  <c r="P67" i="6"/>
  <c r="P64" i="6"/>
  <c r="R28" i="2"/>
  <c r="T87" i="5"/>
  <c r="T88" i="5" s="1"/>
  <c r="Y27" i="5"/>
  <c r="Y28" i="5"/>
  <c r="AA35" i="6"/>
  <c r="AA34" i="6"/>
  <c r="AF65" i="1"/>
  <c r="AE5" i="14" s="1"/>
  <c r="AF64" i="1"/>
  <c r="AI82" i="5"/>
  <c r="AI81" i="5"/>
  <c r="AG64" i="1"/>
  <c r="AG65" i="1"/>
  <c r="AF5" i="14" s="1"/>
  <c r="AL82" i="6"/>
  <c r="AL81" i="6"/>
  <c r="AK85" i="6"/>
  <c r="AI82" i="2"/>
  <c r="AI81" i="2"/>
  <c r="AF81" i="2"/>
  <c r="AF82" i="2"/>
  <c r="AU35" i="5"/>
  <c r="AU34" i="5"/>
  <c r="AU27" i="5"/>
  <c r="AU28" i="5"/>
  <c r="AT34" i="6"/>
  <c r="AT35" i="6"/>
  <c r="AX82" i="2"/>
  <c r="AX81" i="2"/>
  <c r="BJ20" i="5"/>
  <c r="BI9" i="13" s="1"/>
  <c r="BJ19" i="5"/>
  <c r="BH19" i="5"/>
  <c r="BH20" i="5"/>
  <c r="BG9" i="13" s="1"/>
  <c r="BJ34" i="2"/>
  <c r="BJ35" i="2"/>
  <c r="BH87" i="2"/>
  <c r="BH88" i="2" s="1"/>
  <c r="BJ65" i="2"/>
  <c r="BI6" i="14" s="1"/>
  <c r="BJ67" i="2"/>
  <c r="BJ64" i="2"/>
  <c r="BT87" i="4"/>
  <c r="BT89" i="4" s="1"/>
  <c r="BT81" i="4"/>
  <c r="BT82" i="4"/>
  <c r="BM81" i="4"/>
  <c r="BM81" i="6"/>
  <c r="BM82" i="6"/>
  <c r="BT20" i="1"/>
  <c r="BS5" i="13" s="1"/>
  <c r="BT74" i="5"/>
  <c r="BT75" i="5"/>
  <c r="BQ65" i="4"/>
  <c r="BP7" i="14" s="1"/>
  <c r="BQ67" i="4"/>
  <c r="D20" i="5"/>
  <c r="C9" i="13" s="1"/>
  <c r="D19" i="5"/>
  <c r="J27" i="5"/>
  <c r="J28" i="5"/>
  <c r="F87" i="4"/>
  <c r="F88" i="4" s="1"/>
  <c r="C39" i="7"/>
  <c r="C40" i="1"/>
  <c r="L65" i="1"/>
  <c r="K5" i="14" s="1"/>
  <c r="L64" i="1"/>
  <c r="L67" i="1"/>
  <c r="O40" i="2"/>
  <c r="Q20" i="4"/>
  <c r="P7" i="13" s="1"/>
  <c r="Q19" i="4"/>
  <c r="AF38" i="5"/>
  <c r="AF40" i="5" s="1"/>
  <c r="AF41" i="5" s="1"/>
  <c r="AF26" i="5"/>
  <c r="AH74" i="6"/>
  <c r="AH75" i="6"/>
  <c r="AJ39" i="5"/>
  <c r="AJ39" i="7" s="1"/>
  <c r="AJ25" i="7"/>
  <c r="BW38" i="1"/>
  <c r="BW18" i="1"/>
  <c r="BW67" i="1" s="1"/>
  <c r="BY87" i="1"/>
  <c r="BY88" i="1" s="1"/>
  <c r="CF67" i="7"/>
  <c r="CF64" i="7"/>
  <c r="CF65" i="7"/>
  <c r="CE12" i="14" s="1"/>
  <c r="BY42" i="6"/>
  <c r="AO75" i="4"/>
  <c r="BZ28" i="2"/>
  <c r="P74" i="2"/>
  <c r="BZ20" i="2"/>
  <c r="BY6" i="13" s="1"/>
  <c r="BZ19" i="2"/>
  <c r="BU39" i="7"/>
  <c r="J64" i="1"/>
  <c r="K19" i="2"/>
  <c r="G54" i="2"/>
  <c r="H20" i="4"/>
  <c r="G7" i="13" s="1"/>
  <c r="H19" i="4"/>
  <c r="H20" i="6"/>
  <c r="G8" i="13" s="1"/>
  <c r="H19" i="6"/>
  <c r="U28" i="5"/>
  <c r="AC27" i="5"/>
  <c r="AV74" i="4"/>
  <c r="AX28" i="2"/>
  <c r="W17" i="7"/>
  <c r="J88" i="5"/>
  <c r="AW87" i="4"/>
  <c r="AZ65" i="2"/>
  <c r="AY6" i="14" s="1"/>
  <c r="AT73" i="4"/>
  <c r="AT86" i="4"/>
  <c r="AD71" i="7"/>
  <c r="Q19" i="5"/>
  <c r="AM19" i="1"/>
  <c r="AK72" i="7"/>
  <c r="AK73" i="7" s="1"/>
  <c r="AK74" i="7" s="1"/>
  <c r="L34" i="4"/>
  <c r="H19" i="5"/>
  <c r="H19" i="2"/>
  <c r="BY81" i="1"/>
  <c r="CA20" i="1"/>
  <c r="BZ5" i="13" s="1"/>
  <c r="BY74" i="6"/>
  <c r="CA19" i="6"/>
  <c r="BW19" i="6"/>
  <c r="BX20" i="6"/>
  <c r="BW8" i="13" s="1"/>
  <c r="BX19" i="6"/>
  <c r="BF75" i="2"/>
  <c r="BK40" i="4"/>
  <c r="BM64" i="4"/>
  <c r="BL67" i="6"/>
  <c r="BJ20" i="2"/>
  <c r="BI6" i="13" s="1"/>
  <c r="BO28" i="2"/>
  <c r="BS67" i="4"/>
  <c r="BR19" i="4"/>
  <c r="BS19" i="4"/>
  <c r="BQ65" i="1"/>
  <c r="BP5" i="14" s="1"/>
  <c r="BS20" i="6"/>
  <c r="BR8" i="13" s="1"/>
  <c r="BN19" i="5"/>
  <c r="BN20" i="5"/>
  <c r="BM9" i="13" s="1"/>
  <c r="BO20" i="6"/>
  <c r="BN8" i="13" s="1"/>
  <c r="BK19" i="1"/>
  <c r="BQ75" i="6"/>
  <c r="BP64" i="2"/>
  <c r="BP65" i="2"/>
  <c r="BO6" i="14" s="1"/>
  <c r="BE67" i="2"/>
  <c r="BE65" i="2"/>
  <c r="BD6" i="14" s="1"/>
  <c r="BH74" i="2"/>
  <c r="BH75" i="2"/>
  <c r="F67" i="6"/>
  <c r="C74" i="2"/>
  <c r="T40" i="2"/>
  <c r="T41" i="2" s="1"/>
  <c r="J19" i="1"/>
  <c r="L11" i="2"/>
  <c r="E19" i="2"/>
  <c r="L19" i="2"/>
  <c r="N64" i="2"/>
  <c r="M19" i="6"/>
  <c r="E12" i="2"/>
  <c r="D6" i="8" s="1"/>
  <c r="E11" i="2"/>
  <c r="H20" i="1"/>
  <c r="G5" i="13" s="1"/>
  <c r="H19" i="1"/>
  <c r="E65" i="6"/>
  <c r="D8" i="14" s="1"/>
  <c r="E64" i="6"/>
  <c r="H65" i="6"/>
  <c r="G8" i="14" s="1"/>
  <c r="H67" i="6"/>
  <c r="H64" i="6"/>
  <c r="J81" i="1"/>
  <c r="F82" i="1"/>
  <c r="H82" i="1"/>
  <c r="L82" i="1"/>
  <c r="L28" i="2"/>
  <c r="L27" i="2"/>
  <c r="D75" i="2"/>
  <c r="D74" i="2"/>
  <c r="H75" i="2"/>
  <c r="H74" i="2"/>
  <c r="F28" i="4"/>
  <c r="F27" i="4"/>
  <c r="C35" i="4"/>
  <c r="C34" i="4"/>
  <c r="K35" i="4"/>
  <c r="K34" i="4"/>
  <c r="D81" i="4"/>
  <c r="D82" i="6"/>
  <c r="D81" i="6"/>
  <c r="L82" i="6"/>
  <c r="L81" i="6"/>
  <c r="G28" i="5"/>
  <c r="H35" i="5"/>
  <c r="D27" i="5"/>
  <c r="D28" i="5"/>
  <c r="C20" i="5"/>
  <c r="B9" i="13" s="1"/>
  <c r="C19" i="5"/>
  <c r="C65" i="4"/>
  <c r="B7" i="14" s="1"/>
  <c r="C64" i="4"/>
  <c r="N20" i="1"/>
  <c r="M5" i="13" s="1"/>
  <c r="N67" i="1"/>
  <c r="L20" i="4"/>
  <c r="K7" i="13" s="1"/>
  <c r="L19" i="4"/>
  <c r="C71" i="7"/>
  <c r="C73" i="7" s="1"/>
  <c r="C75" i="7" s="1"/>
  <c r="B6" i="24" s="1"/>
  <c r="C85" i="4"/>
  <c r="C87" i="4" s="1"/>
  <c r="L73" i="7"/>
  <c r="L86" i="7"/>
  <c r="H73" i="7"/>
  <c r="H74" i="7" s="1"/>
  <c r="L39" i="7"/>
  <c r="P75" i="1"/>
  <c r="P74" i="1"/>
  <c r="P82" i="4"/>
  <c r="P81" i="4"/>
  <c r="P74" i="5"/>
  <c r="P75" i="5"/>
  <c r="O19" i="6"/>
  <c r="O87" i="2"/>
  <c r="O88" i="2" s="1"/>
  <c r="P87" i="2"/>
  <c r="P88" i="2" s="1"/>
  <c r="O11" i="2"/>
  <c r="O12" i="2"/>
  <c r="N6" i="8" s="1"/>
  <c r="O20" i="2"/>
  <c r="N6" i="13" s="1"/>
  <c r="O19" i="2"/>
  <c r="P67" i="5"/>
  <c r="P64" i="5"/>
  <c r="P65" i="5"/>
  <c r="O9" i="14" s="1"/>
  <c r="O67" i="6"/>
  <c r="O65" i="6"/>
  <c r="N8" i="14" s="1"/>
  <c r="Q65" i="1"/>
  <c r="P5" i="14" s="1"/>
  <c r="Q64" i="1"/>
  <c r="T81" i="6"/>
  <c r="T82" i="6"/>
  <c r="Z82" i="4"/>
  <c r="X65" i="6"/>
  <c r="W8" i="14" s="1"/>
  <c r="X64" i="6"/>
  <c r="X67" i="6"/>
  <c r="Y40" i="1"/>
  <c r="Y41" i="1" s="1"/>
  <c r="AI82" i="4"/>
  <c r="AI81" i="4"/>
  <c r="AI34" i="4"/>
  <c r="AI35" i="4"/>
  <c r="AI73" i="6"/>
  <c r="AI74" i="6" s="1"/>
  <c r="AG73" i="6"/>
  <c r="AG74" i="6" s="1"/>
  <c r="AH65" i="4"/>
  <c r="AG7" i="14" s="1"/>
  <c r="AH64" i="4"/>
  <c r="AQ67" i="2"/>
  <c r="BD20" i="1"/>
  <c r="BC5" i="13" s="1"/>
  <c r="CA67" i="2"/>
  <c r="CA64" i="2"/>
  <c r="CA27" i="2"/>
  <c r="CA28" i="2"/>
  <c r="BX87" i="1"/>
  <c r="BW67" i="6"/>
  <c r="BW64" i="6"/>
  <c r="BK67" i="4"/>
  <c r="BK19" i="4"/>
  <c r="L75" i="4"/>
  <c r="L74" i="4"/>
  <c r="H65" i="1"/>
  <c r="G5" i="14" s="1"/>
  <c r="H64" i="1"/>
  <c r="C82" i="2"/>
  <c r="C81" i="2"/>
  <c r="J87" i="4"/>
  <c r="J88" i="4" s="1"/>
  <c r="L65" i="2"/>
  <c r="K6" i="14" s="1"/>
  <c r="L64" i="2"/>
  <c r="N65" i="6"/>
  <c r="M8" i="14" s="1"/>
  <c r="N64" i="6"/>
  <c r="N67" i="6"/>
  <c r="R81" i="4"/>
  <c r="R82" i="4"/>
  <c r="T39" i="6"/>
  <c r="S72" i="7"/>
  <c r="S86" i="4"/>
  <c r="S85" i="6"/>
  <c r="S87" i="6" s="1"/>
  <c r="S88" i="6" s="1"/>
  <c r="S73" i="6"/>
  <c r="R31" i="7"/>
  <c r="R33" i="4"/>
  <c r="R34" i="4" s="1"/>
  <c r="R38" i="4"/>
  <c r="R25" i="7"/>
  <c r="R26" i="7" s="1"/>
  <c r="AC87" i="2"/>
  <c r="AB39" i="5"/>
  <c r="AB39" i="7" s="1"/>
  <c r="AB26" i="5"/>
  <c r="AB27" i="5" s="1"/>
  <c r="AC25" i="7"/>
  <c r="AC26" i="4"/>
  <c r="AC28" i="4" s="1"/>
  <c r="AD38" i="5"/>
  <c r="AD26" i="5"/>
  <c r="AE26" i="6"/>
  <c r="AE39" i="6"/>
  <c r="AE40" i="6" s="1"/>
  <c r="AF25" i="7"/>
  <c r="AF39" i="4"/>
  <c r="AF39" i="7" s="1"/>
  <c r="AE85" i="6"/>
  <c r="AE87" i="6" s="1"/>
  <c r="AE88" i="6" s="1"/>
  <c r="AE73" i="6"/>
  <c r="AF20" i="2"/>
  <c r="AE6" i="13" s="1"/>
  <c r="AF19" i="2"/>
  <c r="AE65" i="6"/>
  <c r="AD8" i="14" s="1"/>
  <c r="AE64" i="6"/>
  <c r="AE67" i="6"/>
  <c r="AL28" i="2"/>
  <c r="AL27" i="2"/>
  <c r="AL73" i="6"/>
  <c r="AL85" i="6"/>
  <c r="AU72" i="7"/>
  <c r="AU73" i="1"/>
  <c r="AU75" i="1" s="1"/>
  <c r="AT20" i="6"/>
  <c r="AS8" i="13" s="1"/>
  <c r="AV87" i="4"/>
  <c r="BV65" i="5"/>
  <c r="BU9" i="14" s="1"/>
  <c r="BV67" i="5"/>
  <c r="AJ26" i="5"/>
  <c r="AJ27" i="5" s="1"/>
  <c r="AN35" i="5"/>
  <c r="AE86" i="7"/>
  <c r="AN27" i="2"/>
  <c r="AO82" i="2"/>
  <c r="CB19" i="2"/>
  <c r="BW65" i="6"/>
  <c r="BV8" i="14" s="1"/>
  <c r="BR20" i="4"/>
  <c r="BQ7" i="13" s="1"/>
  <c r="BT27" i="1"/>
  <c r="BQ87" i="5"/>
  <c r="BQ88" i="5" s="1"/>
  <c r="BN65" i="5"/>
  <c r="BM9" i="14" s="1"/>
  <c r="BN67" i="5"/>
  <c r="BO74" i="6"/>
  <c r="BO75" i="6"/>
  <c r="BO65" i="4"/>
  <c r="BN7" i="14" s="1"/>
  <c r="BO87" i="4"/>
  <c r="BO64" i="4"/>
  <c r="BO67" i="4"/>
  <c r="BL65" i="2"/>
  <c r="BK6" i="14" s="1"/>
  <c r="BL64" i="2"/>
  <c r="BG40" i="2"/>
  <c r="BG41" i="2" s="1"/>
  <c r="Y65" i="4"/>
  <c r="X7" i="14" s="1"/>
  <c r="Y86" i="4"/>
  <c r="Y89" i="4" s="1"/>
  <c r="R67" i="2"/>
  <c r="S32" i="7"/>
  <c r="S33" i="7" s="1"/>
  <c r="S34" i="7" s="1"/>
  <c r="E74" i="1"/>
  <c r="I67" i="4"/>
  <c r="L87" i="4"/>
  <c r="L88" i="4" s="1"/>
  <c r="C19" i="1"/>
  <c r="G11" i="2"/>
  <c r="C19" i="4"/>
  <c r="I64" i="4"/>
  <c r="J19" i="6"/>
  <c r="E20" i="1"/>
  <c r="D5" i="13" s="1"/>
  <c r="E19" i="1"/>
  <c r="E65" i="2"/>
  <c r="D6" i="14" s="1"/>
  <c r="E67" i="2"/>
  <c r="E65" i="4"/>
  <c r="D7" i="14" s="1"/>
  <c r="E64" i="4"/>
  <c r="E67" i="4"/>
  <c r="H65" i="4"/>
  <c r="G7" i="14" s="1"/>
  <c r="H64" i="4"/>
  <c r="H67" i="4"/>
  <c r="F65" i="5"/>
  <c r="E9" i="14" s="1"/>
  <c r="F64" i="5"/>
  <c r="F67" i="5"/>
  <c r="K20" i="5"/>
  <c r="J9" i="13" s="1"/>
  <c r="K19" i="5"/>
  <c r="J65" i="6"/>
  <c r="I8" i="14" s="1"/>
  <c r="F34" i="1"/>
  <c r="E35" i="1"/>
  <c r="E34" i="1"/>
  <c r="M35" i="1"/>
  <c r="M34" i="1"/>
  <c r="D75" i="1"/>
  <c r="D74" i="1"/>
  <c r="H75" i="1"/>
  <c r="H74" i="1"/>
  <c r="I28" i="2"/>
  <c r="I27" i="2"/>
  <c r="E82" i="2"/>
  <c r="E81" i="2"/>
  <c r="M82" i="2"/>
  <c r="M81" i="2"/>
  <c r="G28" i="4"/>
  <c r="G27" i="4"/>
  <c r="D35" i="4"/>
  <c r="D34" i="4"/>
  <c r="F75" i="5"/>
  <c r="F74" i="5"/>
  <c r="J28" i="6"/>
  <c r="J27" i="6"/>
  <c r="G40" i="2"/>
  <c r="G41" i="2" s="1"/>
  <c r="M40" i="2"/>
  <c r="M41" i="2" s="1"/>
  <c r="L40" i="5"/>
  <c r="L42" i="5" s="1"/>
  <c r="C87" i="1"/>
  <c r="C87" i="2"/>
  <c r="C88" i="2" s="1"/>
  <c r="E33" i="7"/>
  <c r="E35" i="7" s="1"/>
  <c r="D8" i="26" s="1"/>
  <c r="I33" i="7"/>
  <c r="I34" i="7" s="1"/>
  <c r="E39" i="7"/>
  <c r="F39" i="7"/>
  <c r="G39" i="7"/>
  <c r="K40" i="4"/>
  <c r="C65" i="1"/>
  <c r="B5" i="14" s="1"/>
  <c r="C67" i="1"/>
  <c r="L34" i="5"/>
  <c r="L35" i="5"/>
  <c r="M20" i="1"/>
  <c r="L5" i="13" s="1"/>
  <c r="M67" i="1"/>
  <c r="L65" i="4"/>
  <c r="K7" i="14" s="1"/>
  <c r="L67" i="4"/>
  <c r="Q28" i="1"/>
  <c r="Q27" i="1"/>
  <c r="P26" i="6"/>
  <c r="P27" i="6" s="1"/>
  <c r="Q35" i="6"/>
  <c r="Q34" i="6"/>
  <c r="P80" i="5"/>
  <c r="P78" i="7"/>
  <c r="P80" i="7" s="1"/>
  <c r="P39" i="6"/>
  <c r="P40" i="6" s="1"/>
  <c r="P41" i="6" s="1"/>
  <c r="O28" i="5"/>
  <c r="O27" i="5"/>
  <c r="O39" i="6"/>
  <c r="O39" i="7" s="1"/>
  <c r="O26" i="6"/>
  <c r="O27" i="6" s="1"/>
  <c r="R26" i="4"/>
  <c r="R27" i="4" s="1"/>
  <c r="R73" i="6"/>
  <c r="R85" i="6"/>
  <c r="R71" i="7"/>
  <c r="R65" i="5"/>
  <c r="Q9" i="14" s="1"/>
  <c r="R64" i="5"/>
  <c r="R65" i="4"/>
  <c r="Q7" i="14" s="1"/>
  <c r="R64" i="4"/>
  <c r="R67" i="4"/>
  <c r="W64" i="1"/>
  <c r="T20" i="2"/>
  <c r="S6" i="13" s="1"/>
  <c r="T67" i="2"/>
  <c r="Y12" i="2"/>
  <c r="X6" i="8" s="1"/>
  <c r="Y11" i="2"/>
  <c r="X65" i="5"/>
  <c r="W9" i="14" s="1"/>
  <c r="X64" i="5"/>
  <c r="X38" i="6"/>
  <c r="X27" i="6"/>
  <c r="Z64" i="1"/>
  <c r="Z67" i="1"/>
  <c r="AC39" i="4"/>
  <c r="AD75" i="1"/>
  <c r="AD74" i="1"/>
  <c r="AA20" i="1"/>
  <c r="Z5" i="13" s="1"/>
  <c r="AA67" i="1"/>
  <c r="AE75" i="2"/>
  <c r="AE74" i="2"/>
  <c r="AG40" i="2"/>
  <c r="AG41" i="2" s="1"/>
  <c r="AN65" i="6"/>
  <c r="AM8" i="14" s="1"/>
  <c r="AN64" i="6"/>
  <c r="AP82" i="5"/>
  <c r="AP81" i="5"/>
  <c r="BL87" i="2"/>
  <c r="BL88" i="2" s="1"/>
  <c r="N87" i="4"/>
  <c r="D39" i="7"/>
  <c r="H39" i="7"/>
  <c r="N39" i="7"/>
  <c r="Q25" i="7"/>
  <c r="P25" i="7"/>
  <c r="Q67" i="6"/>
  <c r="Q64" i="6"/>
  <c r="Y35" i="5"/>
  <c r="U35" i="5"/>
  <c r="V87" i="2"/>
  <c r="V88" i="2" s="1"/>
  <c r="W12" i="2"/>
  <c r="V6" i="8" s="1"/>
  <c r="W11" i="2"/>
  <c r="Y20" i="6"/>
  <c r="X8" i="13" s="1"/>
  <c r="Y19" i="6"/>
  <c r="X74" i="4"/>
  <c r="X85" i="4"/>
  <c r="Y25" i="4"/>
  <c r="Y27" i="4"/>
  <c r="X24" i="7"/>
  <c r="Y35" i="1"/>
  <c r="Y34" i="1"/>
  <c r="AC82" i="6"/>
  <c r="AC81" i="6"/>
  <c r="AA19" i="4"/>
  <c r="AB81" i="4"/>
  <c r="AB82" i="4"/>
  <c r="AA28" i="6"/>
  <c r="AA20" i="5"/>
  <c r="Z9" i="13" s="1"/>
  <c r="AA19" i="5"/>
  <c r="AB64" i="4"/>
  <c r="AB67" i="4"/>
  <c r="AF35" i="6"/>
  <c r="AF34" i="6"/>
  <c r="AL34" i="4"/>
  <c r="AL35" i="4"/>
  <c r="AK75" i="4"/>
  <c r="AK74" i="4"/>
  <c r="AJ81" i="6"/>
  <c r="AJ82" i="6"/>
  <c r="AM35" i="4"/>
  <c r="AM34" i="4"/>
  <c r="AQ65" i="4"/>
  <c r="AP7" i="14" s="1"/>
  <c r="AU40" i="4"/>
  <c r="AU41" i="4" s="1"/>
  <c r="AS40" i="4"/>
  <c r="AZ24" i="7"/>
  <c r="BI28" i="5"/>
  <c r="BI27" i="5"/>
  <c r="BE28" i="5"/>
  <c r="BE27" i="5"/>
  <c r="BA28" i="5"/>
  <c r="BA27" i="5"/>
  <c r="BD27" i="4"/>
  <c r="BD28" i="4"/>
  <c r="AT26" i="7"/>
  <c r="AT27" i="7" s="1"/>
  <c r="AE75" i="4"/>
  <c r="BY40" i="2"/>
  <c r="BY41" i="2" s="1"/>
  <c r="CB75" i="2"/>
  <c r="BW65" i="2"/>
  <c r="BV6" i="14" s="1"/>
  <c r="BS64" i="5"/>
  <c r="BW64" i="2"/>
  <c r="BV67" i="6"/>
  <c r="BM20" i="1"/>
  <c r="BL5" i="13" s="1"/>
  <c r="BQ87" i="4"/>
  <c r="BQ19" i="4"/>
  <c r="D67" i="2"/>
  <c r="K34" i="1"/>
  <c r="C34" i="1"/>
  <c r="K64" i="4"/>
  <c r="G64" i="5"/>
  <c r="L87" i="1"/>
  <c r="L89" i="1" s="1"/>
  <c r="D40" i="1"/>
  <c r="H40" i="1"/>
  <c r="M87" i="2"/>
  <c r="M88" i="2" s="1"/>
  <c r="N40" i="6"/>
  <c r="N42" i="6" s="1"/>
  <c r="G40" i="5"/>
  <c r="G41" i="5" s="1"/>
  <c r="K40" i="5"/>
  <c r="K41" i="5" s="1"/>
  <c r="E27" i="5"/>
  <c r="F34" i="5"/>
  <c r="E86" i="7"/>
  <c r="I86" i="7"/>
  <c r="O26" i="4"/>
  <c r="Q65" i="5"/>
  <c r="P9" i="14" s="1"/>
  <c r="Q64" i="5"/>
  <c r="P67" i="4"/>
  <c r="O67" i="1"/>
  <c r="O64" i="1"/>
  <c r="R79" i="7"/>
  <c r="R80" i="7" s="1"/>
  <c r="R81" i="7" s="1"/>
  <c r="Z28" i="2"/>
  <c r="Z27" i="2"/>
  <c r="W73" i="6"/>
  <c r="W85" i="6"/>
  <c r="W72" i="4"/>
  <c r="W74" i="4"/>
  <c r="V86" i="6"/>
  <c r="V87" i="6" s="1"/>
  <c r="V88" i="6" s="1"/>
  <c r="V73" i="6"/>
  <c r="V74" i="6" s="1"/>
  <c r="W20" i="1"/>
  <c r="V5" i="13" s="1"/>
  <c r="W19" i="1"/>
  <c r="Y87" i="2"/>
  <c r="Y88" i="2" s="1"/>
  <c r="Z65" i="2"/>
  <c r="Y6" i="14" s="1"/>
  <c r="Z64" i="2"/>
  <c r="Z85" i="6"/>
  <c r="Z73" i="6"/>
  <c r="Z74" i="6" s="1"/>
  <c r="Y86" i="5"/>
  <c r="Y73" i="5"/>
  <c r="Y74" i="5" s="1"/>
  <c r="Y85" i="5"/>
  <c r="AC28" i="2"/>
  <c r="AC27" i="2"/>
  <c r="AC35" i="6"/>
  <c r="AC34" i="6"/>
  <c r="AI20" i="1"/>
  <c r="AH5" i="13" s="1"/>
  <c r="AI19" i="1"/>
  <c r="AO27" i="6"/>
  <c r="AO28" i="6"/>
  <c r="AN81" i="5"/>
  <c r="AN82" i="5"/>
  <c r="AQ34" i="2"/>
  <c r="AQ35" i="2"/>
  <c r="AR54" i="2"/>
  <c r="AR55" i="2"/>
  <c r="AQ6" i="15" s="1"/>
  <c r="AH57" i="2"/>
  <c r="AH54" i="2"/>
  <c r="AH55" i="2"/>
  <c r="AG6" i="15" s="1"/>
  <c r="AO11" i="1"/>
  <c r="AO12" i="1"/>
  <c r="AN5" i="8" s="1"/>
  <c r="AM12" i="1"/>
  <c r="AL5" i="8" s="1"/>
  <c r="AM11" i="1"/>
  <c r="AG12" i="1"/>
  <c r="AF5" i="8" s="1"/>
  <c r="AG11" i="1"/>
  <c r="AE12" i="1"/>
  <c r="AD5" i="8" s="1"/>
  <c r="AE11" i="1"/>
  <c r="AC11" i="1"/>
  <c r="AC12" i="1"/>
  <c r="AB5" i="8" s="1"/>
  <c r="AA12" i="1"/>
  <c r="Z5" i="8" s="1"/>
  <c r="AA11" i="1"/>
  <c r="Y11" i="1"/>
  <c r="Y12" i="1"/>
  <c r="X5" i="8" s="1"/>
  <c r="U11" i="1"/>
  <c r="U12" i="1"/>
  <c r="T5" i="8" s="1"/>
  <c r="AW11" i="4"/>
  <c r="AW12" i="4"/>
  <c r="AV7" i="8" s="1"/>
  <c r="AU57" i="4"/>
  <c r="AU11" i="4"/>
  <c r="AU12" i="4"/>
  <c r="AT7" i="8" s="1"/>
  <c r="AS57" i="4"/>
  <c r="AS11" i="4"/>
  <c r="AM12" i="4"/>
  <c r="AL7" i="8" s="1"/>
  <c r="AM11" i="4"/>
  <c r="Z11" i="5"/>
  <c r="Z12" i="5"/>
  <c r="Y9" i="8" s="1"/>
  <c r="X12" i="5"/>
  <c r="W9" i="8" s="1"/>
  <c r="X11" i="5"/>
  <c r="P55" i="6"/>
  <c r="O8" i="15" s="1"/>
  <c r="P54" i="6"/>
  <c r="AS9" i="7"/>
  <c r="AS10" i="7" s="1"/>
  <c r="AS11" i="7" s="1"/>
  <c r="AS39" i="4"/>
  <c r="AS12" i="4"/>
  <c r="AR7" i="8" s="1"/>
  <c r="AR63" i="6"/>
  <c r="AR85" i="6"/>
  <c r="AR19" i="1"/>
  <c r="AR38" i="5"/>
  <c r="AR40" i="5" s="1"/>
  <c r="AR41" i="5" s="1"/>
  <c r="AR18" i="5"/>
  <c r="AQ65" i="2"/>
  <c r="AP6" i="14" s="1"/>
  <c r="AQ64" i="2"/>
  <c r="AQ63" i="6"/>
  <c r="AQ85" i="6"/>
  <c r="AQ87" i="6" s="1"/>
  <c r="AQ17" i="7"/>
  <c r="AQ18" i="1"/>
  <c r="AQ39" i="1"/>
  <c r="AP63" i="2"/>
  <c r="AP86" i="2"/>
  <c r="AP63" i="4"/>
  <c r="AP85" i="4"/>
  <c r="AP39" i="6"/>
  <c r="AP18" i="6"/>
  <c r="AP16" i="7"/>
  <c r="AP18" i="1"/>
  <c r="AP38" i="1"/>
  <c r="AO18" i="6"/>
  <c r="AO39" i="6"/>
  <c r="AM62" i="7"/>
  <c r="AM86" i="2"/>
  <c r="AM61" i="7"/>
  <c r="AM63" i="2"/>
  <c r="AL17" i="7"/>
  <c r="AL18" i="5"/>
  <c r="AL20" i="5" s="1"/>
  <c r="AK9" i="13" s="1"/>
  <c r="AL39" i="5"/>
  <c r="AL39" i="7" s="1"/>
  <c r="AL38" i="6"/>
  <c r="AL18" i="6"/>
  <c r="AL65" i="4"/>
  <c r="AK7" i="14" s="1"/>
  <c r="AL64" i="4"/>
  <c r="AK18" i="6"/>
  <c r="AK38" i="6"/>
  <c r="AJ61" i="7"/>
  <c r="AJ63" i="7" s="1"/>
  <c r="AJ63" i="5"/>
  <c r="AJ64" i="5" s="1"/>
  <c r="AI20" i="6"/>
  <c r="AH8" i="13" s="1"/>
  <c r="AI19" i="6"/>
  <c r="AH17" i="7"/>
  <c r="AH20" i="6"/>
  <c r="AG8" i="13" s="1"/>
  <c r="AH39" i="6"/>
  <c r="AH18" i="4"/>
  <c r="AH67" i="4" s="1"/>
  <c r="AH38" i="4"/>
  <c r="AG16" i="7"/>
  <c r="AG18" i="5"/>
  <c r="AG86" i="6"/>
  <c r="AG63" i="6"/>
  <c r="AF16" i="7"/>
  <c r="AF18" i="5"/>
  <c r="AF86" i="6"/>
  <c r="AF63" i="6"/>
  <c r="AD16" i="7"/>
  <c r="AD18" i="5"/>
  <c r="AD63" i="6"/>
  <c r="AD86" i="6"/>
  <c r="AD65" i="4"/>
  <c r="AC7" i="14" s="1"/>
  <c r="AD64" i="4"/>
  <c r="AC16" i="7"/>
  <c r="AC18" i="5"/>
  <c r="AC86" i="6"/>
  <c r="AC63" i="6"/>
  <c r="AC67" i="6" s="1"/>
  <c r="AB16" i="7"/>
  <c r="AB18" i="5"/>
  <c r="AB20" i="5" s="1"/>
  <c r="AA9" i="13" s="1"/>
  <c r="AB65" i="6"/>
  <c r="AA8" i="14" s="1"/>
  <c r="AB86" i="6"/>
  <c r="AA63" i="6"/>
  <c r="AA86" i="6"/>
  <c r="AA86" i="7" s="1"/>
  <c r="AA65" i="4"/>
  <c r="Z7" i="14" s="1"/>
  <c r="AA64" i="4"/>
  <c r="T17" i="7"/>
  <c r="T18" i="6"/>
  <c r="S16" i="7"/>
  <c r="S18" i="5"/>
  <c r="R16" i="7"/>
  <c r="R18" i="5"/>
  <c r="BA18" i="5"/>
  <c r="BA38" i="5"/>
  <c r="AZ26" i="5"/>
  <c r="AZ27" i="5" s="1"/>
  <c r="AZ38" i="5"/>
  <c r="AZ39" i="5"/>
  <c r="BA73" i="5"/>
  <c r="BA74" i="5" s="1"/>
  <c r="BA86" i="5"/>
  <c r="BA87" i="5" s="1"/>
  <c r="BA88" i="5" s="1"/>
  <c r="AY73" i="5"/>
  <c r="AY85" i="5"/>
  <c r="BN20" i="2"/>
  <c r="BM6" i="13" s="1"/>
  <c r="BN19" i="2"/>
  <c r="T12" i="2"/>
  <c r="S6" i="8" s="1"/>
  <c r="Y82" i="5"/>
  <c r="V20" i="2"/>
  <c r="U6" i="13" s="1"/>
  <c r="U65" i="5"/>
  <c r="T9" i="14" s="1"/>
  <c r="X87" i="2"/>
  <c r="X72" i="4"/>
  <c r="AB38" i="5"/>
  <c r="AD67" i="2"/>
  <c r="AI25" i="7"/>
  <c r="AH25" i="7"/>
  <c r="AK40" i="2"/>
  <c r="AJ87" i="2"/>
  <c r="AJ89" i="2" s="1"/>
  <c r="AN73" i="4"/>
  <c r="AN85" i="4"/>
  <c r="AM71" i="7"/>
  <c r="AM73" i="5"/>
  <c r="AM38" i="5"/>
  <c r="AM38" i="7" s="1"/>
  <c r="AM26" i="5"/>
  <c r="AQ39" i="4"/>
  <c r="AQ26" i="4"/>
  <c r="AQ28" i="4" s="1"/>
  <c r="AU27" i="4"/>
  <c r="AU28" i="4"/>
  <c r="AS27" i="2"/>
  <c r="AS28" i="2"/>
  <c r="AT40" i="6"/>
  <c r="AT41" i="6" s="1"/>
  <c r="AT20" i="2"/>
  <c r="AS6" i="13" s="1"/>
  <c r="AT19" i="2"/>
  <c r="AW81" i="5"/>
  <c r="AW82" i="5"/>
  <c r="AW55" i="1"/>
  <c r="AV5" i="15" s="1"/>
  <c r="AW54" i="1"/>
  <c r="AU55" i="1"/>
  <c r="AT5" i="15" s="1"/>
  <c r="AU54" i="1"/>
  <c r="AO55" i="4"/>
  <c r="AN7" i="15" s="1"/>
  <c r="AO57" i="4"/>
  <c r="AM57" i="4"/>
  <c r="AP54" i="6"/>
  <c r="AP55" i="6"/>
  <c r="AO8" i="15" s="1"/>
  <c r="AU38" i="1"/>
  <c r="AU16" i="7"/>
  <c r="AU18" i="1"/>
  <c r="AT65" i="2"/>
  <c r="AS6" i="14" s="1"/>
  <c r="AT16" i="7"/>
  <c r="AT18" i="1"/>
  <c r="AS63" i="5"/>
  <c r="AS65" i="5" s="1"/>
  <c r="AR9" i="14" s="1"/>
  <c r="AS63" i="2"/>
  <c r="AS85" i="2"/>
  <c r="AS18" i="6"/>
  <c r="AS20" i="6" s="1"/>
  <c r="AR8" i="13" s="1"/>
  <c r="AN63" i="2"/>
  <c r="AM18" i="5"/>
  <c r="AZ65" i="1"/>
  <c r="AY5" i="14" s="1"/>
  <c r="AZ64" i="1"/>
  <c r="AZ18" i="1"/>
  <c r="AZ19" i="1" s="1"/>
  <c r="AZ16" i="7"/>
  <c r="AZ18" i="7" s="1"/>
  <c r="BA24" i="7"/>
  <c r="BA26" i="1"/>
  <c r="BA86" i="1"/>
  <c r="BA73" i="1"/>
  <c r="BA74" i="1" s="1"/>
  <c r="BI74" i="4"/>
  <c r="BI75" i="4"/>
  <c r="AY18" i="4"/>
  <c r="AY38" i="4"/>
  <c r="BA63" i="4"/>
  <c r="BA65" i="4" s="1"/>
  <c r="AZ7" i="14" s="1"/>
  <c r="BA85" i="4"/>
  <c r="AZ86" i="4"/>
  <c r="BB81" i="2"/>
  <c r="BB82" i="2"/>
  <c r="BD86" i="2"/>
  <c r="BD87" i="2" s="1"/>
  <c r="BC73" i="2"/>
  <c r="BC86" i="2"/>
  <c r="BD18" i="5"/>
  <c r="BD67" i="5" s="1"/>
  <c r="BD38" i="5"/>
  <c r="BD40" i="5" s="1"/>
  <c r="BB85" i="5"/>
  <c r="BB87" i="5" s="1"/>
  <c r="BB63" i="5"/>
  <c r="BC63" i="5"/>
  <c r="BC64" i="5" s="1"/>
  <c r="BC86" i="5"/>
  <c r="BD73" i="5"/>
  <c r="BD85" i="5"/>
  <c r="BD87" i="5" s="1"/>
  <c r="BD88" i="5" s="1"/>
  <c r="BB63" i="1"/>
  <c r="BB64" i="1" s="1"/>
  <c r="BB85" i="1"/>
  <c r="BD62" i="7"/>
  <c r="BD63" i="1"/>
  <c r="BD64" i="1" s="1"/>
  <c r="BK81" i="5"/>
  <c r="BK82" i="5"/>
  <c r="BK26" i="1"/>
  <c r="BK27" i="1" s="1"/>
  <c r="BK38" i="1"/>
  <c r="BK40" i="1" s="1"/>
  <c r="BL73" i="4"/>
  <c r="BL85" i="4"/>
  <c r="BL85" i="7" s="1"/>
  <c r="BS81" i="5"/>
  <c r="BS82" i="5"/>
  <c r="BS39" i="5"/>
  <c r="BS40" i="5" s="1"/>
  <c r="BS18" i="5"/>
  <c r="BQ39" i="2"/>
  <c r="BQ18" i="2"/>
  <c r="BV55" i="5"/>
  <c r="BU9" i="15" s="1"/>
  <c r="BV54" i="5"/>
  <c r="BT25" i="7"/>
  <c r="BT26" i="7" s="1"/>
  <c r="BT39" i="2"/>
  <c r="BT35" i="6"/>
  <c r="BT34" i="6"/>
  <c r="BT65" i="4"/>
  <c r="BS7" i="14" s="1"/>
  <c r="BT64" i="4"/>
  <c r="BU63" i="4"/>
  <c r="BT38" i="4"/>
  <c r="BT18" i="4"/>
  <c r="BU18" i="4"/>
  <c r="BU20" i="4" s="1"/>
  <c r="BT7" i="13" s="1"/>
  <c r="U85" i="5"/>
  <c r="U87" i="5" s="1"/>
  <c r="U88" i="5" s="1"/>
  <c r="Y40" i="5"/>
  <c r="X73" i="6"/>
  <c r="X25" i="4"/>
  <c r="AA81" i="1"/>
  <c r="AB24" i="7"/>
  <c r="AF40" i="2"/>
  <c r="AE26" i="5"/>
  <c r="AE27" i="5" s="1"/>
  <c r="AE25" i="7"/>
  <c r="AE85" i="4"/>
  <c r="AH35" i="4"/>
  <c r="AI26" i="4"/>
  <c r="AH82" i="5"/>
  <c r="AI38" i="5"/>
  <c r="AI72" i="7"/>
  <c r="AI73" i="7" s="1"/>
  <c r="AG67" i="1"/>
  <c r="AJ73" i="4"/>
  <c r="AL19" i="1"/>
  <c r="AN82" i="2"/>
  <c r="AO64" i="1"/>
  <c r="AR65" i="1"/>
  <c r="AQ5" i="14" s="1"/>
  <c r="AR64" i="1"/>
  <c r="AW87" i="5"/>
  <c r="AW88" i="5" s="1"/>
  <c r="AV35" i="5"/>
  <c r="AW20" i="1"/>
  <c r="AV5" i="13" s="1"/>
  <c r="AW19" i="1"/>
  <c r="AX40" i="4"/>
  <c r="AM55" i="5"/>
  <c r="AL9" i="15" s="1"/>
  <c r="AM54" i="5"/>
  <c r="AK54" i="5"/>
  <c r="AK55" i="5"/>
  <c r="AJ9" i="15" s="1"/>
  <c r="AQ12" i="6"/>
  <c r="AP8" i="8" s="1"/>
  <c r="AQ11" i="6"/>
  <c r="AX61" i="7"/>
  <c r="AX63" i="5"/>
  <c r="AX18" i="2"/>
  <c r="AX39" i="2"/>
  <c r="AW20" i="6"/>
  <c r="AV8" i="13" s="1"/>
  <c r="AW19" i="6"/>
  <c r="AV62" i="7"/>
  <c r="AV63" i="1"/>
  <c r="AV39" i="2"/>
  <c r="AV18" i="2"/>
  <c r="AV18" i="6"/>
  <c r="AV38" i="6"/>
  <c r="AU62" i="7"/>
  <c r="AU63" i="1"/>
  <c r="AU65" i="5"/>
  <c r="AT9" i="14" s="1"/>
  <c r="AU64" i="5"/>
  <c r="AU18" i="2"/>
  <c r="AU39" i="2"/>
  <c r="AO61" i="7"/>
  <c r="AO63" i="2"/>
  <c r="BA55" i="2"/>
  <c r="AZ6" i="15" s="1"/>
  <c r="BA54" i="2"/>
  <c r="BA57" i="2"/>
  <c r="AZ18" i="2"/>
  <c r="AZ19" i="2" s="1"/>
  <c r="BG27" i="1"/>
  <c r="BC27" i="1"/>
  <c r="BG74" i="1"/>
  <c r="BC74" i="1"/>
  <c r="AZ39" i="4"/>
  <c r="BD40" i="4"/>
  <c r="BD41" i="4" s="1"/>
  <c r="BH20" i="4"/>
  <c r="BG7" i="13" s="1"/>
  <c r="BL34" i="5"/>
  <c r="BL35" i="5"/>
  <c r="BP35" i="1"/>
  <c r="BP34" i="1"/>
  <c r="BN28" i="2"/>
  <c r="BN39" i="2"/>
  <c r="BP26" i="4"/>
  <c r="BP38" i="4"/>
  <c r="BQ11" i="6"/>
  <c r="BQ12" i="6"/>
  <c r="BP8" i="8" s="1"/>
  <c r="BR74" i="4"/>
  <c r="BR75" i="4"/>
  <c r="BR87" i="4"/>
  <c r="BR89" i="4" s="1"/>
  <c r="O38" i="6"/>
  <c r="O67" i="2"/>
  <c r="R33" i="6"/>
  <c r="R19" i="6"/>
  <c r="S40" i="2"/>
  <c r="S38" i="4"/>
  <c r="V19" i="1"/>
  <c r="W54" i="2"/>
  <c r="Z64" i="5"/>
  <c r="V72" i="4"/>
  <c r="U72" i="4"/>
  <c r="U67" i="2"/>
  <c r="Z86" i="6"/>
  <c r="Z39" i="6"/>
  <c r="AC74" i="5"/>
  <c r="AC19" i="2"/>
  <c r="AC73" i="6"/>
  <c r="AC74" i="6" s="1"/>
  <c r="AA34" i="4"/>
  <c r="AB26" i="4"/>
  <c r="AB40" i="4" s="1"/>
  <c r="AE81" i="1"/>
  <c r="AA24" i="7"/>
  <c r="AB85" i="4"/>
  <c r="AC73" i="4"/>
  <c r="AE19" i="1"/>
  <c r="AD40" i="2"/>
  <c r="AE40" i="2"/>
  <c r="AE39" i="4"/>
  <c r="AE26" i="4"/>
  <c r="AE28" i="4" s="1"/>
  <c r="AD73" i="4"/>
  <c r="AD74" i="4" s="1"/>
  <c r="AG19" i="1"/>
  <c r="AG80" i="4"/>
  <c r="AH73" i="4"/>
  <c r="AI73" i="5"/>
  <c r="AI74" i="5" s="1"/>
  <c r="AG86" i="5"/>
  <c r="AI39" i="4"/>
  <c r="AI38" i="4"/>
  <c r="AH40" i="2"/>
  <c r="AH41" i="2" s="1"/>
  <c r="AI27" i="2"/>
  <c r="AI87" i="2"/>
  <c r="AG38" i="5"/>
  <c r="AG25" i="7"/>
  <c r="AM85" i="5"/>
  <c r="AM87" i="5" s="1"/>
  <c r="AO28" i="1"/>
  <c r="AM39" i="1"/>
  <c r="AM40" i="1" s="1"/>
  <c r="AQ19" i="4"/>
  <c r="AR35" i="2"/>
  <c r="AR34" i="2"/>
  <c r="AQ28" i="5"/>
  <c r="AP34" i="5"/>
  <c r="AP35" i="5"/>
  <c r="AP28" i="5"/>
  <c r="AP27" i="5"/>
  <c r="AT27" i="4"/>
  <c r="AT28" i="4"/>
  <c r="AS81" i="2"/>
  <c r="AS82" i="2"/>
  <c r="AT34" i="2"/>
  <c r="AT35" i="2"/>
  <c r="AU85" i="4"/>
  <c r="AU73" i="4"/>
  <c r="AU87" i="4" s="1"/>
  <c r="AS85" i="4"/>
  <c r="AS73" i="4"/>
  <c r="AS40" i="6"/>
  <c r="AS41" i="6" s="1"/>
  <c r="AV28" i="6"/>
  <c r="AX35" i="6"/>
  <c r="AX34" i="6"/>
  <c r="AN85" i="6"/>
  <c r="AN73" i="6"/>
  <c r="AX20" i="4"/>
  <c r="AW7" i="13" s="1"/>
  <c r="AX86" i="1"/>
  <c r="AX72" i="7"/>
  <c r="AP12" i="2"/>
  <c r="AO6" i="8" s="1"/>
  <c r="AP11" i="2"/>
  <c r="AR55" i="4"/>
  <c r="AQ7" i="15" s="1"/>
  <c r="AR57" i="4"/>
  <c r="AR54" i="4"/>
  <c r="AQ57" i="6"/>
  <c r="AO55" i="6"/>
  <c r="AN8" i="15" s="1"/>
  <c r="AO57" i="6"/>
  <c r="AM57" i="6"/>
  <c r="AR61" i="7"/>
  <c r="AO16" i="7"/>
  <c r="AO18" i="5"/>
  <c r="AO38" i="5"/>
  <c r="AO40" i="5" s="1"/>
  <c r="AO63" i="5"/>
  <c r="AO86" i="5"/>
  <c r="AO87" i="5" s="1"/>
  <c r="AO88" i="5" s="1"/>
  <c r="AZ20" i="2"/>
  <c r="AY6" i="13" s="1"/>
  <c r="AY27" i="2"/>
  <c r="AY28" i="2"/>
  <c r="AZ25" i="7"/>
  <c r="BA62" i="7"/>
  <c r="BA86" i="2"/>
  <c r="AY72" i="7"/>
  <c r="AY73" i="7" s="1"/>
  <c r="AY73" i="2"/>
  <c r="AY74" i="2" s="1"/>
  <c r="AY86" i="2"/>
  <c r="AZ20" i="1"/>
  <c r="AY5" i="13" s="1"/>
  <c r="AY24" i="7"/>
  <c r="AY55" i="5"/>
  <c r="AX9" i="15" s="1"/>
  <c r="AY54" i="5"/>
  <c r="AY57" i="5"/>
  <c r="AY85" i="4"/>
  <c r="AZ28" i="4"/>
  <c r="BI27" i="6"/>
  <c r="BI28" i="6"/>
  <c r="BE28" i="6"/>
  <c r="BE27" i="6"/>
  <c r="BA27" i="6"/>
  <c r="BA28" i="6"/>
  <c r="BV75" i="4"/>
  <c r="BV74" i="4"/>
  <c r="BL55" i="6"/>
  <c r="BK8" i="15" s="1"/>
  <c r="BL54" i="6"/>
  <c r="BL57" i="6"/>
  <c r="BM11" i="6"/>
  <c r="BM12" i="6"/>
  <c r="BL8" i="8" s="1"/>
  <c r="BZ17" i="7"/>
  <c r="BZ39" i="2"/>
  <c r="BZ86" i="2"/>
  <c r="BZ87" i="2" s="1"/>
  <c r="BZ88" i="2" s="1"/>
  <c r="BZ62" i="7"/>
  <c r="CB72" i="7"/>
  <c r="CB86" i="2"/>
  <c r="BZ85" i="6"/>
  <c r="BZ61" i="7"/>
  <c r="BZ18" i="4"/>
  <c r="BZ38" i="4"/>
  <c r="CB18" i="4"/>
  <c r="CB40" i="4" s="1"/>
  <c r="CB39" i="4"/>
  <c r="CB39" i="7" s="1"/>
  <c r="BZ86" i="4"/>
  <c r="BZ73" i="4"/>
  <c r="BZ72" i="7"/>
  <c r="CA63" i="4"/>
  <c r="CA67" i="4" s="1"/>
  <c r="CA61" i="7"/>
  <c r="CA63" i="7" s="1"/>
  <c r="CA65" i="7" s="1"/>
  <c r="BZ12" i="14" s="1"/>
  <c r="AJ24" i="7"/>
  <c r="AP64" i="1"/>
  <c r="AQ81" i="6"/>
  <c r="AR26" i="2"/>
  <c r="AQ85" i="1"/>
  <c r="AQ87" i="1" s="1"/>
  <c r="AQ88" i="1" s="1"/>
  <c r="AP72" i="7"/>
  <c r="AT19" i="4"/>
  <c r="AT35" i="4"/>
  <c r="AT40" i="4"/>
  <c r="AT82" i="5"/>
  <c r="AS35" i="5"/>
  <c r="AT82" i="6"/>
  <c r="AU34" i="6"/>
  <c r="AT73" i="1"/>
  <c r="AT74" i="1" s="1"/>
  <c r="AU85" i="5"/>
  <c r="AU87" i="5" s="1"/>
  <c r="AU88" i="5" s="1"/>
  <c r="AS73" i="2"/>
  <c r="AS74" i="2" s="1"/>
  <c r="AS40" i="2"/>
  <c r="AU26" i="7"/>
  <c r="AU27" i="7" s="1"/>
  <c r="AU12" i="5"/>
  <c r="AT9" i="8" s="1"/>
  <c r="AX19" i="1"/>
  <c r="AX73" i="1"/>
  <c r="AW82" i="2"/>
  <c r="AX11" i="2"/>
  <c r="AX28" i="5"/>
  <c r="AW11" i="6"/>
  <c r="AW35" i="6"/>
  <c r="AO73" i="6"/>
  <c r="AW86" i="6"/>
  <c r="AV80" i="7"/>
  <c r="AV81" i="7" s="1"/>
  <c r="AV85" i="5"/>
  <c r="AV87" i="5" s="1"/>
  <c r="AV88" i="5" s="1"/>
  <c r="AV39" i="4"/>
  <c r="AX12" i="2"/>
  <c r="AW6" i="8" s="1"/>
  <c r="AX40" i="5"/>
  <c r="AX86" i="4"/>
  <c r="AX85" i="5"/>
  <c r="AQ57" i="2"/>
  <c r="AP54" i="2"/>
  <c r="AG57" i="2"/>
  <c r="AR57" i="1"/>
  <c r="AM55" i="4"/>
  <c r="AL7" i="15" s="1"/>
  <c r="AK57" i="4"/>
  <c r="AD57" i="4"/>
  <c r="AB57" i="4"/>
  <c r="AP57" i="5"/>
  <c r="AC57" i="5"/>
  <c r="M57" i="5"/>
  <c r="D57" i="5"/>
  <c r="AQ54" i="6"/>
  <c r="AM55" i="6"/>
  <c r="AL8" i="15" s="1"/>
  <c r="AC57" i="6"/>
  <c r="T57" i="6"/>
  <c r="L57" i="6"/>
  <c r="AR62" i="7"/>
  <c r="AR16" i="7"/>
  <c r="AK61" i="7"/>
  <c r="AH62" i="7"/>
  <c r="AF17" i="7"/>
  <c r="AE17" i="7"/>
  <c r="AB17" i="7"/>
  <c r="AA17" i="7"/>
  <c r="Y16" i="7"/>
  <c r="V62" i="4"/>
  <c r="V62" i="7" s="1"/>
  <c r="T62" i="7"/>
  <c r="R17" i="7"/>
  <c r="O17" i="7"/>
  <c r="BA39" i="2"/>
  <c r="AY55" i="2"/>
  <c r="AX6" i="15" s="1"/>
  <c r="AY17" i="7"/>
  <c r="BA25" i="7"/>
  <c r="AZ72" i="7"/>
  <c r="BJ57" i="1"/>
  <c r="BF57" i="1"/>
  <c r="BB57" i="1"/>
  <c r="BA38" i="1"/>
  <c r="BD39" i="4"/>
  <c r="BG38" i="4"/>
  <c r="AZ73" i="4"/>
  <c r="AZ75" i="4" s="1"/>
  <c r="AY18" i="6"/>
  <c r="AY67" i="6" s="1"/>
  <c r="AY38" i="6"/>
  <c r="AY40" i="6" s="1"/>
  <c r="BE57" i="5"/>
  <c r="BE12" i="5"/>
  <c r="BD9" i="8" s="1"/>
  <c r="AZ63" i="6"/>
  <c r="BA86" i="6"/>
  <c r="AY73" i="6"/>
  <c r="AY85" i="6"/>
  <c r="BD63" i="2"/>
  <c r="BD65" i="2" s="1"/>
  <c r="BC6" i="14" s="1"/>
  <c r="BD17" i="7"/>
  <c r="BD39" i="2"/>
  <c r="BK11" i="1"/>
  <c r="BK12" i="1"/>
  <c r="BJ5" i="8" s="1"/>
  <c r="BS64" i="2"/>
  <c r="BS65" i="2"/>
  <c r="BR6" i="14" s="1"/>
  <c r="BV54" i="2"/>
  <c r="BV55" i="2"/>
  <c r="BU6" i="15" s="1"/>
  <c r="BR54" i="2"/>
  <c r="BR55" i="2"/>
  <c r="BQ6" i="15" s="1"/>
  <c r="BR57" i="2"/>
  <c r="BK73" i="2"/>
  <c r="BK85" i="2"/>
  <c r="BK87" i="2" s="1"/>
  <c r="BO73" i="5"/>
  <c r="BS73" i="5"/>
  <c r="BR86" i="1"/>
  <c r="BR63" i="1"/>
  <c r="BQ26" i="1"/>
  <c r="BQ27" i="1" s="1"/>
  <c r="BQ24" i="7"/>
  <c r="BR17" i="7"/>
  <c r="BR18" i="7" s="1"/>
  <c r="BU81" i="5"/>
  <c r="BU82" i="5"/>
  <c r="BU63" i="5"/>
  <c r="BU85" i="5"/>
  <c r="BT80" i="7"/>
  <c r="BT81" i="7" s="1"/>
  <c r="BV11" i="1"/>
  <c r="BV12" i="1"/>
  <c r="BU5" i="8" s="1"/>
  <c r="BV38" i="2"/>
  <c r="BV18" i="2"/>
  <c r="BT26" i="2"/>
  <c r="BT27" i="2" s="1"/>
  <c r="BT38" i="2"/>
  <c r="BZ38" i="5"/>
  <c r="BZ40" i="5" s="1"/>
  <c r="BZ42" i="5" s="1"/>
  <c r="BZ18" i="5"/>
  <c r="BZ20" i="5" s="1"/>
  <c r="BY9" i="13" s="1"/>
  <c r="CB63" i="5"/>
  <c r="CB65" i="5" s="1"/>
  <c r="CA9" i="14" s="1"/>
  <c r="CB61" i="7"/>
  <c r="BZ71" i="7"/>
  <c r="BZ85" i="5"/>
  <c r="CA86" i="5"/>
  <c r="CA73" i="5"/>
  <c r="CA75" i="5" s="1"/>
  <c r="CA72" i="7"/>
  <c r="CB16" i="7"/>
  <c r="CB38" i="1"/>
  <c r="CA25" i="7"/>
  <c r="CA39" i="1"/>
  <c r="CL12" i="8"/>
  <c r="CL5" i="26"/>
  <c r="CL9" i="26"/>
  <c r="AT86" i="5"/>
  <c r="AT87" i="5" s="1"/>
  <c r="AX17" i="7"/>
  <c r="AW17" i="7"/>
  <c r="AV17" i="7"/>
  <c r="AU17" i="7"/>
  <c r="AT61" i="7"/>
  <c r="AQ61" i="7"/>
  <c r="AP62" i="7"/>
  <c r="AL62" i="7"/>
  <c r="AK62" i="7"/>
  <c r="AH16" i="7"/>
  <c r="AG61" i="7"/>
  <c r="AF61" i="7"/>
  <c r="AC61" i="7"/>
  <c r="AB61" i="7"/>
  <c r="AA61" i="7"/>
  <c r="T16" i="7"/>
  <c r="S61" i="7"/>
  <c r="P61" i="7"/>
  <c r="BA72" i="7"/>
  <c r="BA73" i="7" s="1"/>
  <c r="BH67" i="6"/>
  <c r="BF12" i="6"/>
  <c r="BE8" i="8" s="1"/>
  <c r="BF57" i="6"/>
  <c r="BF11" i="6"/>
  <c r="BC12" i="6"/>
  <c r="BB8" i="8" s="1"/>
  <c r="BC57" i="6"/>
  <c r="BC19" i="5"/>
  <c r="BC20" i="5"/>
  <c r="BB9" i="13" s="1"/>
  <c r="BC19" i="4"/>
  <c r="BC20" i="4"/>
  <c r="BB7" i="13" s="1"/>
  <c r="BD20" i="4"/>
  <c r="BC7" i="13" s="1"/>
  <c r="BC67" i="4"/>
  <c r="BD73" i="4"/>
  <c r="BD85" i="4"/>
  <c r="BB63" i="6"/>
  <c r="BB85" i="6"/>
  <c r="BB87" i="6" s="1"/>
  <c r="BB88" i="6" s="1"/>
  <c r="BB38" i="6"/>
  <c r="BB18" i="6"/>
  <c r="BC39" i="6"/>
  <c r="BG19" i="4"/>
  <c r="BG20" i="4"/>
  <c r="BF7" i="13" s="1"/>
  <c r="BE24" i="7"/>
  <c r="BE26" i="4"/>
  <c r="BE38" i="4"/>
  <c r="BE67" i="4"/>
  <c r="BF63" i="6"/>
  <c r="BF85" i="6"/>
  <c r="BG86" i="6"/>
  <c r="BG63" i="6"/>
  <c r="BG64" i="6" s="1"/>
  <c r="BE73" i="6"/>
  <c r="BE74" i="6" s="1"/>
  <c r="BE86" i="6"/>
  <c r="BE57" i="2"/>
  <c r="BE11" i="2"/>
  <c r="BE12" i="2"/>
  <c r="BD6" i="8" s="1"/>
  <c r="BG55" i="2"/>
  <c r="BF6" i="15" s="1"/>
  <c r="BG54" i="2"/>
  <c r="BG64" i="2"/>
  <c r="BG65" i="2"/>
  <c r="BF6" i="14" s="1"/>
  <c r="BF72" i="7"/>
  <c r="BG63" i="5"/>
  <c r="BG65" i="5" s="1"/>
  <c r="BF9" i="14" s="1"/>
  <c r="BG86" i="5"/>
  <c r="BB17" i="7"/>
  <c r="BH20" i="6"/>
  <c r="BG8" i="13" s="1"/>
  <c r="BI64" i="6"/>
  <c r="BJ85" i="6"/>
  <c r="BJ87" i="6" s="1"/>
  <c r="BJ73" i="6"/>
  <c r="BI39" i="4"/>
  <c r="BI18" i="4"/>
  <c r="BI67" i="4" s="1"/>
  <c r="BH73" i="4"/>
  <c r="BH85" i="4"/>
  <c r="BJ67" i="5"/>
  <c r="BI73" i="2"/>
  <c r="BI85" i="2"/>
  <c r="BT57" i="4"/>
  <c r="BT11" i="4"/>
  <c r="BT12" i="4"/>
  <c r="BS7" i="8" s="1"/>
  <c r="BP57" i="4"/>
  <c r="BP11" i="4"/>
  <c r="BP12" i="4"/>
  <c r="BO7" i="8" s="1"/>
  <c r="BL57" i="4"/>
  <c r="BL11" i="4"/>
  <c r="BL12" i="4"/>
  <c r="BK7" i="8" s="1"/>
  <c r="BL18" i="4"/>
  <c r="BL20" i="4" s="1"/>
  <c r="BK7" i="13" s="1"/>
  <c r="BL39" i="4"/>
  <c r="BM34" i="6"/>
  <c r="BM35" i="6"/>
  <c r="BK85" i="6"/>
  <c r="BK63" i="6"/>
  <c r="BK39" i="2"/>
  <c r="BO11" i="6"/>
  <c r="BO12" i="6"/>
  <c r="BN8" i="8" s="1"/>
  <c r="BP54" i="6"/>
  <c r="BP55" i="6"/>
  <c r="BO8" i="15" s="1"/>
  <c r="BO12" i="5"/>
  <c r="BN9" i="8" s="1"/>
  <c r="BO11" i="5"/>
  <c r="BS63" i="6"/>
  <c r="BS85" i="6"/>
  <c r="BS87" i="6" s="1"/>
  <c r="BS88" i="6" s="1"/>
  <c r="BS39" i="2"/>
  <c r="BV35" i="1"/>
  <c r="BV34" i="1"/>
  <c r="BV25" i="7"/>
  <c r="BV39" i="2"/>
  <c r="BV26" i="2"/>
  <c r="BV86" i="2"/>
  <c r="BV63" i="2"/>
  <c r="BT73" i="2"/>
  <c r="BT74" i="2" s="1"/>
  <c r="BY86" i="4"/>
  <c r="BY73" i="4"/>
  <c r="CA17" i="7"/>
  <c r="BZ24" i="7"/>
  <c r="BZ26" i="7" s="1"/>
  <c r="AR24" i="7"/>
  <c r="AR39" i="1"/>
  <c r="AT19" i="5"/>
  <c r="AW39" i="4"/>
  <c r="AW12" i="6"/>
  <c r="AV8" i="8" s="1"/>
  <c r="AC57" i="2"/>
  <c r="AU57" i="1"/>
  <c r="AQ57" i="1"/>
  <c r="AP57" i="4"/>
  <c r="AL57" i="4"/>
  <c r="AC57" i="4"/>
  <c r="AA57" i="4"/>
  <c r="M57" i="4"/>
  <c r="D57" i="4"/>
  <c r="U57" i="5"/>
  <c r="L57" i="5"/>
  <c r="E57" i="5"/>
  <c r="AS57" i="6"/>
  <c r="AG57" i="6"/>
  <c r="P57" i="6"/>
  <c r="H57" i="6"/>
  <c r="AM53" i="7"/>
  <c r="AM54" i="7" s="1"/>
  <c r="AS17" i="7"/>
  <c r="AL16" i="7"/>
  <c r="AK16" i="7"/>
  <c r="AI17" i="7"/>
  <c r="AG62" i="7"/>
  <c r="AD62" i="7"/>
  <c r="AC62" i="7"/>
  <c r="AB62" i="7"/>
  <c r="AA62" i="7"/>
  <c r="Z17" i="4"/>
  <c r="Z61" i="7"/>
  <c r="Y61" i="7"/>
  <c r="Y63" i="7" s="1"/>
  <c r="Y64" i="7" s="1"/>
  <c r="V16" i="6"/>
  <c r="V38" i="6" s="1"/>
  <c r="S62" i="7"/>
  <c r="R62" i="7"/>
  <c r="R63" i="7" s="1"/>
  <c r="P62" i="7"/>
  <c r="O62" i="7"/>
  <c r="AZ62" i="7"/>
  <c r="AZ63" i="7" s="1"/>
  <c r="BA73" i="2"/>
  <c r="AY38" i="1"/>
  <c r="BA61" i="7"/>
  <c r="AZ18" i="5"/>
  <c r="AZ19" i="5" s="1"/>
  <c r="BB65" i="4"/>
  <c r="BA7" i="14" s="1"/>
  <c r="BB64" i="4"/>
  <c r="BF57" i="4"/>
  <c r="BF39" i="4"/>
  <c r="BC40" i="4"/>
  <c r="BC41" i="4" s="1"/>
  <c r="BA73" i="6"/>
  <c r="BA74" i="6" s="1"/>
  <c r="BC18" i="6"/>
  <c r="BC19" i="6" s="1"/>
  <c r="BF18" i="6"/>
  <c r="BF38" i="6"/>
  <c r="BG39" i="6"/>
  <c r="BG18" i="6"/>
  <c r="BG19" i="6" s="1"/>
  <c r="BM35" i="1"/>
  <c r="BM34" i="1"/>
  <c r="BP64" i="4"/>
  <c r="BP65" i="4"/>
  <c r="BO7" i="14" s="1"/>
  <c r="BP67" i="4"/>
  <c r="BU54" i="4"/>
  <c r="BU55" i="4"/>
  <c r="BT7" i="15" s="1"/>
  <c r="BN55" i="4"/>
  <c r="BM7" i="15" s="1"/>
  <c r="BN54" i="4"/>
  <c r="BM38" i="6"/>
  <c r="BM40" i="6" s="1"/>
  <c r="BM41" i="6" s="1"/>
  <c r="BM26" i="6"/>
  <c r="BK28" i="6"/>
  <c r="BP11" i="2"/>
  <c r="BN65" i="4"/>
  <c r="BM7" i="14" s="1"/>
  <c r="BN86" i="4"/>
  <c r="BO34" i="5"/>
  <c r="BO35" i="5"/>
  <c r="BQ85" i="6"/>
  <c r="BQ63" i="6"/>
  <c r="BR73" i="6"/>
  <c r="BQ26" i="2"/>
  <c r="BQ38" i="2"/>
  <c r="BW73" i="4"/>
  <c r="CA39" i="5"/>
  <c r="CA40" i="5" s="1"/>
  <c r="CA42" i="5" s="1"/>
  <c r="CB85" i="5"/>
  <c r="AZ40" i="6"/>
  <c r="AZ20" i="6"/>
  <c r="AY8" i="13" s="1"/>
  <c r="BC16" i="7"/>
  <c r="BF62" i="7"/>
  <c r="BG72" i="7"/>
  <c r="BE35" i="2"/>
  <c r="BE55" i="2"/>
  <c r="BD6" i="15" s="1"/>
  <c r="BK25" i="7"/>
  <c r="BK85" i="5"/>
  <c r="BN38" i="1"/>
  <c r="BP17" i="7"/>
  <c r="BO71" i="7"/>
  <c r="BP73" i="2"/>
  <c r="BO87" i="5"/>
  <c r="BO88" i="5" s="1"/>
  <c r="BR62" i="7"/>
  <c r="BR63" i="7" s="1"/>
  <c r="BV61" i="7"/>
  <c r="BV63" i="7" s="1"/>
  <c r="BT82" i="6"/>
  <c r="BZ16" i="7"/>
  <c r="CD42" i="4"/>
  <c r="CD41" i="4"/>
  <c r="BA18" i="4"/>
  <c r="BE18" i="1"/>
  <c r="BE19" i="1" s="1"/>
  <c r="BI26" i="2"/>
  <c r="BI27" i="2" s="1"/>
  <c r="BL61" i="7"/>
  <c r="BR28" i="4"/>
  <c r="BV87" i="4"/>
  <c r="BN57" i="4"/>
  <c r="BM63" i="6"/>
  <c r="BR75" i="2"/>
  <c r="BK38" i="2"/>
  <c r="BP24" i="7"/>
  <c r="BP26" i="7" s="1"/>
  <c r="BP27" i="7" s="1"/>
  <c r="BP71" i="7"/>
  <c r="BO85" i="2"/>
  <c r="BR35" i="5"/>
  <c r="BR85" i="5"/>
  <c r="BR87" i="5" s="1"/>
  <c r="BS85" i="1"/>
  <c r="BR18" i="1"/>
  <c r="BR19" i="1" s="1"/>
  <c r="BS26" i="1"/>
  <c r="BS28" i="1" s="1"/>
  <c r="BT86" i="2"/>
  <c r="BX85" i="5"/>
  <c r="BY86" i="5"/>
  <c r="CA57" i="6"/>
  <c r="CG89" i="5"/>
  <c r="CG88" i="5"/>
  <c r="CG42" i="2"/>
  <c r="AZ85" i="4"/>
  <c r="BA39" i="4"/>
  <c r="BA38" i="4"/>
  <c r="BA28" i="4"/>
  <c r="BF67" i="4"/>
  <c r="BD67" i="4"/>
  <c r="BH67" i="5"/>
  <c r="BD57" i="2"/>
  <c r="BD54" i="2"/>
  <c r="BC25" i="7"/>
  <c r="BC26" i="7" s="1"/>
  <c r="BG39" i="5"/>
  <c r="BG18" i="2"/>
  <c r="BF86" i="2"/>
  <c r="BH24" i="7"/>
  <c r="BI39" i="2"/>
  <c r="BI54" i="2"/>
  <c r="BJ85" i="2"/>
  <c r="BJ87" i="2" s="1"/>
  <c r="BI25" i="7"/>
  <c r="BK17" i="7"/>
  <c r="BM25" i="7"/>
  <c r="BL38" i="1"/>
  <c r="BL54" i="1"/>
  <c r="BS12" i="4"/>
  <c r="BR7" i="8" s="1"/>
  <c r="BO12" i="4"/>
  <c r="BN7" i="8" s="1"/>
  <c r="BK12" i="4"/>
  <c r="BJ7" i="8" s="1"/>
  <c r="BS11" i="4"/>
  <c r="BO11" i="4"/>
  <c r="BK11" i="4"/>
  <c r="BP82" i="4"/>
  <c r="BU57" i="4"/>
  <c r="BQ57" i="4"/>
  <c r="BM57" i="4"/>
  <c r="BM75" i="2"/>
  <c r="BO18" i="2"/>
  <c r="BO63" i="2"/>
  <c r="BT57" i="2"/>
  <c r="BM54" i="2"/>
  <c r="BM26" i="2"/>
  <c r="BN17" i="7"/>
  <c r="BN18" i="7" s="1"/>
  <c r="BO39" i="1"/>
  <c r="BO40" i="1" s="1"/>
  <c r="BO41" i="1" s="1"/>
  <c r="BP85" i="1"/>
  <c r="BP87" i="1" s="1"/>
  <c r="BN86" i="1"/>
  <c r="BO72" i="7"/>
  <c r="BN82" i="6"/>
  <c r="BP63" i="6"/>
  <c r="BQ28" i="6"/>
  <c r="BS12" i="6"/>
  <c r="BR8" i="8" s="1"/>
  <c r="BS61" i="7"/>
  <c r="BS63" i="7" s="1"/>
  <c r="BS65" i="6"/>
  <c r="BR8" i="14" s="1"/>
  <c r="BS11" i="5"/>
  <c r="BR57" i="5"/>
  <c r="BR18" i="5"/>
  <c r="BR19" i="5" s="1"/>
  <c r="BS85" i="5"/>
  <c r="BS87" i="5" s="1"/>
  <c r="BQ73" i="5"/>
  <c r="BQ75" i="5" s="1"/>
  <c r="BS24" i="7"/>
  <c r="BU28" i="5"/>
  <c r="BT61" i="7"/>
  <c r="BT82" i="1"/>
  <c r="BU38" i="2"/>
  <c r="BU40" i="2" s="1"/>
  <c r="BV34" i="6"/>
  <c r="CB18" i="5"/>
  <c r="CB20" i="5" s="1"/>
  <c r="CA9" i="13" s="1"/>
  <c r="CB86" i="5"/>
  <c r="CA63" i="5"/>
  <c r="CA65" i="5" s="1"/>
  <c r="BZ9" i="14" s="1"/>
  <c r="BZ73" i="5"/>
  <c r="BZ75" i="5" s="1"/>
  <c r="CF88" i="4"/>
  <c r="CF89" i="4"/>
  <c r="CN5" i="26"/>
  <c r="AC73" i="7"/>
  <c r="AC75" i="7" s="1"/>
  <c r="AB6" i="24" s="1"/>
  <c r="M86" i="7"/>
  <c r="N38" i="7"/>
  <c r="L85" i="7"/>
  <c r="N85" i="7"/>
  <c r="BJ80" i="7"/>
  <c r="BJ81" i="7" s="1"/>
  <c r="BF80" i="7"/>
  <c r="BF81" i="7" s="1"/>
  <c r="BB80" i="7"/>
  <c r="BB81" i="7" s="1"/>
  <c r="CN12" i="8"/>
  <c r="AU34" i="1"/>
  <c r="T87" i="1"/>
  <c r="T88" i="1" s="1"/>
  <c r="BS82" i="1"/>
  <c r="E38" i="7"/>
  <c r="W57" i="1"/>
  <c r="O57" i="1"/>
  <c r="M57" i="1"/>
  <c r="L57" i="1"/>
  <c r="BJ55" i="1"/>
  <c r="BI5" i="15" s="1"/>
  <c r="BH55" i="1"/>
  <c r="BG5" i="15" s="1"/>
  <c r="BF55" i="1"/>
  <c r="BE5" i="15" s="1"/>
  <c r="BD55" i="1"/>
  <c r="BC5" i="15" s="1"/>
  <c r="BB54" i="1"/>
  <c r="BB39" i="1"/>
  <c r="BM26" i="1"/>
  <c r="BM28" i="1" s="1"/>
  <c r="CK7" i="26"/>
  <c r="AS75" i="1"/>
  <c r="AS35" i="1"/>
  <c r="AV82" i="1"/>
  <c r="BK35" i="1"/>
  <c r="BQ73" i="1"/>
  <c r="BQ74" i="1" s="1"/>
  <c r="BS39" i="1"/>
  <c r="BE20" i="1"/>
  <c r="BD5" i="13" s="1"/>
  <c r="R40" i="1"/>
  <c r="S40" i="1"/>
  <c r="S41" i="1" s="1"/>
  <c r="AI27" i="1"/>
  <c r="AW24" i="7"/>
  <c r="AW26" i="7" s="1"/>
  <c r="AE57" i="1"/>
  <c r="AA57" i="1"/>
  <c r="Y57" i="1"/>
  <c r="X57" i="1"/>
  <c r="G57" i="1"/>
  <c r="E57" i="1"/>
  <c r="D57" i="1"/>
  <c r="BD38" i="1"/>
  <c r="BG61" i="7"/>
  <c r="BG62" i="7"/>
  <c r="BL35" i="1"/>
  <c r="BL18" i="1"/>
  <c r="BL20" i="1" s="1"/>
  <c r="BK5" i="13" s="1"/>
  <c r="BL12" i="1"/>
  <c r="BK5" i="8" s="1"/>
  <c r="BO26" i="1"/>
  <c r="BO27" i="1" s="1"/>
  <c r="BS25" i="7"/>
  <c r="BQ78" i="7"/>
  <c r="BQ80" i="7" s="1"/>
  <c r="BQ81" i="7" s="1"/>
  <c r="BR38" i="1"/>
  <c r="BQ38" i="1"/>
  <c r="BS38" i="1"/>
  <c r="BV55" i="1"/>
  <c r="BU5" i="15" s="1"/>
  <c r="CA87" i="1"/>
  <c r="CA88" i="1" s="1"/>
  <c r="O65" i="1"/>
  <c r="N5" i="14" s="1"/>
  <c r="AI87" i="1"/>
  <c r="AI89" i="1" s="1"/>
  <c r="AG20" i="1"/>
  <c r="AF5" i="13" s="1"/>
  <c r="AL34" i="1"/>
  <c r="BI80" i="7"/>
  <c r="BG80" i="7"/>
  <c r="BE80" i="7"/>
  <c r="BC80" i="7"/>
  <c r="BA80" i="7"/>
  <c r="BA81" i="7" s="1"/>
  <c r="BE10" i="7"/>
  <c r="BE11" i="7" s="1"/>
  <c r="E80" i="7"/>
  <c r="E82" i="7" s="1"/>
  <c r="I80" i="7"/>
  <c r="I82" i="7" s="1"/>
  <c r="AY80" i="7"/>
  <c r="AY81" i="7" s="1"/>
  <c r="F27" i="1"/>
  <c r="O20" i="1"/>
  <c r="N5" i="13" s="1"/>
  <c r="AG82" i="1"/>
  <c r="AG28" i="1"/>
  <c r="AK40" i="1"/>
  <c r="AV35" i="1"/>
  <c r="BE38" i="1"/>
  <c r="BQ18" i="1"/>
  <c r="BQ19" i="1" s="1"/>
  <c r="BY67" i="1"/>
  <c r="T81" i="1"/>
  <c r="W81" i="1"/>
  <c r="U40" i="1"/>
  <c r="U41" i="1" s="1"/>
  <c r="Y20" i="1"/>
  <c r="X5" i="13" s="1"/>
  <c r="Z27" i="1"/>
  <c r="Z65" i="1"/>
  <c r="Y5" i="14" s="1"/>
  <c r="AC81" i="1"/>
  <c r="AJ81" i="1"/>
  <c r="AV25" i="7"/>
  <c r="AI57" i="1"/>
  <c r="AG57" i="1"/>
  <c r="AF57" i="1"/>
  <c r="S57" i="1"/>
  <c r="Q57" i="1"/>
  <c r="P57" i="1"/>
  <c r="I57" i="1"/>
  <c r="H57" i="1"/>
  <c r="I53" i="7"/>
  <c r="J10" i="7"/>
  <c r="M53" i="7"/>
  <c r="M55" i="7" s="1"/>
  <c r="L12" i="15" s="1"/>
  <c r="P53" i="7"/>
  <c r="P55" i="7" s="1"/>
  <c r="O12" i="15" s="1"/>
  <c r="Q10" i="7"/>
  <c r="R10" i="7"/>
  <c r="R12" i="7" s="1"/>
  <c r="T53" i="7"/>
  <c r="T55" i="7" s="1"/>
  <c r="S12" i="15" s="1"/>
  <c r="X53" i="7"/>
  <c r="X54" i="7" s="1"/>
  <c r="AA53" i="7"/>
  <c r="AA55" i="7" s="1"/>
  <c r="Z12" i="15" s="1"/>
  <c r="AC53" i="7"/>
  <c r="AC55" i="7" s="1"/>
  <c r="AB12" i="15" s="1"/>
  <c r="AG10" i="7"/>
  <c r="AG11" i="7" s="1"/>
  <c r="AG53" i="7"/>
  <c r="AG54" i="7" s="1"/>
  <c r="AH10" i="7"/>
  <c r="AH11" i="7" s="1"/>
  <c r="AH53" i="7"/>
  <c r="AH54" i="7" s="1"/>
  <c r="AI53" i="7"/>
  <c r="AI55" i="7" s="1"/>
  <c r="AH12" i="15" s="1"/>
  <c r="AJ53" i="7"/>
  <c r="AJ54" i="7" s="1"/>
  <c r="AL10" i="7"/>
  <c r="AL12" i="7" s="1"/>
  <c r="AV10" i="7"/>
  <c r="AV12" i="7" s="1"/>
  <c r="AW10" i="7"/>
  <c r="AS61" i="7"/>
  <c r="AZ39" i="1"/>
  <c r="AZ40" i="1" s="1"/>
  <c r="AZ41" i="1" s="1"/>
  <c r="BH80" i="7"/>
  <c r="BH81" i="7" s="1"/>
  <c r="BD80" i="7"/>
  <c r="BD81" i="7" s="1"/>
  <c r="AZ80" i="7"/>
  <c r="AZ81" i="7" s="1"/>
  <c r="BO35" i="1"/>
  <c r="BP63" i="1"/>
  <c r="BP64" i="1" s="1"/>
  <c r="BN85" i="1"/>
  <c r="BN73" i="1"/>
  <c r="BQ82" i="1"/>
  <c r="BS73" i="1"/>
  <c r="BS74" i="1" s="1"/>
  <c r="BV53" i="7"/>
  <c r="BV55" i="7" s="1"/>
  <c r="BU12" i="15" s="1"/>
  <c r="BT55" i="1"/>
  <c r="BS5" i="15" s="1"/>
  <c r="BR80" i="7"/>
  <c r="BR82" i="7" s="1"/>
  <c r="BQ10" i="7"/>
  <c r="BS53" i="7"/>
  <c r="BQ53" i="7"/>
  <c r="BU10" i="7"/>
  <c r="BV80" i="7"/>
  <c r="D80" i="7"/>
  <c r="D82" i="7" s="1"/>
  <c r="F80" i="7"/>
  <c r="F82" i="7" s="1"/>
  <c r="H80" i="7"/>
  <c r="H82" i="7" s="1"/>
  <c r="J80" i="7"/>
  <c r="J82" i="7" s="1"/>
  <c r="C10" i="7"/>
  <c r="C11" i="7" s="1"/>
  <c r="BW57" i="5"/>
  <c r="BW55" i="5"/>
  <c r="BV9" i="15" s="1"/>
  <c r="BW40" i="5"/>
  <c r="BW41" i="5" s="1"/>
  <c r="BY40" i="5"/>
  <c r="BY41" i="5" s="1"/>
  <c r="BQ40" i="5"/>
  <c r="BV64" i="5"/>
  <c r="CA38" i="7"/>
  <c r="BQ64" i="5"/>
  <c r="BU67" i="5"/>
  <c r="BO28" i="5"/>
  <c r="BM64" i="5"/>
  <c r="BS67" i="5"/>
  <c r="D67" i="5"/>
  <c r="K67" i="5"/>
  <c r="G67" i="5"/>
  <c r="G19" i="5"/>
  <c r="E64" i="5"/>
  <c r="K64" i="5"/>
  <c r="J74" i="5"/>
  <c r="L87" i="5"/>
  <c r="L88" i="5" s="1"/>
  <c r="M87" i="5"/>
  <c r="C38" i="5"/>
  <c r="C40" i="5" s="1"/>
  <c r="C41" i="5" s="1"/>
  <c r="I39" i="7"/>
  <c r="J39" i="7"/>
  <c r="Q72" i="7"/>
  <c r="Q73" i="7" s="1"/>
  <c r="Q74" i="7" s="1"/>
  <c r="P85" i="5"/>
  <c r="P87" i="5" s="1"/>
  <c r="P88" i="5" s="1"/>
  <c r="P72" i="7"/>
  <c r="Q24" i="7"/>
  <c r="Z40" i="5"/>
  <c r="AW73" i="5"/>
  <c r="AW57" i="5"/>
  <c r="AQ57" i="5"/>
  <c r="AH57" i="5"/>
  <c r="AD57" i="5"/>
  <c r="Z57" i="5"/>
  <c r="V57" i="5"/>
  <c r="R57" i="5"/>
  <c r="C10" i="5"/>
  <c r="AX62" i="7"/>
  <c r="AX16" i="7"/>
  <c r="AW61" i="7"/>
  <c r="AW16" i="7"/>
  <c r="AV61" i="7"/>
  <c r="AV16" i="7"/>
  <c r="AU61" i="7"/>
  <c r="AT62" i="7"/>
  <c r="AT17" i="7"/>
  <c r="AS62" i="7"/>
  <c r="AS16" i="7"/>
  <c r="AR17" i="7"/>
  <c r="AQ62" i="7"/>
  <c r="AQ16" i="7"/>
  <c r="AP61" i="7"/>
  <c r="AP17" i="7"/>
  <c r="AO17" i="7"/>
  <c r="AO62" i="7"/>
  <c r="AN16" i="7"/>
  <c r="AL61" i="7"/>
  <c r="AF62" i="7"/>
  <c r="AE62" i="7"/>
  <c r="AD17" i="7"/>
  <c r="AC17" i="7"/>
  <c r="Z17" i="7"/>
  <c r="Z62" i="7"/>
  <c r="X16" i="7"/>
  <c r="BC61" i="7"/>
  <c r="BC63" i="7" s="1"/>
  <c r="BF67" i="5"/>
  <c r="BL38" i="5"/>
  <c r="BT71" i="7"/>
  <c r="BV71" i="7"/>
  <c r="BW18" i="5"/>
  <c r="BY18" i="5"/>
  <c r="BY57" i="5"/>
  <c r="O25" i="7"/>
  <c r="R82" i="5"/>
  <c r="T35" i="5"/>
  <c r="S28" i="5"/>
  <c r="V67" i="5"/>
  <c r="AC34" i="5"/>
  <c r="AB80" i="7"/>
  <c r="AA38" i="5"/>
  <c r="AA40" i="5" s="1"/>
  <c r="AA25" i="7"/>
  <c r="AB25" i="7"/>
  <c r="AA72" i="7"/>
  <c r="AB72" i="7"/>
  <c r="AC24" i="7"/>
  <c r="AD24" i="7"/>
  <c r="AD25" i="7"/>
  <c r="AF24" i="7"/>
  <c r="AE73" i="5"/>
  <c r="AE72" i="7"/>
  <c r="AG82" i="5"/>
  <c r="AH28" i="5"/>
  <c r="AH87" i="5"/>
  <c r="AH72" i="7"/>
  <c r="AH73" i="7" s="1"/>
  <c r="AG72" i="7"/>
  <c r="AG73" i="7" s="1"/>
  <c r="AG24" i="7"/>
  <c r="AJ34" i="5"/>
  <c r="AJ81" i="5"/>
  <c r="AJ85" i="5"/>
  <c r="AL73" i="5"/>
  <c r="AQ82" i="5"/>
  <c r="AU33" i="7"/>
  <c r="AN17" i="7"/>
  <c r="AM17" i="7"/>
  <c r="AK17" i="7"/>
  <c r="AE16" i="7"/>
  <c r="AE61" i="7"/>
  <c r="AD61" i="7"/>
  <c r="Z16" i="7"/>
  <c r="X62" i="7"/>
  <c r="W61" i="7"/>
  <c r="V61" i="7"/>
  <c r="AZ63" i="5"/>
  <c r="BJ57" i="5"/>
  <c r="BI57" i="5"/>
  <c r="BH57" i="5"/>
  <c r="BD57" i="5"/>
  <c r="BC57" i="5"/>
  <c r="BB72" i="7"/>
  <c r="BB73" i="7" s="1"/>
  <c r="BE63" i="5"/>
  <c r="BH17" i="7"/>
  <c r="BM11" i="5"/>
  <c r="BK18" i="5"/>
  <c r="BK20" i="5" s="1"/>
  <c r="BJ9" i="13" s="1"/>
  <c r="BM18" i="5"/>
  <c r="BM55" i="5"/>
  <c r="BL9" i="15" s="1"/>
  <c r="BL63" i="5"/>
  <c r="BM85" i="5"/>
  <c r="BL73" i="5"/>
  <c r="BL74" i="5" s="1"/>
  <c r="BN35" i="5"/>
  <c r="BP54" i="5"/>
  <c r="BO63" i="5"/>
  <c r="BP73" i="5"/>
  <c r="BR12" i="5"/>
  <c r="BQ9" i="8" s="1"/>
  <c r="BQ12" i="5"/>
  <c r="BP9" i="8" s="1"/>
  <c r="BR11" i="5"/>
  <c r="BS28" i="5"/>
  <c r="BQ35" i="5"/>
  <c r="BR39" i="5"/>
  <c r="BR73" i="5"/>
  <c r="BR74" i="5" s="1"/>
  <c r="BU35" i="5"/>
  <c r="BT18" i="5"/>
  <c r="BU71" i="7"/>
  <c r="BY62" i="7"/>
  <c r="BW51" i="7"/>
  <c r="BX38" i="5"/>
  <c r="AL80" i="7"/>
  <c r="AL81" i="7" s="1"/>
  <c r="AL33" i="7"/>
  <c r="AL35" i="7" s="1"/>
  <c r="AK8" i="26" s="1"/>
  <c r="AN80" i="7"/>
  <c r="AR33" i="7"/>
  <c r="AR34" i="7" s="1"/>
  <c r="AV33" i="7"/>
  <c r="AV35" i="7" s="1"/>
  <c r="AU8" i="26" s="1"/>
  <c r="CG12" i="13"/>
  <c r="CG6" i="26"/>
  <c r="CE12" i="8"/>
  <c r="CE9" i="26"/>
  <c r="CE5" i="26"/>
  <c r="CE5" i="24"/>
  <c r="CE7" i="26"/>
  <c r="CP9" i="26"/>
  <c r="CP5" i="26"/>
  <c r="CP12" i="8"/>
  <c r="CO12" i="13"/>
  <c r="CO6" i="26"/>
  <c r="AU80" i="7"/>
  <c r="AU82" i="7" s="1"/>
  <c r="CL5" i="24"/>
  <c r="CL7" i="26"/>
  <c r="CN7" i="26"/>
  <c r="CN5" i="24"/>
  <c r="AM80" i="7"/>
  <c r="AM82" i="7" s="1"/>
  <c r="CJ12" i="13"/>
  <c r="CJ6" i="26"/>
  <c r="CM12" i="13"/>
  <c r="CM6" i="26"/>
  <c r="CK12" i="13"/>
  <c r="CK6" i="26"/>
  <c r="Y72" i="7"/>
  <c r="Y73" i="7" s="1"/>
  <c r="Y74" i="7" s="1"/>
  <c r="Y75" i="4"/>
  <c r="V65" i="4"/>
  <c r="U7" i="14" s="1"/>
  <c r="S35" i="4"/>
  <c r="CD54" i="4"/>
  <c r="CD57" i="4"/>
  <c r="CD55" i="4"/>
  <c r="CC7" i="15" s="1"/>
  <c r="CD87" i="4"/>
  <c r="C74" i="4"/>
  <c r="D86" i="7"/>
  <c r="F86" i="7"/>
  <c r="H86" i="7"/>
  <c r="J86" i="7"/>
  <c r="D38" i="7"/>
  <c r="F38" i="7"/>
  <c r="G38" i="7"/>
  <c r="H38" i="7"/>
  <c r="I38" i="7"/>
  <c r="J38" i="7"/>
  <c r="K38" i="7"/>
  <c r="Q26" i="4"/>
  <c r="Q81" i="4"/>
  <c r="Q39" i="4"/>
  <c r="P24" i="7"/>
  <c r="T19" i="4"/>
  <c r="S25" i="7"/>
  <c r="U28" i="4"/>
  <c r="U74" i="4"/>
  <c r="U82" i="4"/>
  <c r="W85" i="4"/>
  <c r="U85" i="4"/>
  <c r="X40" i="4"/>
  <c r="Z74" i="4"/>
  <c r="X87" i="4"/>
  <c r="Z38" i="7"/>
  <c r="AC19" i="4"/>
  <c r="AB34" i="4"/>
  <c r="AA26" i="4"/>
  <c r="AC81" i="4"/>
  <c r="AA39" i="4"/>
  <c r="AB38" i="4"/>
  <c r="AA80" i="7"/>
  <c r="AA81" i="7" s="1"/>
  <c r="AC85" i="4"/>
  <c r="AD26" i="4"/>
  <c r="AD40" i="4" s="1"/>
  <c r="AF26" i="4"/>
  <c r="AF40" i="4" s="1"/>
  <c r="AF38" i="4"/>
  <c r="AE24" i="7"/>
  <c r="AE67" i="4"/>
  <c r="AH24" i="7"/>
  <c r="AK35" i="4"/>
  <c r="AJ82" i="4"/>
  <c r="AI57" i="4"/>
  <c r="AE57" i="4"/>
  <c r="E57" i="4"/>
  <c r="X9" i="7"/>
  <c r="X10" i="7" s="1"/>
  <c r="X11" i="7" s="1"/>
  <c r="AN61" i="7"/>
  <c r="AM16" i="7"/>
  <c r="W67" i="4"/>
  <c r="BA10" i="7"/>
  <c r="BE61" i="7"/>
  <c r="BS71" i="7"/>
  <c r="BS73" i="7" s="1"/>
  <c r="BW39" i="4"/>
  <c r="BY39" i="4"/>
  <c r="BX57" i="4"/>
  <c r="BW16" i="7"/>
  <c r="BY16" i="7"/>
  <c r="BX17" i="7"/>
  <c r="BW24" i="7"/>
  <c r="BX25" i="7"/>
  <c r="BX61" i="7"/>
  <c r="BW62" i="7"/>
  <c r="BX71" i="7"/>
  <c r="BW72" i="7"/>
  <c r="BY72" i="7"/>
  <c r="CC55" i="4"/>
  <c r="CB7" i="15" s="1"/>
  <c r="CC54" i="4"/>
  <c r="CC57" i="4"/>
  <c r="CC87" i="4"/>
  <c r="CE55" i="4"/>
  <c r="CD7" i="15" s="1"/>
  <c r="CE54" i="4"/>
  <c r="CE57" i="4"/>
  <c r="CE87" i="4"/>
  <c r="AG75" i="4"/>
  <c r="S57" i="4"/>
  <c r="G10" i="7"/>
  <c r="G12" i="7" s="1"/>
  <c r="H53" i="7"/>
  <c r="H55" i="7" s="1"/>
  <c r="G12" i="15" s="1"/>
  <c r="I10" i="7"/>
  <c r="J53" i="7"/>
  <c r="J55" i="7" s="1"/>
  <c r="I12" i="15" s="1"/>
  <c r="AE53" i="7"/>
  <c r="AE55" i="7" s="1"/>
  <c r="AD12" i="15" s="1"/>
  <c r="J63" i="7"/>
  <c r="J65" i="7" s="1"/>
  <c r="I12" i="14" s="1"/>
  <c r="BF17" i="7"/>
  <c r="BE72" i="7"/>
  <c r="BE73" i="7" s="1"/>
  <c r="BG24" i="7"/>
  <c r="BG26" i="7" s="1"/>
  <c r="BG27" i="7" s="1"/>
  <c r="BH62" i="7"/>
  <c r="BH63" i="7" s="1"/>
  <c r="BJ62" i="7"/>
  <c r="BJ17" i="7"/>
  <c r="BJ18" i="7" s="1"/>
  <c r="BI61" i="7"/>
  <c r="BQ54" i="4"/>
  <c r="BN85" i="4"/>
  <c r="BS16" i="7"/>
  <c r="BS18" i="7" s="1"/>
  <c r="BS19" i="7" s="1"/>
  <c r="BQ61" i="7"/>
  <c r="BQ71" i="7"/>
  <c r="BQ73" i="7" s="1"/>
  <c r="BR72" i="7"/>
  <c r="BR71" i="7"/>
  <c r="BT39" i="4"/>
  <c r="BW38" i="4"/>
  <c r="BW57" i="4"/>
  <c r="BY57" i="4"/>
  <c r="BX16" i="7"/>
  <c r="BW17" i="7"/>
  <c r="BY17" i="7"/>
  <c r="BW61" i="7"/>
  <c r="BY61" i="7"/>
  <c r="BX62" i="7"/>
  <c r="BW71" i="7"/>
  <c r="BY71" i="7"/>
  <c r="BX72" i="7"/>
  <c r="BC10" i="7"/>
  <c r="BB10" i="7"/>
  <c r="BB12" i="7" s="1"/>
  <c r="BD53" i="7"/>
  <c r="BD54" i="7" s="1"/>
  <c r="BW64" i="1"/>
  <c r="D27" i="1"/>
  <c r="H27" i="1"/>
  <c r="J34" i="1"/>
  <c r="F74" i="1"/>
  <c r="O28" i="1"/>
  <c r="S82" i="1"/>
  <c r="R35" i="1"/>
  <c r="T27" i="1"/>
  <c r="T20" i="1"/>
  <c r="S5" i="13" s="1"/>
  <c r="U82" i="1"/>
  <c r="X28" i="1"/>
  <c r="Z87" i="1"/>
  <c r="X87" i="1"/>
  <c r="X88" i="1" s="1"/>
  <c r="Y87" i="1"/>
  <c r="AA27" i="1"/>
  <c r="AE74" i="1"/>
  <c r="AE67" i="1"/>
  <c r="AS82" i="1"/>
  <c r="AK57" i="1"/>
  <c r="AJ57" i="1"/>
  <c r="AC57" i="1"/>
  <c r="AB57" i="1"/>
  <c r="U57" i="1"/>
  <c r="T57" i="1"/>
  <c r="N57" i="1"/>
  <c r="J57" i="1"/>
  <c r="F57" i="1"/>
  <c r="BI16" i="7"/>
  <c r="BI18" i="7" s="1"/>
  <c r="BP54" i="1"/>
  <c r="BP18" i="1"/>
  <c r="BP20" i="1" s="1"/>
  <c r="BO5" i="13" s="1"/>
  <c r="BN26" i="1"/>
  <c r="BN27" i="1" s="1"/>
  <c r="BQ11" i="1"/>
  <c r="BQ35" i="1"/>
  <c r="BS55" i="1"/>
  <c r="BR5" i="15" s="1"/>
  <c r="BQ55" i="1"/>
  <c r="BP5" i="15" s="1"/>
  <c r="BS18" i="1"/>
  <c r="BU55" i="1"/>
  <c r="BT5" i="15" s="1"/>
  <c r="BV82" i="1"/>
  <c r="BU35" i="1"/>
  <c r="K39" i="7"/>
  <c r="AK33" i="7"/>
  <c r="AL28" i="1"/>
  <c r="AO75" i="1"/>
  <c r="AW73" i="1"/>
  <c r="BC38" i="1"/>
  <c r="AZ10" i="7"/>
  <c r="AZ11" i="7" s="1"/>
  <c r="AS26" i="7"/>
  <c r="AS28" i="7" s="1"/>
  <c r="AS33" i="7"/>
  <c r="AY10" i="7"/>
  <c r="AY11" i="7" s="1"/>
  <c r="N26" i="7"/>
  <c r="K26" i="7"/>
  <c r="K27" i="7" s="1"/>
  <c r="J26" i="7"/>
  <c r="I26" i="7"/>
  <c r="H26" i="7"/>
  <c r="G26" i="7"/>
  <c r="G28" i="7" s="1"/>
  <c r="F26" i="7"/>
  <c r="AX80" i="7"/>
  <c r="AX82" i="7" s="1"/>
  <c r="AW33" i="7"/>
  <c r="AW34" i="7" s="1"/>
  <c r="BI10" i="7"/>
  <c r="BI11" i="7" s="1"/>
  <c r="BJ53" i="7"/>
  <c r="AX53" i="7"/>
  <c r="AX55" i="7" s="1"/>
  <c r="AW12" i="15" s="1"/>
  <c r="D10" i="7"/>
  <c r="D12" i="7" s="1"/>
  <c r="Z10" i="7"/>
  <c r="Z11" i="7" s="1"/>
  <c r="AN53" i="7"/>
  <c r="AN55" i="7" s="1"/>
  <c r="AM12" i="15" s="1"/>
  <c r="AO53" i="7"/>
  <c r="AP53" i="7"/>
  <c r="AP10" i="7"/>
  <c r="AP12" i="7" s="1"/>
  <c r="AR53" i="7"/>
  <c r="AR54" i="7" s="1"/>
  <c r="AS53" i="7"/>
  <c r="CJ89" i="7"/>
  <c r="CK41" i="2"/>
  <c r="CJ41" i="7"/>
  <c r="M33" i="7"/>
  <c r="M34" i="7" s="1"/>
  <c r="E10" i="7"/>
  <c r="E11" i="7" s="1"/>
  <c r="F10" i="7"/>
  <c r="CD73" i="7"/>
  <c r="CD75" i="7" s="1"/>
  <c r="CC6" i="24" s="1"/>
  <c r="AC33" i="7"/>
  <c r="AC34" i="7" s="1"/>
  <c r="N63" i="7"/>
  <c r="N64" i="7" s="1"/>
  <c r="L63" i="7"/>
  <c r="L64" i="7" s="1"/>
  <c r="J18" i="7"/>
  <c r="BP53" i="7"/>
  <c r="BP54" i="7" s="1"/>
  <c r="CC87" i="7"/>
  <c r="CC89" i="7" s="1"/>
  <c r="CH89" i="7"/>
  <c r="BN54" i="5"/>
  <c r="BN82" i="5"/>
  <c r="BQ82" i="5"/>
  <c r="BT55" i="5"/>
  <c r="BS9" i="15" s="1"/>
  <c r="BV82" i="5"/>
  <c r="BT82" i="5"/>
  <c r="AR80" i="7"/>
  <c r="AP80" i="7"/>
  <c r="AS57" i="5"/>
  <c r="AL57" i="5"/>
  <c r="AB81" i="5"/>
  <c r="AA64" i="5"/>
  <c r="AJ57" i="5"/>
  <c r="AG65" i="5"/>
  <c r="AF9" i="14" s="1"/>
  <c r="AI65" i="5"/>
  <c r="AH9" i="14" s="1"/>
  <c r="AA67" i="5"/>
  <c r="AA81" i="5"/>
  <c r="AF54" i="5"/>
  <c r="AF81" i="5"/>
  <c r="AG64" i="5"/>
  <c r="AL64" i="5"/>
  <c r="AL81" i="5"/>
  <c r="AK87" i="5"/>
  <c r="AK57" i="5"/>
  <c r="AF57" i="5"/>
  <c r="AB57" i="5"/>
  <c r="R75" i="5"/>
  <c r="S82" i="5"/>
  <c r="O64" i="5"/>
  <c r="P54" i="5"/>
  <c r="T54" i="5"/>
  <c r="Z82" i="5"/>
  <c r="W82" i="5"/>
  <c r="U82" i="5"/>
  <c r="W64" i="5"/>
  <c r="Y54" i="5"/>
  <c r="X57" i="5"/>
  <c r="T57" i="5"/>
  <c r="P57" i="5"/>
  <c r="D74" i="5"/>
  <c r="H74" i="5"/>
  <c r="L74" i="5"/>
  <c r="D81" i="5"/>
  <c r="H81" i="5"/>
  <c r="L81" i="5"/>
  <c r="E89" i="5"/>
  <c r="G89" i="5"/>
  <c r="E85" i="7"/>
  <c r="F85" i="7"/>
  <c r="G85" i="7"/>
  <c r="H85" i="7"/>
  <c r="I85" i="7"/>
  <c r="J85" i="7"/>
  <c r="K85" i="7"/>
  <c r="N53" i="7"/>
  <c r="N57" i="5"/>
  <c r="J57" i="5"/>
  <c r="F57" i="5"/>
  <c r="E53" i="7"/>
  <c r="E54" i="7" s="1"/>
  <c r="F53" i="7"/>
  <c r="F63" i="7"/>
  <c r="F65" i="7" s="1"/>
  <c r="E12" i="14" s="1"/>
  <c r="D63" i="7"/>
  <c r="D64" i="7" s="1"/>
  <c r="CJ89" i="1"/>
  <c r="M38" i="7"/>
  <c r="AO33" i="7"/>
  <c r="AA10" i="7"/>
  <c r="AI80" i="7"/>
  <c r="AI33" i="7"/>
  <c r="N18" i="7"/>
  <c r="H63" i="7"/>
  <c r="H65" i="7" s="1"/>
  <c r="G12" i="14" s="1"/>
  <c r="F18" i="7"/>
  <c r="BN33" i="7"/>
  <c r="CB75" i="1"/>
  <c r="AA33" i="7"/>
  <c r="AB33" i="7"/>
  <c r="S53" i="7"/>
  <c r="T10" i="7"/>
  <c r="AE10" i="7"/>
  <c r="AJ10" i="7"/>
  <c r="BF10" i="7"/>
  <c r="BE53" i="7"/>
  <c r="BE54" i="7" s="1"/>
  <c r="BK10" i="7"/>
  <c r="BM53" i="7"/>
  <c r="BL53" i="7"/>
  <c r="BK53" i="7"/>
  <c r="BK55" i="7" s="1"/>
  <c r="BJ12" i="15" s="1"/>
  <c r="BN80" i="7"/>
  <c r="BN82" i="7" s="1"/>
  <c r="BO10" i="7"/>
  <c r="BN10" i="7"/>
  <c r="M80" i="7"/>
  <c r="AE33" i="7"/>
  <c r="AE35" i="7" s="1"/>
  <c r="AD8" i="26" s="1"/>
  <c r="H10" i="7"/>
  <c r="K53" i="7"/>
  <c r="L10" i="7"/>
  <c r="L53" i="7"/>
  <c r="M10" i="7"/>
  <c r="M12" i="7" s="1"/>
  <c r="AU53" i="7"/>
  <c r="L18" i="7"/>
  <c r="H18" i="7"/>
  <c r="D18" i="7"/>
  <c r="BI53" i="7"/>
  <c r="BI54" i="7" s="1"/>
  <c r="CE73" i="7"/>
  <c r="CE74" i="7" s="1"/>
  <c r="CC40" i="7"/>
  <c r="CC41" i="7" s="1"/>
  <c r="CC73" i="7"/>
  <c r="CC74" i="7" s="1"/>
  <c r="CE87" i="7"/>
  <c r="CE89" i="7" s="1"/>
  <c r="CE40" i="7"/>
  <c r="CE41" i="7" s="1"/>
  <c r="CD40" i="7"/>
  <c r="CD42" i="7" s="1"/>
  <c r="AQ27" i="1"/>
  <c r="CA67" i="1"/>
  <c r="P67" i="1"/>
  <c r="R82" i="1"/>
  <c r="T35" i="1"/>
  <c r="S28" i="1"/>
  <c r="R20" i="1"/>
  <c r="Q5" i="13" s="1"/>
  <c r="R87" i="1"/>
  <c r="S67" i="1"/>
  <c r="Y28" i="1"/>
  <c r="X35" i="1"/>
  <c r="X65" i="1"/>
  <c r="W5" i="14" s="1"/>
  <c r="Z40" i="1"/>
  <c r="X40" i="1"/>
  <c r="AC27" i="1"/>
  <c r="AC34" i="1"/>
  <c r="AC80" i="7"/>
  <c r="AA74" i="1"/>
  <c r="AL74" i="1"/>
  <c r="AC87" i="1"/>
  <c r="AD33" i="7"/>
  <c r="AD80" i="7"/>
  <c r="AE80" i="7"/>
  <c r="AF80" i="7"/>
  <c r="AF81" i="7" s="1"/>
  <c r="AF87" i="1"/>
  <c r="AG35" i="1"/>
  <c r="AG33" i="7"/>
  <c r="AI40" i="1"/>
  <c r="AK80" i="7"/>
  <c r="AN33" i="7"/>
  <c r="AO87" i="1"/>
  <c r="AT35" i="1"/>
  <c r="AS57" i="1"/>
  <c r="AL57" i="1"/>
  <c r="AH57" i="1"/>
  <c r="AD57" i="1"/>
  <c r="Z57" i="1"/>
  <c r="V57" i="1"/>
  <c r="R57" i="1"/>
  <c r="U10" i="7"/>
  <c r="AC10" i="7"/>
  <c r="AF53" i="7"/>
  <c r="AI10" i="7"/>
  <c r="AK10" i="7"/>
  <c r="AK53" i="7"/>
  <c r="AK54" i="7" s="1"/>
  <c r="AN10" i="7"/>
  <c r="AQ53" i="7"/>
  <c r="AQ55" i="7" s="1"/>
  <c r="AP12" i="15" s="1"/>
  <c r="AQ10" i="7"/>
  <c r="AT10" i="7"/>
  <c r="AV53" i="7"/>
  <c r="BC67" i="1"/>
  <c r="BJ10" i="7"/>
  <c r="BJ12" i="7" s="1"/>
  <c r="BL33" i="7"/>
  <c r="BM80" i="7"/>
  <c r="BM10" i="7"/>
  <c r="BM12" i="7" s="1"/>
  <c r="BL10" i="7"/>
  <c r="BP33" i="7"/>
  <c r="BP19" i="1"/>
  <c r="BN82" i="1"/>
  <c r="BS33" i="7"/>
  <c r="BQ33" i="7"/>
  <c r="BQ34" i="7" s="1"/>
  <c r="BR12" i="1"/>
  <c r="BQ5" i="8" s="1"/>
  <c r="BR20" i="1"/>
  <c r="BQ5" i="13" s="1"/>
  <c r="BS57" i="1"/>
  <c r="BR57" i="1"/>
  <c r="BQ57" i="1"/>
  <c r="BV33" i="7"/>
  <c r="BT33" i="7"/>
  <c r="BU12" i="1"/>
  <c r="BT5" i="8" s="1"/>
  <c r="BV57" i="1"/>
  <c r="BT35" i="1"/>
  <c r="BZ57" i="1"/>
  <c r="O34" i="1"/>
  <c r="O81" i="1"/>
  <c r="Q33" i="7"/>
  <c r="S87" i="1"/>
  <c r="T40" i="1"/>
  <c r="W40" i="1"/>
  <c r="W87" i="1"/>
  <c r="AB67" i="1"/>
  <c r="AI67" i="1"/>
  <c r="AT33" i="7"/>
  <c r="Q53" i="7"/>
  <c r="Q55" i="7" s="1"/>
  <c r="P12" i="15" s="1"/>
  <c r="BG11" i="1"/>
  <c r="BC11" i="1"/>
  <c r="AY11" i="1"/>
  <c r="BI57" i="1"/>
  <c r="BE57" i="1"/>
  <c r="BA57" i="1"/>
  <c r="AZ53" i="7"/>
  <c r="AY53" i="7"/>
  <c r="BB53" i="7"/>
  <c r="BB54" i="7" s="1"/>
  <c r="BD10" i="7"/>
  <c r="CD87" i="7"/>
  <c r="CD88" i="7" s="1"/>
  <c r="BZ87" i="1"/>
  <c r="BZ88" i="1" s="1"/>
  <c r="CA75" i="1"/>
  <c r="BZ75" i="1"/>
  <c r="CB87" i="1"/>
  <c r="CB88" i="1" s="1"/>
  <c r="CA65" i="1"/>
  <c r="BZ5" i="14" s="1"/>
  <c r="CA64" i="1"/>
  <c r="CB67" i="1"/>
  <c r="BZ53" i="7"/>
  <c r="BZ55" i="7" s="1"/>
  <c r="BY12" i="15" s="1"/>
  <c r="BZ55" i="1"/>
  <c r="BY5" i="15" s="1"/>
  <c r="BZ54" i="1"/>
  <c r="BZ81" i="5"/>
  <c r="CB81" i="5"/>
  <c r="BZ54" i="5"/>
  <c r="CB54" i="5"/>
  <c r="CA34" i="5"/>
  <c r="CB40" i="5"/>
  <c r="CB42" i="5" s="1"/>
  <c r="CB17" i="7"/>
  <c r="BZ57" i="5"/>
  <c r="CB57" i="5"/>
  <c r="CA57" i="5"/>
  <c r="CA11" i="5"/>
  <c r="CA81" i="5"/>
  <c r="BZ64" i="5"/>
  <c r="CB64" i="5"/>
  <c r="CA55" i="5"/>
  <c r="BZ9" i="15" s="1"/>
  <c r="CA54" i="5"/>
  <c r="BZ35" i="5"/>
  <c r="CB35" i="5"/>
  <c r="CA27" i="5"/>
  <c r="BZ28" i="5"/>
  <c r="CB28" i="5"/>
  <c r="CA19" i="5"/>
  <c r="BZ12" i="5"/>
  <c r="BY9" i="8" s="1"/>
  <c r="CB12" i="5"/>
  <c r="CA9" i="8" s="1"/>
  <c r="CB67" i="4"/>
  <c r="CB57" i="4"/>
  <c r="CA57" i="4"/>
  <c r="BZ57" i="4"/>
  <c r="CA74" i="6"/>
  <c r="CA67" i="6"/>
  <c r="CA65" i="6"/>
  <c r="BZ8" i="14" s="1"/>
  <c r="CA55" i="6"/>
  <c r="BZ8" i="15" s="1"/>
  <c r="CA54" i="6"/>
  <c r="BZ57" i="6"/>
  <c r="CB67" i="6"/>
  <c r="B5" i="17"/>
  <c r="B9" i="17" s="1"/>
  <c r="B8" i="17"/>
  <c r="G5" i="17"/>
  <c r="G9" i="17" s="1"/>
  <c r="G8" i="17"/>
  <c r="E5" i="17"/>
  <c r="E9" i="17" s="1"/>
  <c r="E8" i="17"/>
  <c r="C5" i="17"/>
  <c r="C9" i="17" s="1"/>
  <c r="C8" i="17"/>
  <c r="R81" i="6"/>
  <c r="CA65" i="2"/>
  <c r="BZ6" i="14" s="1"/>
  <c r="BY64" i="2"/>
  <c r="H5" i="17"/>
  <c r="H9" i="17" s="1"/>
  <c r="H8" i="17"/>
  <c r="F5" i="17"/>
  <c r="F9" i="17" s="1"/>
  <c r="F8" i="17"/>
  <c r="D5" i="17"/>
  <c r="D9" i="17" s="1"/>
  <c r="D8" i="17"/>
  <c r="T34" i="6"/>
  <c r="T35" i="6"/>
  <c r="S27" i="6"/>
  <c r="S28" i="6"/>
  <c r="S80" i="6"/>
  <c r="S81" i="6" s="1"/>
  <c r="AO87" i="2"/>
  <c r="CB20" i="6"/>
  <c r="CA8" i="13" s="1"/>
  <c r="BU75" i="1"/>
  <c r="BR40" i="6"/>
  <c r="BK20" i="6"/>
  <c r="BJ8" i="13" s="1"/>
  <c r="M74" i="4"/>
  <c r="C27" i="1"/>
  <c r="E27" i="1"/>
  <c r="G27" i="1"/>
  <c r="I27" i="1"/>
  <c r="K27" i="1"/>
  <c r="M27" i="1"/>
  <c r="J74" i="1"/>
  <c r="J27" i="2"/>
  <c r="J74" i="2"/>
  <c r="J27" i="4"/>
  <c r="D74" i="4"/>
  <c r="F74" i="4"/>
  <c r="H74" i="4"/>
  <c r="J74" i="4"/>
  <c r="C81" i="4"/>
  <c r="E81" i="4"/>
  <c r="G81" i="4"/>
  <c r="I81" i="4"/>
  <c r="K81" i="4"/>
  <c r="M81" i="4"/>
  <c r="C74" i="5"/>
  <c r="E74" i="5"/>
  <c r="G74" i="5"/>
  <c r="I74" i="5"/>
  <c r="K74" i="5"/>
  <c r="M74" i="5"/>
  <c r="C81" i="5"/>
  <c r="E81" i="5"/>
  <c r="G81" i="5"/>
  <c r="I81" i="5"/>
  <c r="K81" i="5"/>
  <c r="M81" i="5"/>
  <c r="C27" i="6"/>
  <c r="E27" i="6"/>
  <c r="G27" i="6"/>
  <c r="I27" i="6"/>
  <c r="K27" i="6"/>
  <c r="M27" i="6"/>
  <c r="C34" i="6"/>
  <c r="E34" i="6"/>
  <c r="G34" i="6"/>
  <c r="I34" i="6"/>
  <c r="K34" i="6"/>
  <c r="M34" i="6"/>
  <c r="C74" i="6"/>
  <c r="E74" i="6"/>
  <c r="G74" i="6"/>
  <c r="I74" i="6"/>
  <c r="K74" i="6"/>
  <c r="M74" i="6"/>
  <c r="E81" i="6"/>
  <c r="G81" i="6"/>
  <c r="I81" i="6"/>
  <c r="K81" i="6"/>
  <c r="M81" i="6"/>
  <c r="L27" i="5"/>
  <c r="C33" i="7"/>
  <c r="D33" i="7"/>
  <c r="D34" i="7" s="1"/>
  <c r="F33" i="7"/>
  <c r="F34" i="7" s="1"/>
  <c r="H33" i="7"/>
  <c r="H34" i="7" s="1"/>
  <c r="J33" i="7"/>
  <c r="J35" i="7" s="1"/>
  <c r="I8" i="26" s="1"/>
  <c r="L80" i="7"/>
  <c r="L82" i="7" s="1"/>
  <c r="L33" i="7"/>
  <c r="L34" i="7" s="1"/>
  <c r="M26" i="7"/>
  <c r="E26" i="7"/>
  <c r="D26" i="7"/>
  <c r="P27" i="2"/>
  <c r="O34" i="2"/>
  <c r="P81" i="2"/>
  <c r="O81" i="4"/>
  <c r="Q27" i="5"/>
  <c r="Q34" i="5"/>
  <c r="Q81" i="5"/>
  <c r="P34" i="6"/>
  <c r="O81" i="6"/>
  <c r="P33" i="7"/>
  <c r="Q80" i="7"/>
  <c r="Q81" i="7" s="1"/>
  <c r="T82" i="5"/>
  <c r="R28" i="5"/>
  <c r="T72" i="7"/>
  <c r="R72" i="7"/>
  <c r="T28" i="6"/>
  <c r="T27" i="6"/>
  <c r="S80" i="4"/>
  <c r="S79" i="7"/>
  <c r="V87" i="5"/>
  <c r="AN75" i="2"/>
  <c r="AN74" i="2"/>
  <c r="AC40" i="5"/>
  <c r="AR81" i="4"/>
  <c r="AR82" i="4"/>
  <c r="AV87" i="2"/>
  <c r="R28" i="1"/>
  <c r="V28" i="1"/>
  <c r="T19" i="2"/>
  <c r="V27" i="2"/>
  <c r="V31" i="7"/>
  <c r="V33" i="7" s="1"/>
  <c r="W34" i="6"/>
  <c r="W20" i="2"/>
  <c r="V6" i="13" s="1"/>
  <c r="V20" i="1"/>
  <c r="U5" i="13" s="1"/>
  <c r="X86" i="6"/>
  <c r="Y67" i="1"/>
  <c r="AA34" i="5"/>
  <c r="AB27" i="1"/>
  <c r="AA34" i="1"/>
  <c r="AB27" i="2"/>
  <c r="AC20" i="2"/>
  <c r="AB6" i="13" s="1"/>
  <c r="AD81" i="5"/>
  <c r="AD27" i="1"/>
  <c r="AD34" i="1"/>
  <c r="AE34" i="6"/>
  <c r="AD35" i="4"/>
  <c r="AF82" i="4"/>
  <c r="AF33" i="7"/>
  <c r="AD72" i="7"/>
  <c r="AH82" i="6"/>
  <c r="AH35" i="5"/>
  <c r="AH67" i="2"/>
  <c r="AO80" i="7"/>
  <c r="AP81" i="6"/>
  <c r="AP82" i="6"/>
  <c r="U80" i="7"/>
  <c r="U81" i="7" s="1"/>
  <c r="U33" i="7"/>
  <c r="U34" i="7" s="1"/>
  <c r="AC74" i="1"/>
  <c r="AJ74" i="1"/>
  <c r="AH80" i="7"/>
  <c r="AH33" i="7"/>
  <c r="AH75" i="2"/>
  <c r="AL82" i="4"/>
  <c r="AJ28" i="1"/>
  <c r="AJ35" i="1"/>
  <c r="AL74" i="2"/>
  <c r="AK26" i="5"/>
  <c r="AJ38" i="5"/>
  <c r="AK39" i="5"/>
  <c r="AJ73" i="5"/>
  <c r="AK81" i="5"/>
  <c r="AM28" i="6"/>
  <c r="AN35" i="6"/>
  <c r="AO34" i="6"/>
  <c r="AM82" i="6"/>
  <c r="AO28" i="5"/>
  <c r="AO34" i="5"/>
  <c r="AM82" i="5"/>
  <c r="AM28" i="2"/>
  <c r="AP28" i="1"/>
  <c r="AN75" i="1"/>
  <c r="AO72" i="7"/>
  <c r="AO73" i="7" s="1"/>
  <c r="BA64" i="4"/>
  <c r="BA64" i="6"/>
  <c r="BA65" i="6"/>
  <c r="AZ8" i="14" s="1"/>
  <c r="AY64" i="6"/>
  <c r="AY65" i="6"/>
  <c r="AX8" i="14" s="1"/>
  <c r="AQ40" i="5"/>
  <c r="AQ41" i="5" s="1"/>
  <c r="AX24" i="7"/>
  <c r="O10" i="7"/>
  <c r="O12" i="7" s="1"/>
  <c r="Z53" i="7"/>
  <c r="O61" i="7"/>
  <c r="BM20" i="5"/>
  <c r="BL9" i="13" s="1"/>
  <c r="AP73" i="2"/>
  <c r="AQ85" i="4"/>
  <c r="AQ33" i="7"/>
  <c r="AP64" i="5"/>
  <c r="AR25" i="7"/>
  <c r="AS28" i="6"/>
  <c r="AT73" i="2"/>
  <c r="AS20" i="2"/>
  <c r="AR6" i="13" s="1"/>
  <c r="AU26" i="1"/>
  <c r="AT80" i="7"/>
  <c r="AX35" i="1"/>
  <c r="AX82" i="1"/>
  <c r="AV82" i="2"/>
  <c r="AV35" i="2"/>
  <c r="AV19" i="2"/>
  <c r="AV82" i="5"/>
  <c r="AX75" i="5"/>
  <c r="AV73" i="5"/>
  <c r="AX34" i="5"/>
  <c r="AV28" i="5"/>
  <c r="AX19" i="5"/>
  <c r="AX28" i="6"/>
  <c r="AV35" i="6"/>
  <c r="AV73" i="6"/>
  <c r="AV82" i="6"/>
  <c r="AX35" i="4"/>
  <c r="AX82" i="4"/>
  <c r="AV81" i="4"/>
  <c r="AW85" i="1"/>
  <c r="AW80" i="7"/>
  <c r="AX33" i="7"/>
  <c r="AR57" i="2"/>
  <c r="AL57" i="2"/>
  <c r="AJ57" i="2"/>
  <c r="AW57" i="1"/>
  <c r="AO57" i="1"/>
  <c r="AM57" i="1"/>
  <c r="AW57" i="4"/>
  <c r="AQ57" i="4"/>
  <c r="AO57" i="5"/>
  <c r="AX10" i="7"/>
  <c r="G53" i="7"/>
  <c r="K10" i="7"/>
  <c r="N10" i="7"/>
  <c r="O53" i="7"/>
  <c r="O54" i="7" s="1"/>
  <c r="R53" i="7"/>
  <c r="S10" i="7"/>
  <c r="S11" i="7" s="1"/>
  <c r="Y53" i="7"/>
  <c r="AB10" i="7"/>
  <c r="AB11" i="7" s="1"/>
  <c r="AB53" i="7"/>
  <c r="AB54" i="7" s="1"/>
  <c r="AD10" i="7"/>
  <c r="AD11" i="7" s="1"/>
  <c r="AD53" i="7"/>
  <c r="AD55" i="7" s="1"/>
  <c r="AC12" i="15" s="1"/>
  <c r="AF10" i="7"/>
  <c r="AF12" i="7" s="1"/>
  <c r="AL53" i="7"/>
  <c r="AO10" i="7"/>
  <c r="AO12" i="7" s="1"/>
  <c r="AR10" i="7"/>
  <c r="AR11" i="7" s="1"/>
  <c r="AT53" i="7"/>
  <c r="AT54" i="7" s="1"/>
  <c r="AW53" i="7"/>
  <c r="AW54" i="7" s="1"/>
  <c r="AY63" i="2"/>
  <c r="BA55" i="1"/>
  <c r="AZ5" i="15" s="1"/>
  <c r="BI54" i="1"/>
  <c r="BE54" i="1"/>
  <c r="BA54" i="1"/>
  <c r="AZ67" i="1"/>
  <c r="BC64" i="6"/>
  <c r="BA53" i="7"/>
  <c r="BC82" i="2"/>
  <c r="BD81" i="2"/>
  <c r="BC35" i="2"/>
  <c r="BD34" i="2"/>
  <c r="BD12" i="2"/>
  <c r="BC6" i="8" s="1"/>
  <c r="BC38" i="2"/>
  <c r="BK39" i="5"/>
  <c r="BK40" i="5" s="1"/>
  <c r="BK41" i="5" s="1"/>
  <c r="M18" i="7"/>
  <c r="M63" i="7"/>
  <c r="M64" i="7" s="1"/>
  <c r="K18" i="7"/>
  <c r="K63" i="7"/>
  <c r="I18" i="7"/>
  <c r="I63" i="7"/>
  <c r="G18" i="7"/>
  <c r="G63" i="7"/>
  <c r="E18" i="7"/>
  <c r="E63" i="7"/>
  <c r="AY82" i="2"/>
  <c r="BC53" i="7"/>
  <c r="BC55" i="7" s="1"/>
  <c r="BB12" i="15" s="1"/>
  <c r="BG12" i="2"/>
  <c r="BF6" i="8" s="1"/>
  <c r="BG10" i="7"/>
  <c r="BG53" i="7"/>
  <c r="BG55" i="7" s="1"/>
  <c r="BF12" i="15" s="1"/>
  <c r="BI18" i="2"/>
  <c r="BH10" i="7"/>
  <c r="BL82" i="5"/>
  <c r="BL82" i="1"/>
  <c r="BK80" i="7"/>
  <c r="BU82" i="4"/>
  <c r="BO82" i="4"/>
  <c r="BM82" i="4"/>
  <c r="BK82" i="4"/>
  <c r="BV67" i="4"/>
  <c r="BS75" i="2"/>
  <c r="BV57" i="2"/>
  <c r="BP80" i="7"/>
  <c r="BO11" i="1"/>
  <c r="BN20" i="1"/>
  <c r="BM5" i="13" s="1"/>
  <c r="BN55" i="1"/>
  <c r="BM5" i="15" s="1"/>
  <c r="BN63" i="1"/>
  <c r="BP82" i="1"/>
  <c r="BN28" i="6"/>
  <c r="BP35" i="6"/>
  <c r="BP82" i="6"/>
  <c r="BP85" i="6"/>
  <c r="BP10" i="7"/>
  <c r="BN53" i="7"/>
  <c r="BR82" i="6"/>
  <c r="BQ35" i="6"/>
  <c r="BS28" i="6"/>
  <c r="BS55" i="5"/>
  <c r="BR9" i="15" s="1"/>
  <c r="BR63" i="5"/>
  <c r="BS10" i="7"/>
  <c r="BS12" i="7" s="1"/>
  <c r="BS35" i="1"/>
  <c r="BT11" i="6"/>
  <c r="BT27" i="6"/>
  <c r="BU34" i="6"/>
  <c r="BW18" i="4"/>
  <c r="BW19" i="4" s="1"/>
  <c r="BX18" i="4"/>
  <c r="BX19" i="4" s="1"/>
  <c r="BY18" i="4"/>
  <c r="BY19" i="4" s="1"/>
  <c r="BW26" i="4"/>
  <c r="BW27" i="4" s="1"/>
  <c r="BX26" i="4"/>
  <c r="BX27" i="4" s="1"/>
  <c r="BY26" i="4"/>
  <c r="BY27" i="4" s="1"/>
  <c r="BZ40" i="4"/>
  <c r="CB87" i="4"/>
  <c r="BX39" i="4"/>
  <c r="BX12" i="6"/>
  <c r="BW8" i="8" s="1"/>
  <c r="CB12" i="6"/>
  <c r="CA8" i="8" s="1"/>
  <c r="BU57" i="1"/>
  <c r="BT57" i="1"/>
  <c r="BU82" i="1"/>
  <c r="BX12" i="5"/>
  <c r="BW9" i="8" s="1"/>
  <c r="L38" i="7"/>
  <c r="N33" i="7"/>
  <c r="L26" i="7"/>
  <c r="CA53" i="7"/>
  <c r="CA54" i="7" s="1"/>
  <c r="CA80" i="7"/>
  <c r="CA81" i="7" s="1"/>
  <c r="BZ64" i="2"/>
  <c r="CB65" i="2"/>
  <c r="CA6" i="14" s="1"/>
  <c r="CB67" i="2"/>
  <c r="CH41" i="7" l="1"/>
  <c r="D89" i="5"/>
  <c r="F89" i="5"/>
  <c r="AB74" i="5"/>
  <c r="BC35" i="7"/>
  <c r="BB8" i="26" s="1"/>
  <c r="BA87" i="1"/>
  <c r="BA85" i="7"/>
  <c r="BQ42" i="6"/>
  <c r="K89" i="5"/>
  <c r="V74" i="5"/>
  <c r="AB86" i="7"/>
  <c r="AK74" i="5"/>
  <c r="BC75" i="4"/>
  <c r="AQ75" i="4"/>
  <c r="R74" i="4"/>
  <c r="BI87" i="2"/>
  <c r="BS40" i="2"/>
  <c r="H88" i="1"/>
  <c r="AQ75" i="1"/>
  <c r="CA27" i="1"/>
  <c r="AX40" i="1"/>
  <c r="AX41" i="1" s="1"/>
  <c r="BM40" i="1"/>
  <c r="BM42" i="1" s="1"/>
  <c r="BH86" i="7"/>
  <c r="U74" i="5"/>
  <c r="BB74" i="5"/>
  <c r="AN74" i="5"/>
  <c r="I89" i="5"/>
  <c r="BX87" i="5"/>
  <c r="BX88" i="5" s="1"/>
  <c r="BH74" i="5"/>
  <c r="BL40" i="2"/>
  <c r="BL41" i="2" s="1"/>
  <c r="CB27" i="1"/>
  <c r="CK89" i="7"/>
  <c r="BH26" i="7"/>
  <c r="BH27" i="7" s="1"/>
  <c r="BN75" i="4"/>
  <c r="BN87" i="4"/>
  <c r="BI87" i="1"/>
  <c r="K88" i="1"/>
  <c r="BY39" i="7"/>
  <c r="BE87" i="5"/>
  <c r="BE89" i="5" s="1"/>
  <c r="AX26" i="7"/>
  <c r="AX27" i="7" s="1"/>
  <c r="BS28" i="2"/>
  <c r="BP74" i="1"/>
  <c r="BE87" i="1"/>
  <c r="BE88" i="1" s="1"/>
  <c r="F88" i="1"/>
  <c r="BW87" i="1"/>
  <c r="BW88" i="1" s="1"/>
  <c r="AM87" i="6"/>
  <c r="AM88" i="6" s="1"/>
  <c r="AJ87" i="6"/>
  <c r="AJ88" i="6" s="1"/>
  <c r="BK75" i="6"/>
  <c r="BD87" i="6"/>
  <c r="BD88" i="6" s="1"/>
  <c r="AD75" i="6"/>
  <c r="BQ26" i="7"/>
  <c r="BQ28" i="7" s="1"/>
  <c r="BH28" i="6"/>
  <c r="AN26" i="7"/>
  <c r="AN27" i="7" s="1"/>
  <c r="BV75" i="1"/>
  <c r="I88" i="1"/>
  <c r="AJ74" i="6"/>
  <c r="AB73" i="7"/>
  <c r="AB74" i="7" s="1"/>
  <c r="BT73" i="7"/>
  <c r="BT74" i="7" s="1"/>
  <c r="BF73" i="7"/>
  <c r="BF74" i="7" s="1"/>
  <c r="AO74" i="5"/>
  <c r="AR75" i="5"/>
  <c r="AP26" i="7"/>
  <c r="AP27" i="7" s="1"/>
  <c r="BG40" i="1"/>
  <c r="BG41" i="1" s="1"/>
  <c r="AB74" i="6"/>
  <c r="BQ87" i="6"/>
  <c r="BQ86" i="7"/>
  <c r="AS86" i="7"/>
  <c r="BI26" i="7"/>
  <c r="BI28" i="7" s="1"/>
  <c r="BH5" i="24" s="1"/>
  <c r="T74" i="4"/>
  <c r="AX87" i="4"/>
  <c r="AX88" i="4" s="1"/>
  <c r="BK87" i="4"/>
  <c r="BK75" i="4"/>
  <c r="AX74" i="4"/>
  <c r="CC67" i="7"/>
  <c r="AI27" i="5"/>
  <c r="AE73" i="7"/>
  <c r="AE75" i="7" s="1"/>
  <c r="AD6" i="24" s="1"/>
  <c r="AL73" i="7"/>
  <c r="AL74" i="7" s="1"/>
  <c r="AZ75" i="2"/>
  <c r="AY39" i="7"/>
  <c r="BY40" i="1"/>
  <c r="AM57" i="5"/>
  <c r="U39" i="4"/>
  <c r="U42" i="4" s="1"/>
  <c r="BI87" i="6"/>
  <c r="BI88" i="6" s="1"/>
  <c r="BG20" i="5"/>
  <c r="BF9" i="13" s="1"/>
  <c r="AM87" i="4"/>
  <c r="AM88" i="4" s="1"/>
  <c r="AZ87" i="1"/>
  <c r="AZ88" i="1" s="1"/>
  <c r="BI64" i="2"/>
  <c r="BI65" i="2"/>
  <c r="BH6" i="14" s="1"/>
  <c r="BF20" i="5"/>
  <c r="BE9" i="13" s="1"/>
  <c r="BF19" i="5"/>
  <c r="U20" i="5"/>
  <c r="T9" i="13" s="1"/>
  <c r="U67" i="5"/>
  <c r="U19" i="5"/>
  <c r="BQ19" i="5"/>
  <c r="BQ20" i="5"/>
  <c r="BP9" i="13" s="1"/>
  <c r="BQ67" i="5"/>
  <c r="BE20" i="2"/>
  <c r="BD6" i="13" s="1"/>
  <c r="BE19" i="2"/>
  <c r="BF65" i="2"/>
  <c r="BE6" i="14" s="1"/>
  <c r="BF64" i="2"/>
  <c r="BE20" i="6"/>
  <c r="BD8" i="13" s="1"/>
  <c r="AB85" i="7"/>
  <c r="T67" i="5"/>
  <c r="BO64" i="6"/>
  <c r="AM74" i="4"/>
  <c r="Q67" i="4"/>
  <c r="BN64" i="4"/>
  <c r="BN67" i="4"/>
  <c r="BN20" i="4"/>
  <c r="BM7" i="13" s="1"/>
  <c r="BN19" i="4"/>
  <c r="BO67" i="6"/>
  <c r="T20" i="5"/>
  <c r="S9" i="13" s="1"/>
  <c r="BR26" i="7"/>
  <c r="BR27" i="7" s="1"/>
  <c r="AY65" i="4"/>
  <c r="AX7" i="14" s="1"/>
  <c r="AF64" i="4"/>
  <c r="BH65" i="5"/>
  <c r="BG9" i="14" s="1"/>
  <c r="BH64" i="5"/>
  <c r="S74" i="4"/>
  <c r="BG67" i="5"/>
  <c r="X17" i="7"/>
  <c r="X18" i="7" s="1"/>
  <c r="X19" i="7" s="1"/>
  <c r="BI87" i="4"/>
  <c r="BI88" i="4" s="1"/>
  <c r="Q64" i="4"/>
  <c r="AF67" i="4"/>
  <c r="BR67" i="4"/>
  <c r="AQ67" i="5"/>
  <c r="AU19" i="6"/>
  <c r="CB26" i="7"/>
  <c r="CB28" i="7" s="1"/>
  <c r="CA5" i="24" s="1"/>
  <c r="AW20" i="5"/>
  <c r="AV9" i="13" s="1"/>
  <c r="AW19" i="5"/>
  <c r="AW67" i="5"/>
  <c r="BI64" i="1"/>
  <c r="BI65" i="1"/>
  <c r="BH5" i="14" s="1"/>
  <c r="BZ20" i="1"/>
  <c r="BY5" i="13" s="1"/>
  <c r="U20" i="4"/>
  <c r="T7" i="13" s="1"/>
  <c r="AZ20" i="4"/>
  <c r="AY7" i="13" s="1"/>
  <c r="BB28" i="1"/>
  <c r="AL20" i="4"/>
  <c r="AK7" i="13" s="1"/>
  <c r="AJ67" i="6"/>
  <c r="AD20" i="4"/>
  <c r="AC7" i="13" s="1"/>
  <c r="AD19" i="4"/>
  <c r="Z20" i="6"/>
  <c r="Y8" i="13" s="1"/>
  <c r="Z19" i="6"/>
  <c r="BR65" i="4"/>
  <c r="BQ7" i="14" s="1"/>
  <c r="BQ67" i="1"/>
  <c r="AI67" i="4"/>
  <c r="AI65" i="4"/>
  <c r="AH7" i="14" s="1"/>
  <c r="AC38" i="7"/>
  <c r="AP65" i="5"/>
  <c r="AO9" i="14" s="1"/>
  <c r="AP67" i="5"/>
  <c r="Z20" i="5"/>
  <c r="Y9" i="13" s="1"/>
  <c r="Z19" i="5"/>
  <c r="BX20" i="5"/>
  <c r="BW9" i="13" s="1"/>
  <c r="BX19" i="5"/>
  <c r="AQ19" i="5"/>
  <c r="BZ67" i="1"/>
  <c r="BE67" i="6"/>
  <c r="BF63" i="7"/>
  <c r="AM12" i="5"/>
  <c r="AL9" i="8" s="1"/>
  <c r="AU67" i="6"/>
  <c r="BO75" i="1"/>
  <c r="BV64" i="1"/>
  <c r="BV65" i="1"/>
  <c r="BU5" i="14" s="1"/>
  <c r="BR64" i="6"/>
  <c r="BR67" i="6"/>
  <c r="AD67" i="4"/>
  <c r="BF64" i="5"/>
  <c r="BF65" i="5"/>
  <c r="BE9" i="14" s="1"/>
  <c r="BC87" i="1"/>
  <c r="BC88" i="1" s="1"/>
  <c r="BG38" i="7"/>
  <c r="AR28" i="1"/>
  <c r="AO26" i="7"/>
  <c r="AO27" i="7" s="1"/>
  <c r="AY18" i="7"/>
  <c r="BD63" i="7"/>
  <c r="BD65" i="7" s="1"/>
  <c r="BC12" i="14" s="1"/>
  <c r="BJ20" i="1"/>
  <c r="BI5" i="13" s="1"/>
  <c r="BU64" i="1"/>
  <c r="BU65" i="1"/>
  <c r="BT5" i="14" s="1"/>
  <c r="BQ40" i="1"/>
  <c r="BQ41" i="1" s="1"/>
  <c r="AR20" i="1"/>
  <c r="AQ5" i="13" s="1"/>
  <c r="Q88" i="1"/>
  <c r="CE67" i="7"/>
  <c r="AS38" i="7"/>
  <c r="BM73" i="7"/>
  <c r="BM75" i="7" s="1"/>
  <c r="BL6" i="24" s="1"/>
  <c r="AS40" i="1"/>
  <c r="AS41" i="1" s="1"/>
  <c r="C55" i="7"/>
  <c r="B12" i="15" s="1"/>
  <c r="P74" i="6"/>
  <c r="AA74" i="4"/>
  <c r="AA88" i="4"/>
  <c r="BB39" i="7"/>
  <c r="BN27" i="4"/>
  <c r="BB87" i="4"/>
  <c r="BB88" i="4" s="1"/>
  <c r="P87" i="4"/>
  <c r="P89" i="4" s="1"/>
  <c r="BB74" i="4"/>
  <c r="AR88" i="4"/>
  <c r="AA75" i="4"/>
  <c r="BN40" i="4"/>
  <c r="BN41" i="4" s="1"/>
  <c r="AB41" i="2"/>
  <c r="Q75" i="4"/>
  <c r="AA85" i="7"/>
  <c r="AA87" i="7" s="1"/>
  <c r="AA88" i="7" s="1"/>
  <c r="BU89" i="1"/>
  <c r="AP73" i="7"/>
  <c r="AP75" i="7" s="1"/>
  <c r="AO6" i="24" s="1"/>
  <c r="BT74" i="1"/>
  <c r="AC39" i="7"/>
  <c r="T33" i="4"/>
  <c r="T34" i="4" s="1"/>
  <c r="T32" i="7"/>
  <c r="T33" i="7" s="1"/>
  <c r="T34" i="7" s="1"/>
  <c r="W42" i="4"/>
  <c r="BG73" i="7"/>
  <c r="BG74" i="7" s="1"/>
  <c r="BB41" i="4"/>
  <c r="BJ34" i="7"/>
  <c r="Q88" i="2"/>
  <c r="CG89" i="7"/>
  <c r="BP73" i="7"/>
  <c r="BP74" i="7" s="1"/>
  <c r="AA73" i="7"/>
  <c r="AA74" i="7" s="1"/>
  <c r="BK26" i="7"/>
  <c r="BK27" i="7" s="1"/>
  <c r="BP18" i="7"/>
  <c r="BG40" i="4"/>
  <c r="BG41" i="4" s="1"/>
  <c r="BZ87" i="4"/>
  <c r="BZ88" i="4" s="1"/>
  <c r="BH19" i="4"/>
  <c r="AS65" i="4"/>
  <c r="AR7" i="14" s="1"/>
  <c r="R85" i="7"/>
  <c r="BG65" i="4"/>
  <c r="BF7" i="14" s="1"/>
  <c r="BB19" i="4"/>
  <c r="AO88" i="4"/>
  <c r="BE87" i="4"/>
  <c r="BE88" i="4" s="1"/>
  <c r="AI75" i="4"/>
  <c r="S28" i="4"/>
  <c r="AX64" i="4"/>
  <c r="AX65" i="4"/>
  <c r="AW7" i="14" s="1"/>
  <c r="AO20" i="4"/>
  <c r="AN7" i="13" s="1"/>
  <c r="S65" i="4"/>
  <c r="R7" i="14" s="1"/>
  <c r="S67" i="4"/>
  <c r="C55" i="4"/>
  <c r="B7" i="15" s="1"/>
  <c r="C54" i="4"/>
  <c r="BG67" i="4"/>
  <c r="S64" i="4"/>
  <c r="BL63" i="7"/>
  <c r="BL67" i="7" s="1"/>
  <c r="AO40" i="4"/>
  <c r="AO42" i="4" s="1"/>
  <c r="BI64" i="4"/>
  <c r="BH40" i="4"/>
  <c r="BH41" i="4" s="1"/>
  <c r="AQ64" i="4"/>
  <c r="AQ67" i="4"/>
  <c r="CE19" i="7"/>
  <c r="BQ63" i="7"/>
  <c r="AI87" i="4"/>
  <c r="AI88" i="4" s="1"/>
  <c r="CA40" i="4"/>
  <c r="CA41" i="4" s="1"/>
  <c r="AL40" i="4"/>
  <c r="AL41" i="4" s="1"/>
  <c r="BE65" i="4"/>
  <c r="BD7" i="14" s="1"/>
  <c r="AI18" i="7"/>
  <c r="AI19" i="7" s="1"/>
  <c r="AG38" i="7"/>
  <c r="AG40" i="7" s="1"/>
  <c r="AG41" i="7" s="1"/>
  <c r="AS64" i="4"/>
  <c r="AL67" i="4"/>
  <c r="BB67" i="4"/>
  <c r="AO67" i="4"/>
  <c r="BG28" i="4"/>
  <c r="AQ87" i="4"/>
  <c r="AQ89" i="4" s="1"/>
  <c r="BD26" i="7"/>
  <c r="BD27" i="7" s="1"/>
  <c r="BX64" i="4"/>
  <c r="BX65" i="4"/>
  <c r="BW7" i="14" s="1"/>
  <c r="BE20" i="4"/>
  <c r="BD7" i="13" s="1"/>
  <c r="AP20" i="4"/>
  <c r="AO7" i="13" s="1"/>
  <c r="BZ63" i="7"/>
  <c r="AT18" i="7"/>
  <c r="AT20" i="7" s="1"/>
  <c r="CH12" i="13"/>
  <c r="BN87" i="6"/>
  <c r="BN88" i="6" s="1"/>
  <c r="BS42" i="6"/>
  <c r="BE75" i="1"/>
  <c r="O42" i="4"/>
  <c r="BS89" i="2"/>
  <c r="BP40" i="1"/>
  <c r="BP41" i="1" s="1"/>
  <c r="N88" i="5"/>
  <c r="BU41" i="5"/>
  <c r="BP42" i="6"/>
  <c r="BX41" i="2"/>
  <c r="BE39" i="7"/>
  <c r="AM28" i="1"/>
  <c r="AS89" i="5"/>
  <c r="AK74" i="6"/>
  <c r="O88" i="6"/>
  <c r="BK87" i="6"/>
  <c r="BK89" i="6" s="1"/>
  <c r="L41" i="6"/>
  <c r="BO87" i="2"/>
  <c r="BO88" i="2" s="1"/>
  <c r="CA42" i="6"/>
  <c r="BX41" i="6"/>
  <c r="AN42" i="4"/>
  <c r="BE85" i="7"/>
  <c r="AX87" i="1"/>
  <c r="AX88" i="1" s="1"/>
  <c r="BR28" i="1"/>
  <c r="AB42" i="1"/>
  <c r="AT42" i="5"/>
  <c r="AW42" i="5"/>
  <c r="AU75" i="6"/>
  <c r="BU89" i="6"/>
  <c r="BU41" i="6"/>
  <c r="AX88" i="2"/>
  <c r="BU87" i="5"/>
  <c r="BU89" i="5" s="1"/>
  <c r="BH42" i="5"/>
  <c r="BT42" i="5"/>
  <c r="BH75" i="6"/>
  <c r="AI85" i="7"/>
  <c r="AI87" i="7" s="1"/>
  <c r="AI88" i="7" s="1"/>
  <c r="O75" i="6"/>
  <c r="K41" i="6"/>
  <c r="BV42" i="6"/>
  <c r="BE26" i="7"/>
  <c r="BE27" i="7" s="1"/>
  <c r="CB42" i="2"/>
  <c r="BM75" i="1"/>
  <c r="AR75" i="1"/>
  <c r="AX85" i="7"/>
  <c r="BT87" i="1"/>
  <c r="BT88" i="1" s="1"/>
  <c r="BK87" i="1"/>
  <c r="BK88" i="1" s="1"/>
  <c r="BN40" i="1"/>
  <c r="BN42" i="1" s="1"/>
  <c r="AW39" i="7"/>
  <c r="BW28" i="1"/>
  <c r="CF89" i="7"/>
  <c r="P27" i="5"/>
  <c r="AF74" i="6"/>
  <c r="AS89" i="6"/>
  <c r="H88" i="6"/>
  <c r="BW26" i="7"/>
  <c r="BW27" i="7" s="1"/>
  <c r="AR73" i="7"/>
  <c r="AR74" i="7" s="1"/>
  <c r="BT40" i="4"/>
  <c r="BT41" i="4" s="1"/>
  <c r="V39" i="7"/>
  <c r="BV28" i="4"/>
  <c r="C41" i="4"/>
  <c r="BO86" i="7"/>
  <c r="BC85" i="7"/>
  <c r="BK75" i="1"/>
  <c r="BC40" i="1"/>
  <c r="BC42" i="1" s="1"/>
  <c r="O42" i="1"/>
  <c r="AP89" i="1"/>
  <c r="AP88" i="1"/>
  <c r="BE65" i="1"/>
  <c r="BD5" i="14" s="1"/>
  <c r="BE64" i="1"/>
  <c r="BK64" i="1"/>
  <c r="BK65" i="1"/>
  <c r="BJ5" i="14" s="1"/>
  <c r="BR40" i="1"/>
  <c r="BR41" i="1" s="1"/>
  <c r="BE67" i="1"/>
  <c r="BL40" i="1"/>
  <c r="BL41" i="1" s="1"/>
  <c r="BP28" i="1"/>
  <c r="BV87" i="1"/>
  <c r="BV89" i="1" s="1"/>
  <c r="BV28" i="1"/>
  <c r="BP67" i="1"/>
  <c r="BP65" i="1"/>
  <c r="BO5" i="14" s="1"/>
  <c r="BG65" i="1"/>
  <c r="BF5" i="14" s="1"/>
  <c r="BR87" i="1"/>
  <c r="BR88" i="1" s="1"/>
  <c r="AH63" i="7"/>
  <c r="AH64" i="7" s="1"/>
  <c r="BW40" i="1"/>
  <c r="BW41" i="1" s="1"/>
  <c r="BT67" i="1"/>
  <c r="AT87" i="1"/>
  <c r="AT88" i="1" s="1"/>
  <c r="BA20" i="1"/>
  <c r="AZ5" i="13" s="1"/>
  <c r="BL26" i="7"/>
  <c r="BL28" i="7" s="1"/>
  <c r="BK5" i="24" s="1"/>
  <c r="BA67" i="1"/>
  <c r="BX57" i="7"/>
  <c r="BE28" i="1"/>
  <c r="AT28" i="1"/>
  <c r="AY63" i="7"/>
  <c r="AY65" i="7" s="1"/>
  <c r="AX12" i="14" s="1"/>
  <c r="BT64" i="1"/>
  <c r="BT65" i="1"/>
  <c r="BS5" i="14" s="1"/>
  <c r="BL65" i="1"/>
  <c r="BK5" i="14" s="1"/>
  <c r="BL64" i="1"/>
  <c r="BD18" i="7"/>
  <c r="BD19" i="7" s="1"/>
  <c r="AG89" i="1"/>
  <c r="BQ20" i="1"/>
  <c r="BP5" i="13" s="1"/>
  <c r="BW39" i="7"/>
  <c r="BE20" i="7"/>
  <c r="BD12" i="13" s="1"/>
  <c r="BX12" i="7"/>
  <c r="BW9" i="26" s="1"/>
  <c r="AP86" i="7"/>
  <c r="BK67" i="1"/>
  <c r="BM63" i="7"/>
  <c r="BM67" i="7" s="1"/>
  <c r="AT39" i="7"/>
  <c r="BO63" i="7"/>
  <c r="BO65" i="7" s="1"/>
  <c r="BN12" i="14" s="1"/>
  <c r="BO18" i="7"/>
  <c r="BO19" i="7" s="1"/>
  <c r="BH74" i="1"/>
  <c r="BM65" i="1"/>
  <c r="BL5" i="14" s="1"/>
  <c r="BM67" i="1"/>
  <c r="BM64" i="1"/>
  <c r="BO67" i="1"/>
  <c r="BQ18" i="7"/>
  <c r="BQ19" i="7" s="1"/>
  <c r="CI12" i="13"/>
  <c r="BX54" i="7"/>
  <c r="BW11" i="7"/>
  <c r="BL75" i="5"/>
  <c r="AL89" i="5"/>
  <c r="BA89" i="5"/>
  <c r="X41" i="5"/>
  <c r="U42" i="5"/>
  <c r="L41" i="5"/>
  <c r="AU88" i="6"/>
  <c r="AU89" i="6"/>
  <c r="BY87" i="6"/>
  <c r="BY88" i="6" s="1"/>
  <c r="AS75" i="6"/>
  <c r="BG85" i="7"/>
  <c r="AH85" i="7"/>
  <c r="AH87" i="7" s="1"/>
  <c r="AH88" i="7" s="1"/>
  <c r="BG87" i="6"/>
  <c r="BG88" i="6" s="1"/>
  <c r="AU38" i="7"/>
  <c r="BH39" i="7"/>
  <c r="BH40" i="7" s="1"/>
  <c r="BH41" i="7" s="1"/>
  <c r="BL40" i="6"/>
  <c r="BL41" i="6" s="1"/>
  <c r="J42" i="4"/>
  <c r="BP88" i="2"/>
  <c r="S89" i="2"/>
  <c r="R89" i="2"/>
  <c r="AL89" i="2"/>
  <c r="BW42" i="2"/>
  <c r="AN42" i="2"/>
  <c r="AA89" i="1"/>
  <c r="AV89" i="1"/>
  <c r="D88" i="1"/>
  <c r="BV41" i="1"/>
  <c r="AO42" i="1"/>
  <c r="BV88" i="5"/>
  <c r="BI89" i="5"/>
  <c r="AD85" i="7"/>
  <c r="BP88" i="5"/>
  <c r="E42" i="5"/>
  <c r="BX87" i="6"/>
  <c r="BX88" i="6" s="1"/>
  <c r="AF87" i="6"/>
  <c r="AF88" i="6" s="1"/>
  <c r="BV89" i="6"/>
  <c r="BM86" i="7"/>
  <c r="BO89" i="6"/>
  <c r="Y87" i="6"/>
  <c r="Y88" i="6" s="1"/>
  <c r="AQ41" i="6"/>
  <c r="AQ42" i="6"/>
  <c r="I41" i="6"/>
  <c r="AQ38" i="7"/>
  <c r="H41" i="6"/>
  <c r="G42" i="6"/>
  <c r="AI28" i="6"/>
  <c r="O75" i="4"/>
  <c r="AY74" i="4"/>
  <c r="G88" i="4"/>
  <c r="AA89" i="4"/>
  <c r="D41" i="4"/>
  <c r="BK73" i="7"/>
  <c r="BK75" i="7" s="1"/>
  <c r="BJ6" i="24" s="1"/>
  <c r="W89" i="2"/>
  <c r="AK89" i="2"/>
  <c r="BO88" i="1"/>
  <c r="AL88" i="1"/>
  <c r="BE12" i="7"/>
  <c r="BD9" i="26" s="1"/>
  <c r="F57" i="7"/>
  <c r="BY54" i="7"/>
  <c r="CE65" i="7"/>
  <c r="CD12" i="14" s="1"/>
  <c r="S18" i="7"/>
  <c r="S19" i="7" s="1"/>
  <c r="BO54" i="7"/>
  <c r="Q18" i="7"/>
  <c r="Q19" i="7" s="1"/>
  <c r="BM89" i="6"/>
  <c r="BM88" i="6"/>
  <c r="CC55" i="7"/>
  <c r="CB12" i="15" s="1"/>
  <c r="BC18" i="7"/>
  <c r="BC20" i="7" s="1"/>
  <c r="Y85" i="7"/>
  <c r="CB42" i="6"/>
  <c r="BU64" i="6"/>
  <c r="BU65" i="6"/>
  <c r="BT8" i="14" s="1"/>
  <c r="P73" i="7"/>
  <c r="P74" i="7" s="1"/>
  <c r="BZ18" i="7"/>
  <c r="BZ19" i="7" s="1"/>
  <c r="BC20" i="6"/>
  <c r="BB8" i="13" s="1"/>
  <c r="AY87" i="6"/>
  <c r="AY89" i="6" s="1"/>
  <c r="BZ87" i="6"/>
  <c r="BZ88" i="6" s="1"/>
  <c r="X85" i="7"/>
  <c r="AT89" i="6"/>
  <c r="BY85" i="7"/>
  <c r="CC57" i="7"/>
  <c r="BK86" i="7"/>
  <c r="BW87" i="6"/>
  <c r="BW89" i="6" s="1"/>
  <c r="AJ19" i="6"/>
  <c r="BU67" i="6"/>
  <c r="BE35" i="7"/>
  <c r="BD8" i="26" s="1"/>
  <c r="BT19" i="6"/>
  <c r="BT20" i="6"/>
  <c r="BS8" i="13" s="1"/>
  <c r="T65" i="6"/>
  <c r="S8" i="14" s="1"/>
  <c r="T64" i="6"/>
  <c r="BJ65" i="6"/>
  <c r="BI8" i="14" s="1"/>
  <c r="BJ64" i="6"/>
  <c r="BT65" i="6"/>
  <c r="BS8" i="14" s="1"/>
  <c r="BT64" i="6"/>
  <c r="BT67" i="6"/>
  <c r="BB75" i="6"/>
  <c r="AQ19" i="6"/>
  <c r="AQ20" i="6"/>
  <c r="AP8" i="13" s="1"/>
  <c r="U74" i="6"/>
  <c r="U75" i="6"/>
  <c r="BQ20" i="6"/>
  <c r="BP8" i="13" s="1"/>
  <c r="BM20" i="6"/>
  <c r="BL8" i="13" s="1"/>
  <c r="BM19" i="6"/>
  <c r="AT19" i="6"/>
  <c r="AI88" i="6"/>
  <c r="CE64" i="7"/>
  <c r="AC28" i="6"/>
  <c r="O40" i="6"/>
  <c r="O41" i="6" s="1"/>
  <c r="AM42" i="6"/>
  <c r="AH38" i="7"/>
  <c r="W87" i="6"/>
  <c r="W89" i="6" s="1"/>
  <c r="BW86" i="7"/>
  <c r="AI63" i="7"/>
  <c r="AI64" i="7" s="1"/>
  <c r="AC40" i="6"/>
  <c r="AC41" i="6" s="1"/>
  <c r="R39" i="7"/>
  <c r="AQ73" i="7"/>
  <c r="AQ74" i="7" s="1"/>
  <c r="BV75" i="6"/>
  <c r="AX67" i="6"/>
  <c r="AX20" i="6"/>
  <c r="AW8" i="13" s="1"/>
  <c r="AX19" i="6"/>
  <c r="Q20" i="6"/>
  <c r="P8" i="13" s="1"/>
  <c r="AQ18" i="7"/>
  <c r="AQ20" i="7" s="1"/>
  <c r="AU12" i="7"/>
  <c r="AT12" i="8" s="1"/>
  <c r="BY57" i="7"/>
  <c r="AJ18" i="7"/>
  <c r="AJ19" i="7" s="1"/>
  <c r="E88" i="6"/>
  <c r="AG86" i="7"/>
  <c r="AV89" i="6"/>
  <c r="F88" i="6"/>
  <c r="BH35" i="7"/>
  <c r="BG8" i="26" s="1"/>
  <c r="AR89" i="4"/>
  <c r="AE89" i="2"/>
  <c r="BE89" i="2"/>
  <c r="T89" i="2"/>
  <c r="F89" i="2"/>
  <c r="BG88" i="2"/>
  <c r="AW42" i="2"/>
  <c r="BF35" i="7"/>
  <c r="BE8" i="26" s="1"/>
  <c r="AM89" i="1"/>
  <c r="AY87" i="1"/>
  <c r="AY88" i="1" s="1"/>
  <c r="M88" i="1"/>
  <c r="BD34" i="7"/>
  <c r="AV42" i="1"/>
  <c r="BI35" i="7"/>
  <c r="BH8" i="26" s="1"/>
  <c r="T75" i="5"/>
  <c r="O75" i="5"/>
  <c r="AC85" i="7"/>
  <c r="R89" i="5"/>
  <c r="AQ89" i="5"/>
  <c r="AI40" i="5"/>
  <c r="AI41" i="5" s="1"/>
  <c r="AA87" i="5"/>
  <c r="AA88" i="5" s="1"/>
  <c r="P89" i="5"/>
  <c r="AI89" i="5"/>
  <c r="AF89" i="5"/>
  <c r="AE28" i="5"/>
  <c r="D42" i="5"/>
  <c r="N42" i="5"/>
  <c r="W42" i="5"/>
  <c r="C81" i="6"/>
  <c r="BZ85" i="7"/>
  <c r="I88" i="6"/>
  <c r="R87" i="6"/>
  <c r="R88" i="6" s="1"/>
  <c r="T86" i="7"/>
  <c r="F41" i="6"/>
  <c r="BT42" i="6"/>
  <c r="K89" i="4"/>
  <c r="AY89" i="4"/>
  <c r="BJ75" i="4"/>
  <c r="N42" i="4"/>
  <c r="H41" i="4"/>
  <c r="BD39" i="7"/>
  <c r="L88" i="2"/>
  <c r="BH89" i="2"/>
  <c r="AD88" i="2"/>
  <c r="AZ89" i="2"/>
  <c r="AY75" i="2"/>
  <c r="AB89" i="1"/>
  <c r="N89" i="1"/>
  <c r="AD89" i="1"/>
  <c r="AK88" i="1"/>
  <c r="AR88" i="1"/>
  <c r="AT41" i="1"/>
  <c r="AA42" i="1"/>
  <c r="CI41" i="7"/>
  <c r="BO64" i="7"/>
  <c r="AR55" i="7"/>
  <c r="AQ12" i="15" s="1"/>
  <c r="J64" i="7"/>
  <c r="V12" i="7"/>
  <c r="U12" i="8" s="1"/>
  <c r="C54" i="7"/>
  <c r="J67" i="7"/>
  <c r="H54" i="7"/>
  <c r="CC11" i="7"/>
  <c r="AP11" i="7"/>
  <c r="AN18" i="7"/>
  <c r="AN19" i="7" s="1"/>
  <c r="X89" i="5"/>
  <c r="CA74" i="5"/>
  <c r="U85" i="7"/>
  <c r="BF89" i="5"/>
  <c r="F42" i="5"/>
  <c r="AY28" i="5"/>
  <c r="AN42" i="5"/>
  <c r="BN42" i="5"/>
  <c r="R42" i="5"/>
  <c r="G88" i="6"/>
  <c r="AO88" i="6"/>
  <c r="AP89" i="6"/>
  <c r="AE27" i="4"/>
  <c r="BT28" i="4"/>
  <c r="T41" i="4"/>
  <c r="L42" i="4"/>
  <c r="AV42" i="4"/>
  <c r="S40" i="4"/>
  <c r="S41" i="4" s="1"/>
  <c r="BM39" i="7"/>
  <c r="F41" i="4"/>
  <c r="BN39" i="7"/>
  <c r="I42" i="4"/>
  <c r="BY89" i="2"/>
  <c r="BT75" i="2"/>
  <c r="AT88" i="2"/>
  <c r="U89" i="2"/>
  <c r="AJ88" i="2"/>
  <c r="H88" i="2"/>
  <c r="V42" i="2"/>
  <c r="CF42" i="7"/>
  <c r="BH42" i="2"/>
  <c r="BM89" i="1"/>
  <c r="BW85" i="7"/>
  <c r="AY74" i="1"/>
  <c r="N41" i="1"/>
  <c r="AC41" i="2"/>
  <c r="K42" i="2"/>
  <c r="AC41" i="1"/>
  <c r="AG42" i="1"/>
  <c r="AF42" i="1"/>
  <c r="I41" i="1"/>
  <c r="CK42" i="7"/>
  <c r="E42" i="2"/>
  <c r="AI42" i="2"/>
  <c r="AY42" i="2"/>
  <c r="AY41" i="2"/>
  <c r="AA41" i="2"/>
  <c r="AL41" i="1"/>
  <c r="T89" i="5"/>
  <c r="BK87" i="5"/>
  <c r="BK88" i="5" s="1"/>
  <c r="BW88" i="5"/>
  <c r="Q74" i="5"/>
  <c r="CI89" i="7"/>
  <c r="BQ74" i="5"/>
  <c r="AZ85" i="7"/>
  <c r="AP41" i="5"/>
  <c r="BA40" i="5"/>
  <c r="BA42" i="5" s="1"/>
  <c r="T38" i="7"/>
  <c r="BP42" i="5"/>
  <c r="AU39" i="7"/>
  <c r="P41" i="5"/>
  <c r="L89" i="6"/>
  <c r="N89" i="6"/>
  <c r="BE75" i="6"/>
  <c r="U88" i="6"/>
  <c r="AZ75" i="6"/>
  <c r="AC75" i="6"/>
  <c r="AN87" i="6"/>
  <c r="AN88" i="6" s="1"/>
  <c r="P89" i="6"/>
  <c r="BK42" i="6"/>
  <c r="AA39" i="7"/>
  <c r="C41" i="6"/>
  <c r="AX42" i="6"/>
  <c r="AX41" i="6"/>
  <c r="J41" i="6"/>
  <c r="W88" i="4"/>
  <c r="D88" i="4"/>
  <c r="E89" i="4"/>
  <c r="BP88" i="4"/>
  <c r="V88" i="4"/>
  <c r="BU75" i="4"/>
  <c r="T87" i="4"/>
  <c r="T88" i="4" s="1"/>
  <c r="BS88" i="4"/>
  <c r="AD75" i="4"/>
  <c r="BB42" i="4"/>
  <c r="E41" i="4"/>
  <c r="AK42" i="4"/>
  <c r="AD38" i="7"/>
  <c r="AD40" i="7" s="1"/>
  <c r="AD42" i="7" s="1"/>
  <c r="BO42" i="4"/>
  <c r="P42" i="4"/>
  <c r="AR88" i="2"/>
  <c r="CA86" i="7"/>
  <c r="BB89" i="2"/>
  <c r="N89" i="2"/>
  <c r="BM89" i="2"/>
  <c r="AS75" i="2"/>
  <c r="AF89" i="2"/>
  <c r="AP87" i="2"/>
  <c r="AP89" i="2" s="1"/>
  <c r="BX89" i="2"/>
  <c r="BY42" i="2"/>
  <c r="I42" i="2"/>
  <c r="AE88" i="1"/>
  <c r="BN87" i="1"/>
  <c r="BN88" i="1" s="1"/>
  <c r="U89" i="1"/>
  <c r="BS27" i="1"/>
  <c r="U42" i="1"/>
  <c r="BX55" i="7"/>
  <c r="BW12" i="15" s="1"/>
  <c r="Y57" i="7"/>
  <c r="CD12" i="7"/>
  <c r="CC12" i="8" s="1"/>
  <c r="T18" i="7"/>
  <c r="T20" i="7" s="1"/>
  <c r="O63" i="7"/>
  <c r="O65" i="7" s="1"/>
  <c r="N12" i="14" s="1"/>
  <c r="CB63" i="7"/>
  <c r="CB64" i="7" s="1"/>
  <c r="AY87" i="5"/>
  <c r="AY88" i="5" s="1"/>
  <c r="BL88" i="5"/>
  <c r="AR88" i="5"/>
  <c r="CB74" i="5"/>
  <c r="L89" i="5"/>
  <c r="BQ89" i="5"/>
  <c r="AZ75" i="5"/>
  <c r="BC75" i="5"/>
  <c r="S75" i="5"/>
  <c r="AE38" i="7"/>
  <c r="AD40" i="5"/>
  <c r="AD41" i="5" s="1"/>
  <c r="AB40" i="5"/>
  <c r="AB41" i="5" s="1"/>
  <c r="BS89" i="6"/>
  <c r="BD89" i="6"/>
  <c r="AP74" i="6"/>
  <c r="M89" i="6"/>
  <c r="Q85" i="7"/>
  <c r="J88" i="6"/>
  <c r="BX86" i="7"/>
  <c r="CA85" i="7"/>
  <c r="AR75" i="6"/>
  <c r="AM73" i="7"/>
  <c r="AM74" i="7" s="1"/>
  <c r="AP85" i="7"/>
  <c r="K89" i="6"/>
  <c r="BC75" i="6"/>
  <c r="Z85" i="7"/>
  <c r="R86" i="7"/>
  <c r="AW41" i="6"/>
  <c r="E41" i="6"/>
  <c r="R42" i="6"/>
  <c r="AS42" i="6"/>
  <c r="AI38" i="7"/>
  <c r="BJ39" i="7"/>
  <c r="BJ40" i="7" s="1"/>
  <c r="BJ41" i="7" s="1"/>
  <c r="AN42" i="6"/>
  <c r="BD42" i="6"/>
  <c r="BL89" i="2"/>
  <c r="BR86" i="7"/>
  <c r="AB88" i="2"/>
  <c r="AG89" i="2"/>
  <c r="BO85" i="7"/>
  <c r="BN89" i="2"/>
  <c r="X42" i="2"/>
  <c r="BR28" i="2"/>
  <c r="BJ42" i="2"/>
  <c r="L88" i="1"/>
  <c r="AJ88" i="1"/>
  <c r="BH87" i="1"/>
  <c r="BH88" i="1" s="1"/>
  <c r="AN89" i="1"/>
  <c r="BN85" i="7"/>
  <c r="O88" i="1"/>
  <c r="P89" i="1"/>
  <c r="L41" i="1"/>
  <c r="BZ42" i="1"/>
  <c r="AJ42" i="1"/>
  <c r="E42" i="1"/>
  <c r="BT42" i="1"/>
  <c r="AN42" i="1"/>
  <c r="O87" i="4"/>
  <c r="O88" i="4" s="1"/>
  <c r="H89" i="4"/>
  <c r="BA87" i="4"/>
  <c r="BA89" i="4" s="1"/>
  <c r="AS82" i="7"/>
  <c r="P75" i="4"/>
  <c r="BN86" i="7"/>
  <c r="BN89" i="4"/>
  <c r="BF87" i="4"/>
  <c r="BF88" i="4" s="1"/>
  <c r="R87" i="4"/>
  <c r="R89" i="4" s="1"/>
  <c r="AF87" i="4"/>
  <c r="AF89" i="4" s="1"/>
  <c r="AY88" i="4"/>
  <c r="AY75" i="4"/>
  <c r="F89" i="4"/>
  <c r="BF75" i="4"/>
  <c r="BF40" i="4"/>
  <c r="BF41" i="4" s="1"/>
  <c r="AE40" i="4"/>
  <c r="AE41" i="4" s="1"/>
  <c r="BJ41" i="4"/>
  <c r="AJ41" i="4"/>
  <c r="AP41" i="2"/>
  <c r="Z42" i="2"/>
  <c r="BE41" i="2"/>
  <c r="BU38" i="7"/>
  <c r="BU40" i="7" s="1"/>
  <c r="BU41" i="7" s="1"/>
  <c r="P42" i="2"/>
  <c r="C42" i="2"/>
  <c r="BB41" i="2"/>
  <c r="L42" i="2"/>
  <c r="R33" i="7"/>
  <c r="R35" i="7" s="1"/>
  <c r="Q8" i="26" s="1"/>
  <c r="N42" i="2"/>
  <c r="AM41" i="2"/>
  <c r="AM42" i="2"/>
  <c r="BK40" i="2"/>
  <c r="BK41" i="2" s="1"/>
  <c r="AT38" i="7"/>
  <c r="BS40" i="1"/>
  <c r="BS42" i="1" s="1"/>
  <c r="AY28" i="1"/>
  <c r="J41" i="1"/>
  <c r="M42" i="1"/>
  <c r="CD35" i="7"/>
  <c r="CC8" i="26" s="1"/>
  <c r="BK28" i="1"/>
  <c r="BY38" i="7"/>
  <c r="AE42" i="1"/>
  <c r="BN88" i="5"/>
  <c r="CB87" i="5"/>
  <c r="CB88" i="5" s="1"/>
  <c r="AY86" i="7"/>
  <c r="BH88" i="5"/>
  <c r="BH89" i="5"/>
  <c r="AP88" i="5"/>
  <c r="AP89" i="5"/>
  <c r="W89" i="5"/>
  <c r="Q86" i="7"/>
  <c r="AG85" i="7"/>
  <c r="AE85" i="7"/>
  <c r="AE87" i="7" s="1"/>
  <c r="BT85" i="7"/>
  <c r="CA87" i="5"/>
  <c r="CA89" i="5" s="1"/>
  <c r="G87" i="7"/>
  <c r="G88" i="7" s="1"/>
  <c r="Y87" i="5"/>
  <c r="Y88" i="5" s="1"/>
  <c r="C89" i="5"/>
  <c r="BZ82" i="7"/>
  <c r="BA75" i="5"/>
  <c r="AC88" i="5"/>
  <c r="BG75" i="5"/>
  <c r="AV41" i="5"/>
  <c r="AV42" i="5"/>
  <c r="AM35" i="7"/>
  <c r="AL8" i="26" s="1"/>
  <c r="AB38" i="7"/>
  <c r="AB40" i="7" s="1"/>
  <c r="AB41" i="7" s="1"/>
  <c r="AF42" i="5"/>
  <c r="Q42" i="5"/>
  <c r="S41" i="5"/>
  <c r="BF42" i="5"/>
  <c r="AY42" i="5"/>
  <c r="J42" i="5"/>
  <c r="O34" i="7"/>
  <c r="K35" i="7"/>
  <c r="J8" i="26" s="1"/>
  <c r="AF38" i="7"/>
  <c r="AF40" i="7" s="1"/>
  <c r="AF41" i="7" s="1"/>
  <c r="CA35" i="7"/>
  <c r="BZ8" i="26" s="1"/>
  <c r="AM40" i="5"/>
  <c r="AM41" i="5" s="1"/>
  <c r="AR42" i="5"/>
  <c r="I42" i="5"/>
  <c r="H42" i="5"/>
  <c r="AG28" i="5"/>
  <c r="W33" i="7"/>
  <c r="W35" i="7" s="1"/>
  <c r="V8" i="26" s="1"/>
  <c r="BV42" i="5"/>
  <c r="AZ88" i="6"/>
  <c r="AZ89" i="6"/>
  <c r="CE82" i="7"/>
  <c r="K87" i="7"/>
  <c r="K88" i="7" s="1"/>
  <c r="S85" i="7"/>
  <c r="AF86" i="7"/>
  <c r="AF87" i="7" s="1"/>
  <c r="AF89" i="7" s="1"/>
  <c r="BR89" i="6"/>
  <c r="BR88" i="6"/>
  <c r="BI86" i="7"/>
  <c r="CA89" i="6"/>
  <c r="Z75" i="6"/>
  <c r="BQ85" i="7"/>
  <c r="N41" i="6"/>
  <c r="BN42" i="6"/>
  <c r="BN41" i="6"/>
  <c r="CE27" i="7"/>
  <c r="AL27" i="7"/>
  <c r="AE39" i="7"/>
  <c r="AF42" i="6"/>
  <c r="M41" i="6"/>
  <c r="BI38" i="7"/>
  <c r="AR42" i="6"/>
  <c r="BO42" i="6"/>
  <c r="D41" i="6"/>
  <c r="S35" i="6"/>
  <c r="AJ35" i="7"/>
  <c r="AI8" i="26" s="1"/>
  <c r="BU34" i="7"/>
  <c r="BA42" i="6"/>
  <c r="BM88" i="4"/>
  <c r="BM89" i="4"/>
  <c r="BX89" i="4"/>
  <c r="BX88" i="4"/>
  <c r="AX86" i="7"/>
  <c r="BP74" i="4"/>
  <c r="I89" i="4"/>
  <c r="H81" i="7"/>
  <c r="BP75" i="4"/>
  <c r="BJ87" i="4"/>
  <c r="BJ88" i="4" s="1"/>
  <c r="BA75" i="4"/>
  <c r="Y86" i="7"/>
  <c r="AD87" i="4"/>
  <c r="AD89" i="4" s="1"/>
  <c r="L89" i="4"/>
  <c r="BW28" i="4"/>
  <c r="BV39" i="7"/>
  <c r="AS41" i="4"/>
  <c r="AZ38" i="7"/>
  <c r="G42" i="4"/>
  <c r="AY28" i="4"/>
  <c r="BV42" i="4"/>
  <c r="BB26" i="7"/>
  <c r="BB27" i="7" s="1"/>
  <c r="BJ26" i="7"/>
  <c r="BJ28" i="7" s="1"/>
  <c r="BI7" i="26" s="1"/>
  <c r="BQ41" i="4"/>
  <c r="AG40" i="4"/>
  <c r="AG41" i="4" s="1"/>
  <c r="AG27" i="4"/>
  <c r="AR42" i="4"/>
  <c r="Y41" i="4"/>
  <c r="H35" i="7"/>
  <c r="G8" i="26" s="1"/>
  <c r="G35" i="7"/>
  <c r="F8" i="26" s="1"/>
  <c r="AD41" i="4"/>
  <c r="O26" i="7"/>
  <c r="O27" i="7" s="1"/>
  <c r="BI39" i="7"/>
  <c r="M42" i="4"/>
  <c r="AW75" i="7"/>
  <c r="AV6" i="24" s="1"/>
  <c r="BC75" i="7"/>
  <c r="BB6" i="24" s="1"/>
  <c r="BB75" i="2"/>
  <c r="K89" i="2"/>
  <c r="I89" i="2"/>
  <c r="E89" i="2"/>
  <c r="J89" i="2"/>
  <c r="AQ88" i="2"/>
  <c r="AQ89" i="2"/>
  <c r="BH82" i="7"/>
  <c r="CA89" i="2"/>
  <c r="AH89" i="2"/>
  <c r="G89" i="2"/>
  <c r="P89" i="2"/>
  <c r="BV40" i="2"/>
  <c r="BV41" i="2" s="1"/>
  <c r="BN27" i="7"/>
  <c r="AJ42" i="2"/>
  <c r="AO38" i="7"/>
  <c r="BR40" i="2"/>
  <c r="BR41" i="2" s="1"/>
  <c r="BT28" i="2"/>
  <c r="AG42" i="2"/>
  <c r="AV40" i="2"/>
  <c r="AV41" i="2" s="1"/>
  <c r="U42" i="2"/>
  <c r="H41" i="2"/>
  <c r="H42" i="2"/>
  <c r="CC34" i="7"/>
  <c r="BQ40" i="2"/>
  <c r="BQ41" i="2" s="1"/>
  <c r="CA42" i="2"/>
  <c r="AL42" i="2"/>
  <c r="AL41" i="2"/>
  <c r="F42" i="2"/>
  <c r="F41" i="2"/>
  <c r="D42" i="2"/>
  <c r="BQ87" i="1"/>
  <c r="BQ88" i="1" s="1"/>
  <c r="BQ75" i="1"/>
  <c r="AT85" i="7"/>
  <c r="CB82" i="7"/>
  <c r="CA89" i="1"/>
  <c r="AH89" i="1"/>
  <c r="V89" i="1"/>
  <c r="N82" i="7"/>
  <c r="N87" i="7"/>
  <c r="N88" i="7" s="1"/>
  <c r="BW82" i="7"/>
  <c r="BF89" i="1"/>
  <c r="BH75" i="7"/>
  <c r="BG6" i="24" s="1"/>
  <c r="BB75" i="1"/>
  <c r="AU40" i="1"/>
  <c r="AU42" i="1" s="1"/>
  <c r="S42" i="1"/>
  <c r="AV34" i="7"/>
  <c r="BM7" i="26"/>
  <c r="BS38" i="7"/>
  <c r="BK35" i="7"/>
  <c r="BJ8" i="26" s="1"/>
  <c r="BO28" i="1"/>
  <c r="BO42" i="1"/>
  <c r="V41" i="1"/>
  <c r="AD42" i="1"/>
  <c r="AI26" i="7"/>
  <c r="AI27" i="7" s="1"/>
  <c r="G41" i="1"/>
  <c r="AS27" i="7"/>
  <c r="AN28" i="1"/>
  <c r="AC26" i="7"/>
  <c r="AC27" i="7" s="1"/>
  <c r="BB40" i="1"/>
  <c r="BB41" i="1" s="1"/>
  <c r="K41" i="1"/>
  <c r="BO35" i="7"/>
  <c r="BN8" i="26" s="1"/>
  <c r="BY35" i="7"/>
  <c r="BX8" i="26" s="1"/>
  <c r="F41" i="1"/>
  <c r="BP64" i="7"/>
  <c r="BP65" i="7"/>
  <c r="BO12" i="14" s="1"/>
  <c r="B12" i="13"/>
  <c r="B6" i="26"/>
  <c r="BR57" i="7"/>
  <c r="BX81" i="7"/>
  <c r="BB11" i="7"/>
  <c r="BR81" i="7"/>
  <c r="AJ55" i="7"/>
  <c r="AI12" i="15" s="1"/>
  <c r="E34" i="7"/>
  <c r="BR54" i="7"/>
  <c r="C19" i="7"/>
  <c r="E75" i="7"/>
  <c r="D6" i="24" s="1"/>
  <c r="CB55" i="7"/>
  <c r="CA12" i="15" s="1"/>
  <c r="Y12" i="7"/>
  <c r="X12" i="8" s="1"/>
  <c r="O82" i="7"/>
  <c r="AG18" i="7"/>
  <c r="AG20" i="7" s="1"/>
  <c r="AF12" i="13" s="1"/>
  <c r="AW63" i="7"/>
  <c r="AW65" i="7" s="1"/>
  <c r="AV12" i="14" s="1"/>
  <c r="AV26" i="7"/>
  <c r="AV28" i="7" s="1"/>
  <c r="AN40" i="7"/>
  <c r="AN41" i="7" s="1"/>
  <c r="AU63" i="7"/>
  <c r="AU65" i="7" s="1"/>
  <c r="AT12" i="14" s="1"/>
  <c r="AN75" i="7"/>
  <c r="AM6" i="24" s="1"/>
  <c r="AV82" i="7"/>
  <c r="CD28" i="7"/>
  <c r="CC5" i="24" s="1"/>
  <c r="CC12" i="7"/>
  <c r="CB12" i="8" s="1"/>
  <c r="Q65" i="7"/>
  <c r="P12" i="14" s="1"/>
  <c r="D40" i="7"/>
  <c r="D42" i="7" s="1"/>
  <c r="BY12" i="7"/>
  <c r="BX12" i="8" s="1"/>
  <c r="BN64" i="7"/>
  <c r="D75" i="7"/>
  <c r="C6" i="24" s="1"/>
  <c r="BX35" i="7"/>
  <c r="BW8" i="26" s="1"/>
  <c r="BN75" i="7"/>
  <c r="BM6" i="24" s="1"/>
  <c r="BN74" i="7"/>
  <c r="AA18" i="7"/>
  <c r="AA19" i="7" s="1"/>
  <c r="E81" i="7"/>
  <c r="V57" i="7"/>
  <c r="AJ75" i="7"/>
  <c r="AI6" i="24" s="1"/>
  <c r="BI55" i="7"/>
  <c r="BH12" i="15" s="1"/>
  <c r="U57" i="7"/>
  <c r="AI54" i="7"/>
  <c r="CD82" i="7"/>
  <c r="BO82" i="7"/>
  <c r="T54" i="7"/>
  <c r="I35" i="7"/>
  <c r="H8" i="26" s="1"/>
  <c r="AM18" i="7"/>
  <c r="AM19" i="7" s="1"/>
  <c r="AD26" i="7"/>
  <c r="AD28" i="7" s="1"/>
  <c r="BR12" i="7"/>
  <c r="BQ9" i="26" s="1"/>
  <c r="C105" i="7"/>
  <c r="CB35" i="7"/>
  <c r="CA8" i="26" s="1"/>
  <c r="AM55" i="7"/>
  <c r="AL12" i="15" s="1"/>
  <c r="AD63" i="7"/>
  <c r="AD65" i="7" s="1"/>
  <c r="AC12" i="14" s="1"/>
  <c r="BT82" i="7"/>
  <c r="S73" i="7"/>
  <c r="S75" i="7" s="1"/>
  <c r="R6" i="24" s="1"/>
  <c r="BV20" i="7"/>
  <c r="U28" i="7"/>
  <c r="L40" i="7"/>
  <c r="L41" i="7" s="1"/>
  <c r="CE35" i="7"/>
  <c r="CD8" i="26" s="1"/>
  <c r="V55" i="7"/>
  <c r="U12" i="15" s="1"/>
  <c r="BA57" i="7"/>
  <c r="AX81" i="7"/>
  <c r="R11" i="7"/>
  <c r="CE55" i="7"/>
  <c r="CD12" i="15" s="1"/>
  <c r="CC20" i="7"/>
  <c r="CB12" i="13" s="1"/>
  <c r="BS82" i="7"/>
  <c r="AX54" i="7"/>
  <c r="S35" i="7"/>
  <c r="R8" i="26" s="1"/>
  <c r="J40" i="7"/>
  <c r="J42" i="7" s="1"/>
  <c r="F40" i="7"/>
  <c r="F41" i="7" s="1"/>
  <c r="C102" i="7"/>
  <c r="W81" i="7"/>
  <c r="AA63" i="7"/>
  <c r="AA64" i="7" s="1"/>
  <c r="AY26" i="7"/>
  <c r="AY27" i="7" s="1"/>
  <c r="CA11" i="7"/>
  <c r="C103" i="7"/>
  <c r="C104" i="7"/>
  <c r="BA18" i="7"/>
  <c r="BA19" i="7" s="1"/>
  <c r="AH42" i="5"/>
  <c r="AH41" i="5"/>
  <c r="BU19" i="7"/>
  <c r="BU20" i="7"/>
  <c r="BT12" i="13" s="1"/>
  <c r="Y81" i="7"/>
  <c r="Y82" i="7"/>
  <c r="AX88" i="6"/>
  <c r="AX89" i="6"/>
  <c r="AM28" i="7"/>
  <c r="AL7" i="26" s="1"/>
  <c r="AM27" i="7"/>
  <c r="AA41" i="6"/>
  <c r="AA42" i="6"/>
  <c r="BF27" i="7"/>
  <c r="BF28" i="7"/>
  <c r="BE7" i="26" s="1"/>
  <c r="AU88" i="1"/>
  <c r="AU89" i="1"/>
  <c r="BA89" i="1"/>
  <c r="BA88" i="1"/>
  <c r="W38" i="7"/>
  <c r="W40" i="6"/>
  <c r="W42" i="6" s="1"/>
  <c r="P57" i="7"/>
  <c r="P12" i="7"/>
  <c r="O12" i="8" s="1"/>
  <c r="AI41" i="6"/>
  <c r="AI42" i="6"/>
  <c r="C27" i="7"/>
  <c r="C28" i="7"/>
  <c r="B5" i="24" s="1"/>
  <c r="BQ74" i="2"/>
  <c r="BQ75" i="2"/>
  <c r="AY20" i="5"/>
  <c r="AX9" i="13" s="1"/>
  <c r="AY19" i="5"/>
  <c r="BU28" i="2"/>
  <c r="BU27" i="2"/>
  <c r="AR65" i="5"/>
  <c r="AQ9" i="14" s="1"/>
  <c r="AR64" i="5"/>
  <c r="AY19" i="2"/>
  <c r="AY20" i="2"/>
  <c r="AX6" i="13" s="1"/>
  <c r="BI19" i="5"/>
  <c r="BI20" i="5"/>
  <c r="BH9" i="13" s="1"/>
  <c r="AN64" i="5"/>
  <c r="AN65" i="5"/>
  <c r="AM9" i="14" s="1"/>
  <c r="AN67" i="5"/>
  <c r="AW19" i="2"/>
  <c r="AW20" i="2"/>
  <c r="AV6" i="13" s="1"/>
  <c r="AW67" i="2"/>
  <c r="AO27" i="2"/>
  <c r="AO28" i="2"/>
  <c r="BH40" i="1"/>
  <c r="BH41" i="1" s="1"/>
  <c r="C28" i="5"/>
  <c r="C27" i="5"/>
  <c r="AY12" i="7"/>
  <c r="AX5" i="26" s="1"/>
  <c r="W16" i="7"/>
  <c r="W18" i="7" s="1"/>
  <c r="W20" i="7" s="1"/>
  <c r="Z81" i="7"/>
  <c r="AA38" i="7"/>
  <c r="BR35" i="7"/>
  <c r="BQ8" i="26" s="1"/>
  <c r="CE12" i="7"/>
  <c r="CD12" i="8" s="1"/>
  <c r="AC67" i="5"/>
  <c r="AI75" i="5"/>
  <c r="I40" i="7"/>
  <c r="I42" i="7" s="1"/>
  <c r="M89" i="4"/>
  <c r="AE41" i="5"/>
  <c r="BO39" i="7"/>
  <c r="BH85" i="7"/>
  <c r="CB86" i="7"/>
  <c r="AW89" i="5"/>
  <c r="Y75" i="5"/>
  <c r="CB85" i="7"/>
  <c r="BT88" i="4"/>
  <c r="BQ65" i="2"/>
  <c r="BP6" i="14" s="1"/>
  <c r="BQ64" i="2"/>
  <c r="BE40" i="5"/>
  <c r="BE41" i="5" s="1"/>
  <c r="BH27" i="2"/>
  <c r="BH28" i="2"/>
  <c r="BE20" i="5"/>
  <c r="BD9" i="13" s="1"/>
  <c r="BE19" i="5"/>
  <c r="BG19" i="1"/>
  <c r="BG20" i="1"/>
  <c r="BF5" i="13" s="1"/>
  <c r="BZ64" i="4"/>
  <c r="BZ65" i="4"/>
  <c r="BY7" i="14" s="1"/>
  <c r="BW64" i="4"/>
  <c r="BW65" i="4"/>
  <c r="BV7" i="14" s="1"/>
  <c r="AY64" i="5"/>
  <c r="AY67" i="5"/>
  <c r="AS87" i="1"/>
  <c r="AS88" i="1" s="1"/>
  <c r="BJ20" i="4"/>
  <c r="BI7" i="13" s="1"/>
  <c r="BJ19" i="4"/>
  <c r="BF74" i="1"/>
  <c r="BF75" i="1"/>
  <c r="BC64" i="2"/>
  <c r="BC65" i="2"/>
  <c r="BB6" i="14" s="1"/>
  <c r="BC67" i="2"/>
  <c r="AN19" i="6"/>
  <c r="AN20" i="6"/>
  <c r="AM8" i="13" s="1"/>
  <c r="AT65" i="6"/>
  <c r="AS8" i="14" s="1"/>
  <c r="AT64" i="6"/>
  <c r="U40" i="6"/>
  <c r="U41" i="6" s="1"/>
  <c r="P28" i="4"/>
  <c r="P27" i="4"/>
  <c r="M42" i="5"/>
  <c r="M41" i="5"/>
  <c r="BU67" i="1"/>
  <c r="BU19" i="1"/>
  <c r="BU20" i="1"/>
  <c r="BT5" i="13" s="1"/>
  <c r="T65" i="4"/>
  <c r="S7" i="14" s="1"/>
  <c r="T67" i="4"/>
  <c r="BJ74" i="2"/>
  <c r="BJ75" i="2"/>
  <c r="AY65" i="5"/>
  <c r="AX9" i="14" s="1"/>
  <c r="D55" i="6"/>
  <c r="C8" i="15" s="1"/>
  <c r="D54" i="6"/>
  <c r="BI28" i="1"/>
  <c r="BI27" i="1"/>
  <c r="BU88" i="2"/>
  <c r="BU89" i="2"/>
  <c r="BM75" i="4"/>
  <c r="BM74" i="4"/>
  <c r="BI75" i="1"/>
  <c r="BI74" i="1"/>
  <c r="T85" i="7"/>
  <c r="T87" i="6"/>
  <c r="T88" i="6" s="1"/>
  <c r="BZ89" i="2"/>
  <c r="Y55" i="7"/>
  <c r="X12" i="15" s="1"/>
  <c r="BY28" i="4"/>
  <c r="BI12" i="7"/>
  <c r="BH9" i="26" s="1"/>
  <c r="BG64" i="5"/>
  <c r="AX87" i="5"/>
  <c r="AX89" i="5" s="1"/>
  <c r="AU81" i="7"/>
  <c r="AD73" i="7"/>
  <c r="AD75" i="7" s="1"/>
  <c r="AC6" i="24" s="1"/>
  <c r="AV85" i="7"/>
  <c r="AV87" i="7" s="1"/>
  <c r="AV88" i="7" s="1"/>
  <c r="BV38" i="7"/>
  <c r="CB12" i="7"/>
  <c r="CA5" i="26" s="1"/>
  <c r="BY42" i="5"/>
  <c r="CA67" i="5"/>
  <c r="CA64" i="5"/>
  <c r="AI88" i="1"/>
  <c r="P54" i="7"/>
  <c r="BJ75" i="7"/>
  <c r="BI6" i="24" s="1"/>
  <c r="CD55" i="7"/>
  <c r="CC12" i="15" s="1"/>
  <c r="AE57" i="7"/>
  <c r="M40" i="7"/>
  <c r="M42" i="7" s="1"/>
  <c r="N65" i="7"/>
  <c r="M12" i="14" s="1"/>
  <c r="AG55" i="7"/>
  <c r="AF12" i="15" s="1"/>
  <c r="AC64" i="5"/>
  <c r="BD89" i="5"/>
  <c r="AY38" i="7"/>
  <c r="BW38" i="7"/>
  <c r="I57" i="7"/>
  <c r="C38" i="7"/>
  <c r="C40" i="7" s="1"/>
  <c r="C41" i="7" s="1"/>
  <c r="BD75" i="7"/>
  <c r="BC6" i="24" s="1"/>
  <c r="BC67" i="5"/>
  <c r="AC18" i="7"/>
  <c r="AC19" i="7" s="1"/>
  <c r="Z87" i="5"/>
  <c r="BR20" i="5"/>
  <c r="BQ9" i="13" s="1"/>
  <c r="AZ39" i="7"/>
  <c r="AG57" i="7"/>
  <c r="BR38" i="7"/>
  <c r="BM27" i="1"/>
  <c r="E40" i="7"/>
  <c r="E41" i="7" s="1"/>
  <c r="M75" i="7"/>
  <c r="L6" i="24" s="1"/>
  <c r="BR64" i="2"/>
  <c r="BY86" i="7"/>
  <c r="BI40" i="2"/>
  <c r="BI41" i="2" s="1"/>
  <c r="BG39" i="7"/>
  <c r="BD85" i="7"/>
  <c r="AH18" i="7"/>
  <c r="AH19" i="7" s="1"/>
  <c r="BU85" i="7"/>
  <c r="BU87" i="7" s="1"/>
  <c r="BU89" i="7" s="1"/>
  <c r="BD42" i="4"/>
  <c r="T63" i="7"/>
  <c r="T65" i="7" s="1"/>
  <c r="S12" i="14" s="1"/>
  <c r="BC87" i="4"/>
  <c r="BC88" i="4" s="1"/>
  <c r="BH65" i="1"/>
  <c r="BG5" i="14" s="1"/>
  <c r="AM39" i="7"/>
  <c r="AM40" i="7" s="1"/>
  <c r="AH67" i="6"/>
  <c r="AB42" i="6"/>
  <c r="T64" i="4"/>
  <c r="BP38" i="7"/>
  <c r="BP40" i="7" s="1"/>
  <c r="BP41" i="7" s="1"/>
  <c r="BO74" i="2"/>
  <c r="BV27" i="4"/>
  <c r="AZ87" i="5"/>
  <c r="AZ88" i="5" s="1"/>
  <c r="AR87" i="6"/>
  <c r="AR89" i="6" s="1"/>
  <c r="P28" i="6"/>
  <c r="AU89" i="5"/>
  <c r="AB27" i="6"/>
  <c r="AQ20" i="2"/>
  <c r="AP6" i="13" s="1"/>
  <c r="J41" i="2"/>
  <c r="AU41" i="6"/>
  <c r="BS41" i="4"/>
  <c r="BV12" i="7"/>
  <c r="BU12" i="8" s="1"/>
  <c r="CG42" i="7"/>
  <c r="CG41" i="7"/>
  <c r="BZ41" i="6"/>
  <c r="BZ42" i="6"/>
  <c r="BT65" i="5"/>
  <c r="BS9" i="14" s="1"/>
  <c r="BT64" i="5"/>
  <c r="BJ40" i="5"/>
  <c r="BJ41" i="5" s="1"/>
  <c r="BK74" i="5"/>
  <c r="BK75" i="5"/>
  <c r="BI41" i="5"/>
  <c r="BI42" i="5"/>
  <c r="BL27" i="6"/>
  <c r="BL28" i="6"/>
  <c r="BW88" i="2"/>
  <c r="BW89" i="2"/>
  <c r="BL42" i="2"/>
  <c r="BA65" i="5"/>
  <c r="AZ9" i="14" s="1"/>
  <c r="BA64" i="5"/>
  <c r="BB41" i="5"/>
  <c r="BB42" i="5"/>
  <c r="BA65" i="2"/>
  <c r="AZ6" i="14" s="1"/>
  <c r="BA64" i="2"/>
  <c r="BA67" i="2"/>
  <c r="S65" i="6"/>
  <c r="R8" i="14" s="1"/>
  <c r="S67" i="6"/>
  <c r="S64" i="6"/>
  <c r="BJ20" i="6"/>
  <c r="BI8" i="13" s="1"/>
  <c r="AM65" i="4"/>
  <c r="AL7" i="14" s="1"/>
  <c r="AM64" i="4"/>
  <c r="AM67" i="4"/>
  <c r="AP65" i="6"/>
  <c r="AO8" i="14" s="1"/>
  <c r="AP64" i="6"/>
  <c r="AS19" i="4"/>
  <c r="AS20" i="4"/>
  <c r="AR7" i="13" s="1"/>
  <c r="AT42" i="2"/>
  <c r="AT41" i="2"/>
  <c r="AV20" i="5"/>
  <c r="AU9" i="13" s="1"/>
  <c r="AV67" i="5"/>
  <c r="AS74" i="5"/>
  <c r="AS75" i="5"/>
  <c r="AM64" i="6"/>
  <c r="AM67" i="6"/>
  <c r="AM65" i="6"/>
  <c r="AL8" i="14" s="1"/>
  <c r="AQ40" i="2"/>
  <c r="AQ41" i="2" s="1"/>
  <c r="AX19" i="4"/>
  <c r="AX67" i="4"/>
  <c r="Z25" i="7"/>
  <c r="Z28" i="4"/>
  <c r="Q41" i="1"/>
  <c r="Q42" i="1"/>
  <c r="BL88" i="1"/>
  <c r="BL89" i="1"/>
  <c r="U19" i="6"/>
  <c r="AD88" i="5"/>
  <c r="AD89" i="5"/>
  <c r="AE65" i="5"/>
  <c r="AD9" i="14" s="1"/>
  <c r="AE64" i="5"/>
  <c r="BM40" i="5"/>
  <c r="Y75" i="6"/>
  <c r="AP27" i="4"/>
  <c r="AP28" i="4"/>
  <c r="X75" i="5"/>
  <c r="BW41" i="6"/>
  <c r="BW42" i="6"/>
  <c r="BU55" i="2"/>
  <c r="BT6" i="15" s="1"/>
  <c r="BU57" i="2"/>
  <c r="BU54" i="2"/>
  <c r="BJ86" i="7"/>
  <c r="V42" i="5"/>
  <c r="AD42" i="6"/>
  <c r="AD41" i="6"/>
  <c r="R42" i="2"/>
  <c r="P42" i="1"/>
  <c r="AW89" i="2"/>
  <c r="BU67" i="7"/>
  <c r="CB87" i="6"/>
  <c r="CB88" i="6" s="1"/>
  <c r="BL64" i="4"/>
  <c r="BL65" i="4"/>
  <c r="BK7" i="14" s="1"/>
  <c r="BH88" i="6"/>
  <c r="BH89" i="6"/>
  <c r="AK67" i="5"/>
  <c r="AK19" i="5"/>
  <c r="AK20" i="5"/>
  <c r="AJ9" i="13" s="1"/>
  <c r="BI19" i="6"/>
  <c r="BI20" i="6"/>
  <c r="BH8" i="13" s="1"/>
  <c r="BF42" i="2"/>
  <c r="AJ65" i="4"/>
  <c r="AI7" i="14" s="1"/>
  <c r="AJ64" i="4"/>
  <c r="AJ67" i="4"/>
  <c r="AS20" i="5"/>
  <c r="AR9" i="13" s="1"/>
  <c r="AS19" i="5"/>
  <c r="AV67" i="4"/>
  <c r="AV20" i="4"/>
  <c r="AU7" i="13" s="1"/>
  <c r="AV19" i="4"/>
  <c r="BM65" i="2"/>
  <c r="BL6" i="14" s="1"/>
  <c r="BM64" i="2"/>
  <c r="Y40" i="6"/>
  <c r="Y41" i="6" s="1"/>
  <c r="BB19" i="5"/>
  <c r="BB20" i="5"/>
  <c r="BA9" i="13" s="1"/>
  <c r="AQ82" i="1"/>
  <c r="AQ81" i="1"/>
  <c r="BO19" i="5"/>
  <c r="BO20" i="5"/>
  <c r="BN9" i="13" s="1"/>
  <c r="AR12" i="7"/>
  <c r="AQ5" i="26" s="1"/>
  <c r="BZ86" i="7"/>
  <c r="T42" i="5"/>
  <c r="D88" i="6"/>
  <c r="CA41" i="5"/>
  <c r="CD57" i="7"/>
  <c r="BS12" i="8"/>
  <c r="BR85" i="7"/>
  <c r="BU65" i="7"/>
  <c r="BT12" i="14" s="1"/>
  <c r="BB67" i="5"/>
  <c r="AX73" i="7"/>
  <c r="AX74" i="7" s="1"/>
  <c r="AH89" i="6"/>
  <c r="W42" i="2"/>
  <c r="BO38" i="7"/>
  <c r="BO40" i="2"/>
  <c r="BQ88" i="2"/>
  <c r="BQ89" i="2"/>
  <c r="AS19" i="1"/>
  <c r="AS67" i="1"/>
  <c r="R67" i="6"/>
  <c r="R64" i="6"/>
  <c r="R65" i="6"/>
  <c r="Q8" i="14" s="1"/>
  <c r="BF19" i="2"/>
  <c r="BF20" i="2"/>
  <c r="BE6" i="13" s="1"/>
  <c r="AO41" i="2"/>
  <c r="AO42" i="2"/>
  <c r="AF28" i="6"/>
  <c r="AF27" i="6"/>
  <c r="U62" i="7"/>
  <c r="U63" i="7" s="1"/>
  <c r="U64" i="7" s="1"/>
  <c r="U65" i="4"/>
  <c r="T7" i="14" s="1"/>
  <c r="AG28" i="6"/>
  <c r="AG27" i="6"/>
  <c r="P38" i="7"/>
  <c r="BM27" i="4"/>
  <c r="BM40" i="4"/>
  <c r="BM41" i="4" s="1"/>
  <c r="AS40" i="5"/>
  <c r="AS41" i="5" s="1"/>
  <c r="W19" i="6"/>
  <c r="AH20" i="5"/>
  <c r="AG9" i="13" s="1"/>
  <c r="AH19" i="5"/>
  <c r="AH67" i="5"/>
  <c r="BC40" i="5"/>
  <c r="BC41" i="5" s="1"/>
  <c r="AL74" i="4"/>
  <c r="AL75" i="4"/>
  <c r="AL87" i="4"/>
  <c r="BH67" i="2"/>
  <c r="BH65" i="2"/>
  <c r="BG6" i="14" s="1"/>
  <c r="BH64" i="2"/>
  <c r="BL28" i="4"/>
  <c r="BL27" i="4"/>
  <c r="AH42" i="1"/>
  <c r="AD28" i="6"/>
  <c r="AD27" i="6"/>
  <c r="Q42" i="2"/>
  <c r="AL82" i="7"/>
  <c r="E12" i="7"/>
  <c r="D5" i="26" s="1"/>
  <c r="U54" i="7"/>
  <c r="AF74" i="7"/>
  <c r="BR67" i="2"/>
  <c r="BC40" i="2"/>
  <c r="BC41" i="2" s="1"/>
  <c r="BI28" i="2"/>
  <c r="AA88" i="2"/>
  <c r="V89" i="6"/>
  <c r="T73" i="7"/>
  <c r="T75" i="7" s="1"/>
  <c r="S6" i="24" s="1"/>
  <c r="G27" i="7"/>
  <c r="CB57" i="7"/>
  <c r="BZ67" i="4"/>
  <c r="CB41" i="5"/>
  <c r="AY57" i="7"/>
  <c r="Y42" i="1"/>
  <c r="BJ82" i="7"/>
  <c r="L57" i="7"/>
  <c r="BK65" i="7"/>
  <c r="BJ12" i="14" s="1"/>
  <c r="J54" i="7"/>
  <c r="BZ74" i="5"/>
  <c r="D85" i="7"/>
  <c r="D87" i="7" s="1"/>
  <c r="D88" i="7" s="1"/>
  <c r="BM35" i="7"/>
  <c r="BL8" i="26" s="1"/>
  <c r="BS75" i="1"/>
  <c r="AY40" i="1"/>
  <c r="AY42" i="1" s="1"/>
  <c r="U18" i="7"/>
  <c r="U19" i="7" s="1"/>
  <c r="Z72" i="7"/>
  <c r="Z73" i="7" s="1"/>
  <c r="Z74" i="7" s="1"/>
  <c r="Y17" i="7"/>
  <c r="Y18" i="7" s="1"/>
  <c r="Y20" i="7" s="1"/>
  <c r="AG40" i="5"/>
  <c r="AG41" i="5" s="1"/>
  <c r="BF39" i="7"/>
  <c r="L87" i="7"/>
  <c r="L89" i="7" s="1"/>
  <c r="BT63" i="7"/>
  <c r="BT65" i="7" s="1"/>
  <c r="BS12" i="14" s="1"/>
  <c r="BB89" i="6"/>
  <c r="AW42" i="4"/>
  <c r="BC67" i="6"/>
  <c r="AZ19" i="4"/>
  <c r="BA38" i="7"/>
  <c r="AP41" i="4"/>
  <c r="BH64" i="1"/>
  <c r="AW38" i="7"/>
  <c r="AZ40" i="4"/>
  <c r="AZ41" i="4" s="1"/>
  <c r="BA75" i="1"/>
  <c r="AT64" i="2"/>
  <c r="AH39" i="7"/>
  <c r="AB87" i="6"/>
  <c r="AB89" i="6" s="1"/>
  <c r="Q26" i="7"/>
  <c r="Q27" i="7" s="1"/>
  <c r="G42" i="5"/>
  <c r="AN67" i="6"/>
  <c r="BI40" i="1"/>
  <c r="BI85" i="7"/>
  <c r="Z86" i="4"/>
  <c r="Z89" i="4" s="1"/>
  <c r="BL86" i="7"/>
  <c r="BL87" i="7" s="1"/>
  <c r="BO42" i="5"/>
  <c r="AT67" i="4"/>
  <c r="BJ42" i="1"/>
  <c r="BM67" i="2"/>
  <c r="AO89" i="4"/>
  <c r="AE89" i="6"/>
  <c r="BY81" i="7"/>
  <c r="BU82" i="7"/>
  <c r="BW35" i="7"/>
  <c r="BV8" i="26" s="1"/>
  <c r="BP89" i="4"/>
  <c r="BP86" i="7"/>
  <c r="BT88" i="5"/>
  <c r="BT89" i="5"/>
  <c r="BL19" i="2"/>
  <c r="BL20" i="2"/>
  <c r="BK6" i="13" s="1"/>
  <c r="BJ67" i="4"/>
  <c r="BP19" i="2"/>
  <c r="BP20" i="2"/>
  <c r="BO6" i="13" s="1"/>
  <c r="BE41" i="6"/>
  <c r="BE42" i="6"/>
  <c r="BG87" i="4"/>
  <c r="AZ40" i="2"/>
  <c r="AZ41" i="2" s="1"/>
  <c r="Z65" i="6"/>
  <c r="Y8" i="14" s="1"/>
  <c r="Z64" i="6"/>
  <c r="Z67" i="6"/>
  <c r="AK64" i="4"/>
  <c r="AK67" i="4"/>
  <c r="AK65" i="4"/>
  <c r="AJ7" i="14" s="1"/>
  <c r="AK87" i="4"/>
  <c r="BI67" i="5"/>
  <c r="BI64" i="5"/>
  <c r="BI75" i="6"/>
  <c r="BJ67" i="6"/>
  <c r="BI41" i="6"/>
  <c r="BI42" i="6"/>
  <c r="BF67" i="2"/>
  <c r="BF28" i="4"/>
  <c r="BC65" i="4"/>
  <c r="BB7" i="14" s="1"/>
  <c r="AM19" i="4"/>
  <c r="AM20" i="4"/>
  <c r="AL7" i="13" s="1"/>
  <c r="AM40" i="4"/>
  <c r="AU67" i="5"/>
  <c r="AU20" i="5"/>
  <c r="AT9" i="13" s="1"/>
  <c r="AU19" i="5"/>
  <c r="P12" i="5"/>
  <c r="O9" i="8" s="1"/>
  <c r="P11" i="5"/>
  <c r="AB74" i="4"/>
  <c r="AB87" i="4"/>
  <c r="AB89" i="4" s="1"/>
  <c r="BJ42" i="4"/>
  <c r="AL64" i="6"/>
  <c r="AL65" i="6"/>
  <c r="AK8" i="14" s="1"/>
  <c r="AU19" i="4"/>
  <c r="AU20" i="4"/>
  <c r="AT7" i="13" s="1"/>
  <c r="AU67" i="4"/>
  <c r="AW20" i="4"/>
  <c r="AV7" i="13" s="1"/>
  <c r="AW19" i="4"/>
  <c r="AW67" i="4"/>
  <c r="AX64" i="1"/>
  <c r="AX65" i="1"/>
  <c r="AW5" i="14" s="1"/>
  <c r="AX67" i="1"/>
  <c r="Z88" i="2"/>
  <c r="Z89" i="2"/>
  <c r="BT74" i="6"/>
  <c r="BT75" i="6"/>
  <c r="X20" i="6"/>
  <c r="W8" i="13" s="1"/>
  <c r="X19" i="6"/>
  <c r="AD20" i="6"/>
  <c r="AC8" i="13" s="1"/>
  <c r="Y42" i="2"/>
  <c r="T35" i="4"/>
  <c r="AM89" i="4"/>
  <c r="W65" i="4"/>
  <c r="V7" i="14" s="1"/>
  <c r="W62" i="7"/>
  <c r="AV27" i="2"/>
  <c r="AV28" i="2"/>
  <c r="AG40" i="6"/>
  <c r="AG41" i="6" s="1"/>
  <c r="AS28" i="1"/>
  <c r="BM28" i="4"/>
  <c r="BJ75" i="1"/>
  <c r="AW74" i="2"/>
  <c r="AW75" i="2"/>
  <c r="BK88" i="4"/>
  <c r="BK89" i="4"/>
  <c r="BL89" i="6"/>
  <c r="C89" i="6"/>
  <c r="S87" i="5"/>
  <c r="S88" i="5" s="1"/>
  <c r="AF75" i="4"/>
  <c r="U38" i="7"/>
  <c r="CC64" i="7"/>
  <c r="CC28" i="7"/>
  <c r="CB7" i="26" s="1"/>
  <c r="AM81" i="7"/>
  <c r="J57" i="7"/>
  <c r="AY54" i="7"/>
  <c r="Z12" i="7"/>
  <c r="Y12" i="8" s="1"/>
  <c r="X12" i="7"/>
  <c r="W12" i="8" s="1"/>
  <c r="AV74" i="7"/>
  <c r="BB65" i="7"/>
  <c r="BA12" i="14" s="1"/>
  <c r="AN54" i="7"/>
  <c r="AT74" i="7"/>
  <c r="CC65" i="7"/>
  <c r="CB12" i="14" s="1"/>
  <c r="G81" i="7"/>
  <c r="M54" i="7"/>
  <c r="AT28" i="7"/>
  <c r="AS5" i="24" s="1"/>
  <c r="AL34" i="7"/>
  <c r="AH26" i="7"/>
  <c r="AH28" i="7" s="1"/>
  <c r="G40" i="7"/>
  <c r="G41" i="7" s="1"/>
  <c r="D81" i="7"/>
  <c r="AG26" i="7"/>
  <c r="AG28" i="7" s="1"/>
  <c r="AF26" i="7"/>
  <c r="AF28" i="7" s="1"/>
  <c r="AL63" i="7"/>
  <c r="AL65" i="7" s="1"/>
  <c r="AK12" i="14" s="1"/>
  <c r="AP18" i="7"/>
  <c r="AP19" i="7" s="1"/>
  <c r="BV54" i="7"/>
  <c r="W11" i="7"/>
  <c r="BY11" i="7"/>
  <c r="BZ34" i="7"/>
  <c r="BL82" i="7"/>
  <c r="R73" i="7"/>
  <c r="R74" i="7" s="1"/>
  <c r="K81" i="7"/>
  <c r="AZ12" i="7"/>
  <c r="AY5" i="26" s="1"/>
  <c r="D67" i="7"/>
  <c r="AA82" i="7"/>
  <c r="CD64" i="7"/>
  <c r="BF82" i="7"/>
  <c r="D65" i="7"/>
  <c r="C12" i="14" s="1"/>
  <c r="E55" i="7"/>
  <c r="D12" i="15" s="1"/>
  <c r="AA54" i="7"/>
  <c r="I87" i="7"/>
  <c r="I88" i="7" s="1"/>
  <c r="E87" i="7"/>
  <c r="E88" i="7" s="1"/>
  <c r="BU64" i="7"/>
  <c r="BU55" i="7"/>
  <c r="BT12" i="15" s="1"/>
  <c r="AK63" i="7"/>
  <c r="AK65" i="7" s="1"/>
  <c r="AJ12" i="14" s="1"/>
  <c r="H40" i="7"/>
  <c r="H42" i="7" s="1"/>
  <c r="BZ12" i="7"/>
  <c r="BY12" i="8" s="1"/>
  <c r="H75" i="7"/>
  <c r="G6" i="24" s="1"/>
  <c r="N75" i="7"/>
  <c r="M6" i="24" s="1"/>
  <c r="CD67" i="7"/>
  <c r="AB63" i="7"/>
  <c r="AB64" i="7" s="1"/>
  <c r="C81" i="7"/>
  <c r="K28" i="7"/>
  <c r="J7" i="26" s="1"/>
  <c r="AC57" i="7"/>
  <c r="CC81" i="7"/>
  <c r="BO28" i="7"/>
  <c r="BN5" i="24" s="1"/>
  <c r="AZ82" i="7"/>
  <c r="N67" i="7"/>
  <c r="T28" i="7"/>
  <c r="S7" i="26" s="1"/>
  <c r="BA82" i="7"/>
  <c r="I75" i="7"/>
  <c r="H6" i="24" s="1"/>
  <c r="BT11" i="7"/>
  <c r="AU73" i="7"/>
  <c r="AU74" i="7" s="1"/>
  <c r="J74" i="7"/>
  <c r="J75" i="7"/>
  <c r="I6" i="24" s="1"/>
  <c r="Q54" i="7"/>
  <c r="AD12" i="7"/>
  <c r="AC12" i="8" s="1"/>
  <c r="C74" i="7"/>
  <c r="AC74" i="7"/>
  <c r="BL74" i="7"/>
  <c r="AS75" i="7"/>
  <c r="AR6" i="24" s="1"/>
  <c r="CA64" i="7"/>
  <c r="AV11" i="7"/>
  <c r="AC54" i="7"/>
  <c r="BL19" i="7"/>
  <c r="CD20" i="7"/>
  <c r="CC12" i="13" s="1"/>
  <c r="BI57" i="7"/>
  <c r="AH55" i="7"/>
  <c r="AG12" i="15" s="1"/>
  <c r="BS5" i="26"/>
  <c r="H87" i="7"/>
  <c r="H88" i="7" s="1"/>
  <c r="W54" i="7"/>
  <c r="CE57" i="7"/>
  <c r="P26" i="7"/>
  <c r="P27" i="7" s="1"/>
  <c r="J81" i="7"/>
  <c r="BM20" i="7"/>
  <c r="X82" i="7"/>
  <c r="BS26" i="7"/>
  <c r="BS27" i="7" s="1"/>
  <c r="AF63" i="7"/>
  <c r="AF64" i="7" s="1"/>
  <c r="BZ73" i="7"/>
  <c r="BZ75" i="7" s="1"/>
  <c r="BY6" i="24" s="1"/>
  <c r="BQ35" i="7"/>
  <c r="BP8" i="26" s="1"/>
  <c r="BS11" i="7"/>
  <c r="AE34" i="7"/>
  <c r="CD19" i="7"/>
  <c r="M57" i="7"/>
  <c r="H57" i="7"/>
  <c r="BV12" i="8"/>
  <c r="BS20" i="7"/>
  <c r="BR6" i="26" s="1"/>
  <c r="V28" i="7"/>
  <c r="AX18" i="7"/>
  <c r="AX20" i="7" s="1"/>
  <c r="AW12" i="13" s="1"/>
  <c r="M87" i="7"/>
  <c r="M88" i="7" s="1"/>
  <c r="F75" i="7"/>
  <c r="E6" i="24" s="1"/>
  <c r="BZ12" i="8"/>
  <c r="BZ5" i="26"/>
  <c r="BZ9" i="26"/>
  <c r="BA75" i="7"/>
  <c r="AZ6" i="24" s="1"/>
  <c r="BA74" i="7"/>
  <c r="BP19" i="7"/>
  <c r="BP67" i="7"/>
  <c r="AI20" i="7"/>
  <c r="AH6" i="26" s="1"/>
  <c r="P63" i="7"/>
  <c r="P64" i="7" s="1"/>
  <c r="AB26" i="7"/>
  <c r="AB28" i="7" s="1"/>
  <c r="AA7" i="26" s="1"/>
  <c r="AB18" i="7"/>
  <c r="AB19" i="7" s="1"/>
  <c r="V82" i="7"/>
  <c r="BT57" i="7"/>
  <c r="BM11" i="7"/>
  <c r="M65" i="7"/>
  <c r="L12" i="14" s="1"/>
  <c r="O11" i="7"/>
  <c r="E57" i="7"/>
  <c r="Y75" i="7"/>
  <c r="X6" i="24" s="1"/>
  <c r="Z57" i="7"/>
  <c r="AR35" i="7"/>
  <c r="AQ8" i="26" s="1"/>
  <c r="AG12" i="7"/>
  <c r="AF9" i="26" s="1"/>
  <c r="T57" i="7"/>
  <c r="AK18" i="7"/>
  <c r="AK19" i="7" s="1"/>
  <c r="AE18" i="7"/>
  <c r="AE19" i="7" s="1"/>
  <c r="AR18" i="7"/>
  <c r="AR20" i="7" s="1"/>
  <c r="AR63" i="7"/>
  <c r="AR64" i="7" s="1"/>
  <c r="BA26" i="7"/>
  <c r="G74" i="7"/>
  <c r="G75" i="7"/>
  <c r="F6" i="24" s="1"/>
  <c r="I81" i="7"/>
  <c r="AH12" i="7"/>
  <c r="AG5" i="26" s="1"/>
  <c r="P11" i="7"/>
  <c r="J11" i="7"/>
  <c r="F35" i="7"/>
  <c r="E8" i="26" s="1"/>
  <c r="AW57" i="7"/>
  <c r="BQ82" i="7"/>
  <c r="W28" i="7"/>
  <c r="V5" i="24" s="1"/>
  <c r="BS67" i="7"/>
  <c r="J87" i="7"/>
  <c r="J88" i="7" s="1"/>
  <c r="F87" i="7"/>
  <c r="F88" i="7" s="1"/>
  <c r="R82" i="7"/>
  <c r="F81" i="7"/>
  <c r="X57" i="7"/>
  <c r="BT55" i="7"/>
  <c r="BS12" i="15" s="1"/>
  <c r="AP34" i="7"/>
  <c r="AP35" i="7"/>
  <c r="AO8" i="26" s="1"/>
  <c r="K74" i="7"/>
  <c r="K75" i="7"/>
  <c r="J6" i="24" s="1"/>
  <c r="BV67" i="7"/>
  <c r="BV65" i="7"/>
  <c r="BU12" i="14" s="1"/>
  <c r="BV64" i="7"/>
  <c r="V40" i="6"/>
  <c r="V38" i="7"/>
  <c r="BS41" i="5"/>
  <c r="BS42" i="5"/>
  <c r="AZ19" i="7"/>
  <c r="AZ20" i="7"/>
  <c r="O75" i="7"/>
  <c r="N6" i="24" s="1"/>
  <c r="O74" i="7"/>
  <c r="BN19" i="7"/>
  <c r="BN20" i="7"/>
  <c r="BM12" i="13" s="1"/>
  <c r="BN67" i="7"/>
  <c r="F12" i="8"/>
  <c r="F5" i="26"/>
  <c r="F9" i="26"/>
  <c r="F5" i="23"/>
  <c r="BP89" i="1"/>
  <c r="BP88" i="1"/>
  <c r="BR67" i="7"/>
  <c r="BR64" i="7"/>
  <c r="AI74" i="7"/>
  <c r="AI75" i="7"/>
  <c r="AH6" i="24" s="1"/>
  <c r="BR88" i="5"/>
  <c r="BR89" i="5"/>
  <c r="R64" i="7"/>
  <c r="R65" i="7"/>
  <c r="Q12" i="14" s="1"/>
  <c r="V9" i="26"/>
  <c r="V12" i="8"/>
  <c r="V5" i="26"/>
  <c r="BZ65" i="7"/>
  <c r="BY12" i="14" s="1"/>
  <c r="BZ64" i="7"/>
  <c r="AY74" i="7"/>
  <c r="AY75" i="7"/>
  <c r="AX6" i="24" s="1"/>
  <c r="BT27" i="7"/>
  <c r="BT28" i="7"/>
  <c r="BS7" i="26" s="1"/>
  <c r="BD64" i="7"/>
  <c r="BV65" i="2"/>
  <c r="BU6" i="14" s="1"/>
  <c r="BV64" i="2"/>
  <c r="BI74" i="2"/>
  <c r="BI75" i="2"/>
  <c r="BF87" i="6"/>
  <c r="BF85" i="7"/>
  <c r="AO65" i="5"/>
  <c r="AN9" i="14" s="1"/>
  <c r="AO64" i="5"/>
  <c r="AO67" i="5"/>
  <c r="AN75" i="6"/>
  <c r="AN74" i="6"/>
  <c r="AX20" i="2"/>
  <c r="AW6" i="13" s="1"/>
  <c r="AX67" i="2"/>
  <c r="AI28" i="4"/>
  <c r="AI27" i="4"/>
  <c r="AI40" i="4"/>
  <c r="AI41" i="4" s="1"/>
  <c r="Y41" i="5"/>
  <c r="Y42" i="5"/>
  <c r="BT20" i="4"/>
  <c r="BS7" i="13" s="1"/>
  <c r="BT19" i="4"/>
  <c r="BC74" i="2"/>
  <c r="BC75" i="2"/>
  <c r="AU20" i="1"/>
  <c r="AT5" i="13" s="1"/>
  <c r="AU19" i="1"/>
  <c r="AM75" i="5"/>
  <c r="AM74" i="5"/>
  <c r="AF20" i="5"/>
  <c r="AE9" i="13" s="1"/>
  <c r="AF19" i="5"/>
  <c r="AL40" i="6"/>
  <c r="AL38" i="7"/>
  <c r="AL40" i="7" s="1"/>
  <c r="AP20" i="1"/>
  <c r="AO5" i="13" s="1"/>
  <c r="AP19" i="1"/>
  <c r="AP67" i="1"/>
  <c r="AP64" i="2"/>
  <c r="AP67" i="2"/>
  <c r="AR67" i="5"/>
  <c r="AR20" i="5"/>
  <c r="AQ9" i="13" s="1"/>
  <c r="AR19" i="5"/>
  <c r="BF65" i="7"/>
  <c r="BE12" i="14" s="1"/>
  <c r="BF64" i="7"/>
  <c r="AC87" i="6"/>
  <c r="AC88" i="6" s="1"/>
  <c r="S74" i="6"/>
  <c r="S75" i="6"/>
  <c r="BG88" i="1"/>
  <c r="BG89" i="1"/>
  <c r="AM74" i="2"/>
  <c r="AM75" i="2"/>
  <c r="AX19" i="2"/>
  <c r="BZ19" i="5"/>
  <c r="BN81" i="7"/>
  <c r="BI74" i="7"/>
  <c r="CD74" i="7"/>
  <c r="B6" i="23"/>
  <c r="BZ87" i="5"/>
  <c r="W57" i="7"/>
  <c r="AG87" i="5"/>
  <c r="AG89" i="5" s="1"/>
  <c r="AF67" i="5"/>
  <c r="BJ89" i="5"/>
  <c r="G11" i="7"/>
  <c r="Q39" i="7"/>
  <c r="Z18" i="7"/>
  <c r="Z19" i="7" s="1"/>
  <c r="BQ38" i="7"/>
  <c r="AQ89" i="1"/>
  <c r="BS39" i="7"/>
  <c r="N40" i="7"/>
  <c r="BS65" i="7"/>
  <c r="BR12" i="14" s="1"/>
  <c r="BS64" i="7"/>
  <c r="BG20" i="2"/>
  <c r="BF6" i="13" s="1"/>
  <c r="BG67" i="2"/>
  <c r="BG19" i="2"/>
  <c r="BS85" i="7"/>
  <c r="BS87" i="7" s="1"/>
  <c r="BS87" i="1"/>
  <c r="BP74" i="2"/>
  <c r="BP75" i="2"/>
  <c r="BQ27" i="2"/>
  <c r="BQ28" i="2"/>
  <c r="BM27" i="6"/>
  <c r="BM28" i="6"/>
  <c r="BF40" i="6"/>
  <c r="BF38" i="7"/>
  <c r="Z20" i="4"/>
  <c r="Y7" i="13" s="1"/>
  <c r="Z39" i="4"/>
  <c r="AL18" i="7"/>
  <c r="AL19" i="7" s="1"/>
  <c r="AR39" i="7"/>
  <c r="AR40" i="1"/>
  <c r="BV87" i="2"/>
  <c r="BV88" i="2" s="1"/>
  <c r="BV86" i="7"/>
  <c r="BV87" i="7" s="1"/>
  <c r="BV88" i="7" s="1"/>
  <c r="BS42" i="2"/>
  <c r="BS41" i="2"/>
  <c r="BL19" i="4"/>
  <c r="BL40" i="4"/>
  <c r="BL41" i="4" s="1"/>
  <c r="BL67" i="4"/>
  <c r="BI20" i="4"/>
  <c r="BH7" i="13" s="1"/>
  <c r="BG87" i="5"/>
  <c r="BG88" i="5" s="1"/>
  <c r="BF67" i="6"/>
  <c r="BF65" i="6"/>
  <c r="BE8" i="14" s="1"/>
  <c r="BF64" i="6"/>
  <c r="BE27" i="4"/>
  <c r="BE28" i="4"/>
  <c r="BE40" i="4"/>
  <c r="BC40" i="6"/>
  <c r="BC41" i="6" s="1"/>
  <c r="BC39" i="7"/>
  <c r="BD74" i="4"/>
  <c r="BD75" i="4"/>
  <c r="BD87" i="4"/>
  <c r="BC42" i="4"/>
  <c r="AG63" i="7"/>
  <c r="CA40" i="1"/>
  <c r="CA41" i="1" s="1"/>
  <c r="CA73" i="7"/>
  <c r="CA74" i="7" s="1"/>
  <c r="BR65" i="1"/>
  <c r="BQ5" i="14" s="1"/>
  <c r="BR64" i="1"/>
  <c r="BK88" i="2"/>
  <c r="BK89" i="2"/>
  <c r="BA87" i="6"/>
  <c r="BA88" i="6" s="1"/>
  <c r="BC88" i="6"/>
  <c r="BC89" i="6"/>
  <c r="BD41" i="5"/>
  <c r="BD42" i="5"/>
  <c r="O18" i="7"/>
  <c r="O19" i="7" s="1"/>
  <c r="AO75" i="6"/>
  <c r="AO74" i="6"/>
  <c r="AS41" i="2"/>
  <c r="AS42" i="2"/>
  <c r="AT42" i="4"/>
  <c r="AT41" i="4"/>
  <c r="CB20" i="4"/>
  <c r="CA7" i="13" s="1"/>
  <c r="CB19" i="4"/>
  <c r="AY87" i="2"/>
  <c r="AY88" i="2" s="1"/>
  <c r="Z87" i="6"/>
  <c r="Z88" i="6" s="1"/>
  <c r="AU40" i="2"/>
  <c r="AU41" i="2" s="1"/>
  <c r="AU65" i="1"/>
  <c r="AT5" i="14" s="1"/>
  <c r="AU64" i="1"/>
  <c r="AU67" i="1"/>
  <c r="AV20" i="2"/>
  <c r="AU6" i="13" s="1"/>
  <c r="AV67" i="2"/>
  <c r="AX65" i="5"/>
  <c r="AW9" i="14" s="1"/>
  <c r="AX64" i="5"/>
  <c r="AX67" i="5"/>
  <c r="AX42" i="4"/>
  <c r="AX41" i="4"/>
  <c r="AJ74" i="4"/>
  <c r="AJ87" i="4"/>
  <c r="AJ75" i="4"/>
  <c r="BQ19" i="2"/>
  <c r="BQ67" i="2"/>
  <c r="BQ20" i="2"/>
  <c r="BP6" i="13" s="1"/>
  <c r="BK41" i="1"/>
  <c r="BK42" i="1"/>
  <c r="BD65" i="1"/>
  <c r="BC5" i="14" s="1"/>
  <c r="BD67" i="1"/>
  <c r="BC65" i="5"/>
  <c r="BB9" i="14" s="1"/>
  <c r="AZ86" i="7"/>
  <c r="AS64" i="2"/>
  <c r="AS67" i="2"/>
  <c r="AS65" i="2"/>
  <c r="AR6" i="14" s="1"/>
  <c r="AU18" i="7"/>
  <c r="AU19" i="7" s="1"/>
  <c r="R20" i="5"/>
  <c r="Q9" i="13" s="1"/>
  <c r="R19" i="5"/>
  <c r="T20" i="6"/>
  <c r="S8" i="13" s="1"/>
  <c r="T19" i="6"/>
  <c r="T67" i="6"/>
  <c r="AA87" i="6"/>
  <c r="AA88" i="6" s="1"/>
  <c r="AB67" i="5"/>
  <c r="AB19" i="5"/>
  <c r="AC20" i="5"/>
  <c r="AB9" i="13" s="1"/>
  <c r="AC19" i="5"/>
  <c r="AD87" i="6"/>
  <c r="AD88" i="6" s="1"/>
  <c r="AF18" i="7"/>
  <c r="AF19" i="7" s="1"/>
  <c r="AJ65" i="5"/>
  <c r="AI9" i="14" s="1"/>
  <c r="AJ67" i="5"/>
  <c r="AM65" i="2"/>
  <c r="AL6" i="14" s="1"/>
  <c r="AM64" i="2"/>
  <c r="AM67" i="2"/>
  <c r="AO40" i="6"/>
  <c r="AO41" i="6" s="1"/>
  <c r="AP65" i="4"/>
  <c r="AO7" i="14" s="1"/>
  <c r="AP64" i="4"/>
  <c r="AP67" i="4"/>
  <c r="AP87" i="4"/>
  <c r="AQ39" i="7"/>
  <c r="AQ40" i="1"/>
  <c r="AQ41" i="1" s="1"/>
  <c r="AQ65" i="6"/>
  <c r="AP8" i="14" s="1"/>
  <c r="AQ64" i="6"/>
  <c r="AQ67" i="6"/>
  <c r="AR65" i="6"/>
  <c r="AQ8" i="14" s="1"/>
  <c r="AR67" i="6"/>
  <c r="AR64" i="6"/>
  <c r="W75" i="6"/>
  <c r="W74" i="6"/>
  <c r="AZ26" i="7"/>
  <c r="AZ27" i="7" s="1"/>
  <c r="AN89" i="2"/>
  <c r="AE42" i="6"/>
  <c r="AE41" i="6"/>
  <c r="K42" i="5"/>
  <c r="AY85" i="7"/>
  <c r="R67" i="5"/>
  <c r="P42" i="6"/>
  <c r="P82" i="5"/>
  <c r="P81" i="5"/>
  <c r="C89" i="2"/>
  <c r="C89" i="1"/>
  <c r="C88" i="1"/>
  <c r="P39" i="7"/>
  <c r="AL87" i="6"/>
  <c r="AL85" i="7"/>
  <c r="AL87" i="7" s="1"/>
  <c r="AB28" i="5"/>
  <c r="AC86" i="7"/>
  <c r="R38" i="7"/>
  <c r="R40" i="4"/>
  <c r="T40" i="6"/>
  <c r="T39" i="7"/>
  <c r="O42" i="5"/>
  <c r="BB18" i="7"/>
  <c r="BX85" i="7"/>
  <c r="BD89" i="1"/>
  <c r="AO39" i="7"/>
  <c r="AG75" i="6"/>
  <c r="Y35" i="7"/>
  <c r="X8" i="26" s="1"/>
  <c r="T42" i="2"/>
  <c r="BY87" i="5"/>
  <c r="AT75" i="4"/>
  <c r="AT74" i="4"/>
  <c r="AT87" i="4"/>
  <c r="AT88" i="4" s="1"/>
  <c r="BW19" i="1"/>
  <c r="BW20" i="1"/>
  <c r="BV5" i="13" s="1"/>
  <c r="AJ28" i="5"/>
  <c r="AF28" i="5"/>
  <c r="AF27" i="5"/>
  <c r="S38" i="7"/>
  <c r="O38" i="7"/>
  <c r="O40" i="7" s="1"/>
  <c r="O41" i="7" s="1"/>
  <c r="Q27" i="6"/>
  <c r="Q28" i="6"/>
  <c r="O87" i="5"/>
  <c r="O85" i="7"/>
  <c r="O87" i="7" s="1"/>
  <c r="Q89" i="5"/>
  <c r="BX20" i="1"/>
  <c r="BW5" i="13" s="1"/>
  <c r="T74" i="6"/>
  <c r="T75" i="6"/>
  <c r="BY41" i="1"/>
  <c r="BY42" i="1"/>
  <c r="AM85" i="7"/>
  <c r="AM87" i="2"/>
  <c r="AM88" i="2" s="1"/>
  <c r="M42" i="2"/>
  <c r="CA39" i="7"/>
  <c r="CA40" i="7" s="1"/>
  <c r="CA42" i="7" s="1"/>
  <c r="AD86" i="7"/>
  <c r="AU42" i="4"/>
  <c r="BS88" i="5"/>
  <c r="BS89" i="5"/>
  <c r="BP65" i="6"/>
  <c r="BO8" i="14" s="1"/>
  <c r="BP67" i="6"/>
  <c r="BP64" i="6"/>
  <c r="BJ88" i="2"/>
  <c r="BJ89" i="2"/>
  <c r="BQ88" i="6"/>
  <c r="BQ89" i="6"/>
  <c r="BY75" i="4"/>
  <c r="BY87" i="4"/>
  <c r="BY88" i="4" s="1"/>
  <c r="BY74" i="4"/>
  <c r="BL39" i="7"/>
  <c r="BJ88" i="6"/>
  <c r="BJ89" i="6"/>
  <c r="BB40" i="6"/>
  <c r="BB38" i="7"/>
  <c r="BV20" i="2"/>
  <c r="BU6" i="13" s="1"/>
  <c r="BV19" i="2"/>
  <c r="AS74" i="4"/>
  <c r="AS87" i="4"/>
  <c r="AS75" i="4"/>
  <c r="BL87" i="4"/>
  <c r="BL74" i="4"/>
  <c r="BL75" i="4"/>
  <c r="BC87" i="5"/>
  <c r="BC88" i="5" s="1"/>
  <c r="AS87" i="2"/>
  <c r="AS85" i="7"/>
  <c r="BA19" i="5"/>
  <c r="BA20" i="5"/>
  <c r="AZ9" i="13" s="1"/>
  <c r="BA67" i="5"/>
  <c r="BK38" i="7"/>
  <c r="BX88" i="1"/>
  <c r="BX89" i="1"/>
  <c r="AT86" i="7"/>
  <c r="AW88" i="4"/>
  <c r="AW89" i="4"/>
  <c r="BR20" i="7"/>
  <c r="BR19" i="7"/>
  <c r="AK87" i="6"/>
  <c r="AK85" i="7"/>
  <c r="AK87" i="7" s="1"/>
  <c r="AK88" i="7" s="1"/>
  <c r="P88" i="4"/>
  <c r="Q88" i="4"/>
  <c r="Q89" i="4"/>
  <c r="BY27" i="1"/>
  <c r="BY28" i="1"/>
  <c r="BY89" i="1"/>
  <c r="D11" i="7"/>
  <c r="AB55" i="7"/>
  <c r="AA12" i="15" s="1"/>
  <c r="AA57" i="7"/>
  <c r="BZ57" i="7"/>
  <c r="P20" i="7"/>
  <c r="O12" i="13" s="1"/>
  <c r="Q75" i="7"/>
  <c r="P6" i="24" s="1"/>
  <c r="BT67" i="4"/>
  <c r="BD55" i="7"/>
  <c r="BC12" i="15" s="1"/>
  <c r="AK75" i="7"/>
  <c r="AJ6" i="24" s="1"/>
  <c r="BD82" i="7"/>
  <c r="BM41" i="1"/>
  <c r="BP28" i="7"/>
  <c r="V63" i="7"/>
  <c r="V64" i="7" s="1"/>
  <c r="AT75" i="1"/>
  <c r="BN38" i="7"/>
  <c r="AR85" i="7"/>
  <c r="AR87" i="7" s="1"/>
  <c r="BR67" i="1"/>
  <c r="T89" i="1"/>
  <c r="AU74" i="1"/>
  <c r="BU41" i="2"/>
  <c r="BU42" i="2"/>
  <c r="BO65" i="2"/>
  <c r="BN6" i="14" s="1"/>
  <c r="BO64" i="2"/>
  <c r="BR88" i="2"/>
  <c r="BR89" i="2"/>
  <c r="BG40" i="5"/>
  <c r="BG41" i="5" s="1"/>
  <c r="BT87" i="2"/>
  <c r="BT86" i="7"/>
  <c r="BM64" i="6"/>
  <c r="BM67" i="6"/>
  <c r="BM65" i="6"/>
  <c r="BL8" i="14" s="1"/>
  <c r="BA40" i="4"/>
  <c r="BA41" i="4" s="1"/>
  <c r="BA19" i="4"/>
  <c r="BA20" i="4"/>
  <c r="AZ7" i="13" s="1"/>
  <c r="BO73" i="7"/>
  <c r="BO74" i="7" s="1"/>
  <c r="AZ42" i="6"/>
  <c r="AZ41" i="6"/>
  <c r="BR74" i="6"/>
  <c r="BR75" i="6"/>
  <c r="BF20" i="6"/>
  <c r="BE8" i="13" s="1"/>
  <c r="BF19" i="6"/>
  <c r="BH41" i="6"/>
  <c r="BH42" i="6"/>
  <c r="BJ85" i="7"/>
  <c r="V19" i="6"/>
  <c r="V16" i="7"/>
  <c r="V18" i="7" s="1"/>
  <c r="BZ27" i="7"/>
  <c r="BZ28" i="7"/>
  <c r="BV27" i="2"/>
  <c r="BV28" i="2"/>
  <c r="BG67" i="6"/>
  <c r="BG65" i="6"/>
  <c r="BF8" i="14" s="1"/>
  <c r="CA26" i="7"/>
  <c r="CA27" i="7" s="1"/>
  <c r="BT40" i="2"/>
  <c r="BT41" i="2" s="1"/>
  <c r="BT38" i="7"/>
  <c r="BK74" i="2"/>
  <c r="BK75" i="2"/>
  <c r="BD40" i="2"/>
  <c r="BD41" i="2" s="1"/>
  <c r="BD64" i="2"/>
  <c r="BD67" i="2"/>
  <c r="BA75" i="6"/>
  <c r="AU41" i="5"/>
  <c r="AU42" i="5"/>
  <c r="AJ26" i="7"/>
  <c r="AJ27" i="7" s="1"/>
  <c r="BZ75" i="4"/>
  <c r="BZ74" i="4"/>
  <c r="BZ38" i="7"/>
  <c r="CB87" i="2"/>
  <c r="CB88" i="2" s="1"/>
  <c r="BZ40" i="2"/>
  <c r="BZ41" i="2" s="1"/>
  <c r="BZ39" i="7"/>
  <c r="BA63" i="7"/>
  <c r="AO20" i="5"/>
  <c r="AN9" i="13" s="1"/>
  <c r="AO19" i="5"/>
  <c r="AU74" i="4"/>
  <c r="AU75" i="4"/>
  <c r="AM89" i="5"/>
  <c r="AM88" i="5"/>
  <c r="AI88" i="2"/>
  <c r="AI89" i="2"/>
  <c r="AH74" i="4"/>
  <c r="AH75" i="4"/>
  <c r="AH87" i="4"/>
  <c r="AE42" i="2"/>
  <c r="AE41" i="2"/>
  <c r="AC74" i="4"/>
  <c r="AC75" i="4"/>
  <c r="AC87" i="4"/>
  <c r="AC89" i="4" s="1"/>
  <c r="S42" i="2"/>
  <c r="S41" i="2"/>
  <c r="BI89" i="4"/>
  <c r="AU19" i="2"/>
  <c r="AU67" i="2"/>
  <c r="AU20" i="2"/>
  <c r="AT6" i="13" s="1"/>
  <c r="AV39" i="7"/>
  <c r="X25" i="7"/>
  <c r="X39" i="4"/>
  <c r="X39" i="7" s="1"/>
  <c r="X28" i="4"/>
  <c r="BU64" i="4"/>
  <c r="BU87" i="4"/>
  <c r="BQ39" i="7"/>
  <c r="BD20" i="5"/>
  <c r="BC9" i="13" s="1"/>
  <c r="BD19" i="5"/>
  <c r="BD89" i="2"/>
  <c r="BD88" i="2"/>
  <c r="BA67" i="4"/>
  <c r="BA86" i="7"/>
  <c r="AM19" i="5"/>
  <c r="AM67" i="5"/>
  <c r="AM20" i="5"/>
  <c r="AL9" i="13" s="1"/>
  <c r="AQ27" i="4"/>
  <c r="AQ40" i="4"/>
  <c r="AQ41" i="4" s="1"/>
  <c r="AM28" i="5"/>
  <c r="AM27" i="5"/>
  <c r="AN85" i="7"/>
  <c r="AN87" i="7" s="1"/>
  <c r="AK41" i="2"/>
  <c r="AK42" i="2"/>
  <c r="X72" i="7"/>
  <c r="X75" i="4"/>
  <c r="X86" i="4"/>
  <c r="X89" i="4" s="1"/>
  <c r="AY74" i="5"/>
  <c r="AY75" i="5"/>
  <c r="R18" i="7"/>
  <c r="R67" i="7" s="1"/>
  <c r="AA67" i="6"/>
  <c r="AA64" i="6"/>
  <c r="AA65" i="6"/>
  <c r="Z8" i="14" s="1"/>
  <c r="AD67" i="6"/>
  <c r="AD64" i="6"/>
  <c r="AD65" i="6"/>
  <c r="AC8" i="14" s="1"/>
  <c r="AF67" i="6"/>
  <c r="AF65" i="6"/>
  <c r="AE8" i="14" s="1"/>
  <c r="AF64" i="6"/>
  <c r="AG65" i="6"/>
  <c r="AF8" i="14" s="1"/>
  <c r="AG67" i="6"/>
  <c r="AG64" i="6"/>
  <c r="AM63" i="7"/>
  <c r="AO20" i="6"/>
  <c r="AN8" i="13" s="1"/>
  <c r="AO19" i="6"/>
  <c r="AO67" i="6"/>
  <c r="AP20" i="6"/>
  <c r="AO8" i="13" s="1"/>
  <c r="AP19" i="6"/>
  <c r="AP67" i="6"/>
  <c r="AP65" i="2"/>
  <c r="AO6" i="14" s="1"/>
  <c r="AQ20" i="1"/>
  <c r="AP5" i="13" s="1"/>
  <c r="AQ19" i="1"/>
  <c r="AQ67" i="1"/>
  <c r="H42" i="1"/>
  <c r="H41" i="1"/>
  <c r="BA40" i="1"/>
  <c r="BQ89" i="4"/>
  <c r="BQ88" i="4"/>
  <c r="Q40" i="6"/>
  <c r="Q41" i="6" s="1"/>
  <c r="BY27" i="7"/>
  <c r="BY28" i="7"/>
  <c r="AR38" i="7"/>
  <c r="C85" i="7"/>
  <c r="C87" i="7" s="1"/>
  <c r="BG42" i="2"/>
  <c r="AL74" i="6"/>
  <c r="AL75" i="6"/>
  <c r="AE75" i="6"/>
  <c r="AE74" i="6"/>
  <c r="AC40" i="4"/>
  <c r="AC41" i="4" s="1"/>
  <c r="AC27" i="4"/>
  <c r="AC89" i="2"/>
  <c r="AC88" i="2"/>
  <c r="S86" i="7"/>
  <c r="S87" i="4"/>
  <c r="S88" i="4" s="1"/>
  <c r="BG86" i="7"/>
  <c r="BD86" i="7"/>
  <c r="O42" i="2"/>
  <c r="O41" i="2"/>
  <c r="G42" i="2"/>
  <c r="BO89" i="5"/>
  <c r="AZ73" i="7"/>
  <c r="AZ74" i="7" s="1"/>
  <c r="Q75" i="6"/>
  <c r="Q74" i="6"/>
  <c r="AL40" i="5"/>
  <c r="AU75" i="2"/>
  <c r="S40" i="6"/>
  <c r="S41" i="6" s="1"/>
  <c r="S39" i="7"/>
  <c r="M89" i="2"/>
  <c r="BO67" i="2"/>
  <c r="BO19" i="2"/>
  <c r="BO20" i="2"/>
  <c r="BN6" i="13" s="1"/>
  <c r="BF87" i="2"/>
  <c r="BF88" i="2" s="1"/>
  <c r="BP41" i="2"/>
  <c r="BP42" i="2"/>
  <c r="BV89" i="4"/>
  <c r="BV88" i="4"/>
  <c r="BG40" i="6"/>
  <c r="BG41" i="6" s="1"/>
  <c r="BA74" i="2"/>
  <c r="BA75" i="2"/>
  <c r="BV26" i="7"/>
  <c r="BV27" i="7" s="1"/>
  <c r="BS67" i="6"/>
  <c r="BS64" i="6"/>
  <c r="BK64" i="6"/>
  <c r="BK67" i="6"/>
  <c r="BK65" i="6"/>
  <c r="BJ8" i="14" s="1"/>
  <c r="BI19" i="4"/>
  <c r="BI40" i="4"/>
  <c r="BI41" i="4" s="1"/>
  <c r="BF86" i="7"/>
  <c r="BO74" i="5"/>
  <c r="BO75" i="5"/>
  <c r="AY74" i="6"/>
  <c r="AY75" i="6"/>
  <c r="AZ64" i="6"/>
  <c r="AZ67" i="6"/>
  <c r="AY19" i="6"/>
  <c r="AY20" i="6"/>
  <c r="AX8" i="13" s="1"/>
  <c r="AZ74" i="4"/>
  <c r="AZ87" i="4"/>
  <c r="AZ88" i="4" s="1"/>
  <c r="BA39" i="7"/>
  <c r="BA40" i="2"/>
  <c r="BA41" i="2" s="1"/>
  <c r="AW87" i="6"/>
  <c r="AW88" i="6" s="1"/>
  <c r="AW86" i="7"/>
  <c r="AX75" i="1"/>
  <c r="AX74" i="1"/>
  <c r="CA65" i="4"/>
  <c r="BZ7" i="14" s="1"/>
  <c r="CA64" i="4"/>
  <c r="AB27" i="4"/>
  <c r="AB28" i="4"/>
  <c r="V72" i="7"/>
  <c r="V75" i="4"/>
  <c r="R34" i="6"/>
  <c r="R35" i="6"/>
  <c r="AV67" i="6"/>
  <c r="AV20" i="6"/>
  <c r="AU8" i="13" s="1"/>
  <c r="AV19" i="6"/>
  <c r="BB88" i="5"/>
  <c r="BB89" i="5"/>
  <c r="AY40" i="4"/>
  <c r="AY19" i="4"/>
  <c r="AY20" i="4"/>
  <c r="AX7" i="13" s="1"/>
  <c r="AY67" i="4"/>
  <c r="AS19" i="6"/>
  <c r="AS67" i="6"/>
  <c r="AT20" i="1"/>
  <c r="AS5" i="13" s="1"/>
  <c r="AT19" i="1"/>
  <c r="AT67" i="1"/>
  <c r="AZ40" i="5"/>
  <c r="AZ41" i="5" s="1"/>
  <c r="AG20" i="5"/>
  <c r="AF9" i="13" s="1"/>
  <c r="AG19" i="5"/>
  <c r="AK20" i="6"/>
  <c r="AJ8" i="13" s="1"/>
  <c r="AK67" i="6"/>
  <c r="AK19" i="6"/>
  <c r="AQ88" i="6"/>
  <c r="AQ89" i="6"/>
  <c r="AJ42" i="6"/>
  <c r="AJ41" i="6"/>
  <c r="Y25" i="7"/>
  <c r="Y26" i="7" s="1"/>
  <c r="Y39" i="4"/>
  <c r="Y28" i="4"/>
  <c r="AY20" i="7"/>
  <c r="AY19" i="7"/>
  <c r="X40" i="6"/>
  <c r="X38" i="7"/>
  <c r="R74" i="6"/>
  <c r="R75" i="6"/>
  <c r="K42" i="4"/>
  <c r="K41" i="4"/>
  <c r="AD28" i="5"/>
  <c r="AD27" i="5"/>
  <c r="C88" i="4"/>
  <c r="C89" i="4"/>
  <c r="BK41" i="4"/>
  <c r="BK42" i="4"/>
  <c r="C42" i="1"/>
  <c r="C41" i="1"/>
  <c r="T81" i="7"/>
  <c r="T82" i="7"/>
  <c r="AW35" i="7"/>
  <c r="AV8" i="26" s="1"/>
  <c r="J12" i="7"/>
  <c r="I12" i="8" s="1"/>
  <c r="BJ57" i="7"/>
  <c r="CA87" i="4"/>
  <c r="CA88" i="4" s="1"/>
  <c r="BQ28" i="1"/>
  <c r="AF82" i="7"/>
  <c r="AH57" i="7"/>
  <c r="BJ11" i="7"/>
  <c r="BW40" i="4"/>
  <c r="BW41" i="4" s="1"/>
  <c r="BB55" i="7"/>
  <c r="BA12" i="15" s="1"/>
  <c r="BN28" i="1"/>
  <c r="F67" i="7"/>
  <c r="AH42" i="2"/>
  <c r="M35" i="7"/>
  <c r="L8" i="26" s="1"/>
  <c r="BW42" i="5"/>
  <c r="CB67" i="5"/>
  <c r="BZ41" i="5"/>
  <c r="X89" i="1"/>
  <c r="AL11" i="7"/>
  <c r="AE54" i="7"/>
  <c r="BV9" i="26"/>
  <c r="BS57" i="7"/>
  <c r="BB57" i="7"/>
  <c r="AD54" i="7"/>
  <c r="J34" i="7"/>
  <c r="AJ82" i="7"/>
  <c r="BV67" i="2"/>
  <c r="H67" i="7"/>
  <c r="AO57" i="7"/>
  <c r="S57" i="7"/>
  <c r="AE88" i="4"/>
  <c r="BZ67" i="5"/>
  <c r="CB19" i="5"/>
  <c r="BB82" i="7"/>
  <c r="P85" i="7"/>
  <c r="P87" i="7" s="1"/>
  <c r="X55" i="7"/>
  <c r="W12" i="15" s="1"/>
  <c r="Y65" i="7"/>
  <c r="X12" i="14" s="1"/>
  <c r="BG28" i="7"/>
  <c r="BF5" i="24" s="1"/>
  <c r="BB65" i="1"/>
  <c r="BA5" i="14" s="1"/>
  <c r="BY73" i="7"/>
  <c r="BY74" i="7" s="1"/>
  <c r="W85" i="7"/>
  <c r="V86" i="4"/>
  <c r="V86" i="7" s="1"/>
  <c r="V87" i="7" s="1"/>
  <c r="V88" i="7" s="1"/>
  <c r="AU28" i="7"/>
  <c r="Z63" i="7"/>
  <c r="AO63" i="7"/>
  <c r="AO65" i="7" s="1"/>
  <c r="AN12" i="14" s="1"/>
  <c r="BM38" i="7"/>
  <c r="BK85" i="7"/>
  <c r="AS12" i="7"/>
  <c r="BM27" i="2"/>
  <c r="BM28" i="2"/>
  <c r="BJ41" i="6"/>
  <c r="BJ42" i="6"/>
  <c r="BU27" i="7"/>
  <c r="BU28" i="7"/>
  <c r="BR65" i="7"/>
  <c r="BQ12" i="14" s="1"/>
  <c r="BW75" i="4"/>
  <c r="BW87" i="4"/>
  <c r="BW74" i="4"/>
  <c r="BQ64" i="6"/>
  <c r="BQ67" i="6"/>
  <c r="BQ65" i="6"/>
  <c r="BP8" i="14" s="1"/>
  <c r="BG20" i="6"/>
  <c r="BF8" i="13" s="1"/>
  <c r="BJ89" i="1"/>
  <c r="CA18" i="7"/>
  <c r="BI88" i="2"/>
  <c r="BI89" i="2"/>
  <c r="BH74" i="4"/>
  <c r="BH75" i="4"/>
  <c r="BH87" i="4"/>
  <c r="BJ74" i="6"/>
  <c r="BJ75" i="6"/>
  <c r="BE87" i="6"/>
  <c r="BE88" i="6" s="1"/>
  <c r="BB19" i="6"/>
  <c r="BB20" i="6"/>
  <c r="BA8" i="13" s="1"/>
  <c r="BB67" i="6"/>
  <c r="BB64" i="6"/>
  <c r="BB65" i="6"/>
  <c r="BA8" i="14" s="1"/>
  <c r="AZ20" i="5"/>
  <c r="AY9" i="13" s="1"/>
  <c r="S63" i="7"/>
  <c r="S64" i="7" s="1"/>
  <c r="AC63" i="7"/>
  <c r="AC64" i="7" s="1"/>
  <c r="CB40" i="1"/>
  <c r="CB38" i="7"/>
  <c r="CB40" i="7" s="1"/>
  <c r="BU65" i="5"/>
  <c r="BT9" i="14" s="1"/>
  <c r="BU64" i="5"/>
  <c r="BS74" i="5"/>
  <c r="BS75" i="5"/>
  <c r="AZ65" i="6"/>
  <c r="AY8" i="14" s="1"/>
  <c r="AY41" i="6"/>
  <c r="AY42" i="6"/>
  <c r="BC86" i="7"/>
  <c r="AX42" i="5"/>
  <c r="AX41" i="5"/>
  <c r="AR27" i="2"/>
  <c r="AR28" i="2"/>
  <c r="BZ20" i="4"/>
  <c r="BY7" i="13" s="1"/>
  <c r="BZ19" i="4"/>
  <c r="CB73" i="7"/>
  <c r="CB74" i="7" s="1"/>
  <c r="AO89" i="5"/>
  <c r="AO86" i="7"/>
  <c r="AO87" i="7" s="1"/>
  <c r="AU85" i="7"/>
  <c r="AU87" i="7" s="1"/>
  <c r="AU88" i="7" s="1"/>
  <c r="AI39" i="7"/>
  <c r="AG81" i="4"/>
  <c r="AG87" i="4"/>
  <c r="AG82" i="4"/>
  <c r="AD42" i="2"/>
  <c r="AD41" i="2"/>
  <c r="Z40" i="6"/>
  <c r="Z41" i="6" s="1"/>
  <c r="U75" i="4"/>
  <c r="U72" i="7"/>
  <c r="U86" i="4"/>
  <c r="BP28" i="4"/>
  <c r="BP27" i="4"/>
  <c r="BP40" i="4"/>
  <c r="AO64" i="2"/>
  <c r="AO67" i="2"/>
  <c r="AO65" i="2"/>
  <c r="AN6" i="14" s="1"/>
  <c r="AV38" i="7"/>
  <c r="AV40" i="6"/>
  <c r="AV67" i="1"/>
  <c r="AV65" i="1"/>
  <c r="AU5" i="14" s="1"/>
  <c r="AV64" i="1"/>
  <c r="AX40" i="2"/>
  <c r="AX41" i="2" s="1"/>
  <c r="AX39" i="7"/>
  <c r="AH40" i="6"/>
  <c r="AH41" i="6" s="1"/>
  <c r="AF41" i="2"/>
  <c r="AF42" i="2"/>
  <c r="X75" i="6"/>
  <c r="X74" i="6"/>
  <c r="BU67" i="4"/>
  <c r="BU40" i="4"/>
  <c r="BU19" i="4"/>
  <c r="BU65" i="4"/>
  <c r="BT7" i="14" s="1"/>
  <c r="BS19" i="5"/>
  <c r="BS20" i="5"/>
  <c r="BR9" i="13" s="1"/>
  <c r="BB85" i="7"/>
  <c r="BB87" i="7" s="1"/>
  <c r="BB87" i="1"/>
  <c r="BD74" i="5"/>
  <c r="BD75" i="5"/>
  <c r="BB65" i="5"/>
  <c r="BA9" i="14" s="1"/>
  <c r="BB64" i="5"/>
  <c r="BC87" i="2"/>
  <c r="BC88" i="2" s="1"/>
  <c r="BA27" i="1"/>
  <c r="BA28" i="1"/>
  <c r="AN64" i="2"/>
  <c r="AN65" i="2"/>
  <c r="AM6" i="14" s="1"/>
  <c r="AN67" i="2"/>
  <c r="AS64" i="5"/>
  <c r="AS67" i="5"/>
  <c r="AN74" i="4"/>
  <c r="AN75" i="4"/>
  <c r="AN87" i="4"/>
  <c r="AG67" i="5"/>
  <c r="X88" i="2"/>
  <c r="X89" i="2"/>
  <c r="AZ28" i="5"/>
  <c r="S20" i="5"/>
  <c r="R9" i="13" s="1"/>
  <c r="S19" i="5"/>
  <c r="S67" i="5"/>
  <c r="AC64" i="6"/>
  <c r="AC65" i="6"/>
  <c r="AB8" i="14" s="1"/>
  <c r="AD20" i="5"/>
  <c r="AC9" i="13" s="1"/>
  <c r="AD19" i="5"/>
  <c r="AD67" i="5"/>
  <c r="AH19" i="4"/>
  <c r="AH20" i="4"/>
  <c r="AG7" i="13" s="1"/>
  <c r="AK38" i="7"/>
  <c r="AK40" i="6"/>
  <c r="AL20" i="6"/>
  <c r="AK8" i="13" s="1"/>
  <c r="AL19" i="6"/>
  <c r="AL67" i="6"/>
  <c r="AL19" i="5"/>
  <c r="AL67" i="5"/>
  <c r="AM86" i="7"/>
  <c r="AP40" i="1"/>
  <c r="AP38" i="7"/>
  <c r="AP39" i="7"/>
  <c r="AP40" i="6"/>
  <c r="AP41" i="6" s="1"/>
  <c r="AS39" i="7"/>
  <c r="AS42" i="4"/>
  <c r="AG87" i="6"/>
  <c r="AG88" i="6" s="1"/>
  <c r="AB89" i="5"/>
  <c r="AB88" i="5"/>
  <c r="Y89" i="2"/>
  <c r="V75" i="6"/>
  <c r="W86" i="4"/>
  <c r="W72" i="7"/>
  <c r="W75" i="4"/>
  <c r="O27" i="4"/>
  <c r="O28" i="4"/>
  <c r="D42" i="1"/>
  <c r="D41" i="1"/>
  <c r="BV41" i="4"/>
  <c r="V89" i="2"/>
  <c r="N89" i="4"/>
  <c r="N88" i="4"/>
  <c r="BK18" i="7"/>
  <c r="BR88" i="4"/>
  <c r="O28" i="6"/>
  <c r="BO88" i="4"/>
  <c r="BO89" i="4"/>
  <c r="AV89" i="4"/>
  <c r="AV88" i="4"/>
  <c r="AT42" i="6"/>
  <c r="AE28" i="6"/>
  <c r="AE27" i="6"/>
  <c r="R28" i="4"/>
  <c r="J89" i="4"/>
  <c r="BI88" i="1"/>
  <c r="BI89" i="1"/>
  <c r="AI75" i="6"/>
  <c r="O89" i="2"/>
  <c r="L75" i="7"/>
  <c r="K6" i="24" s="1"/>
  <c r="L74" i="7"/>
  <c r="BE86" i="7"/>
  <c r="AZ67" i="2"/>
  <c r="BM42" i="6"/>
  <c r="AH40" i="4"/>
  <c r="BA87" i="2"/>
  <c r="BA88" i="2" s="1"/>
  <c r="BN40" i="2"/>
  <c r="BN41" i="2" s="1"/>
  <c r="Q88" i="6"/>
  <c r="Q89" i="6"/>
  <c r="BB67" i="1"/>
  <c r="BY75" i="1"/>
  <c r="BY74" i="1"/>
  <c r="BX67" i="1"/>
  <c r="BW55" i="1"/>
  <c r="BV5" i="15" s="1"/>
  <c r="BW54" i="1"/>
  <c r="BW57" i="1"/>
  <c r="BX42" i="1"/>
  <c r="AU87" i="2"/>
  <c r="AU88" i="2" s="1"/>
  <c r="BR42" i="4"/>
  <c r="BR41" i="4"/>
  <c r="BM26" i="7"/>
  <c r="BM27" i="7" s="1"/>
  <c r="W39" i="7"/>
  <c r="R35" i="4"/>
  <c r="BG20" i="7"/>
  <c r="BG19" i="7"/>
  <c r="I67" i="7"/>
  <c r="AK5" i="24"/>
  <c r="D54" i="7"/>
  <c r="L35" i="7"/>
  <c r="K8" i="26" s="1"/>
  <c r="BK57" i="7"/>
  <c r="BC57" i="7"/>
  <c r="AY55" i="7"/>
  <c r="AX12" i="15" s="1"/>
  <c r="P19" i="7"/>
  <c r="AK55" i="7"/>
  <c r="AJ12" i="15" s="1"/>
  <c r="T11" i="7"/>
  <c r="Q57" i="7"/>
  <c r="C67" i="7"/>
  <c r="O55" i="7"/>
  <c r="N12" i="15" s="1"/>
  <c r="BT19" i="7"/>
  <c r="AQ28" i="7"/>
  <c r="AP7" i="26" s="1"/>
  <c r="E67" i="7"/>
  <c r="BE55" i="7"/>
  <c r="BD12" i="15" s="1"/>
  <c r="BF42" i="1"/>
  <c r="BV57" i="7"/>
  <c r="BD40" i="1"/>
  <c r="BD38" i="7"/>
  <c r="BL19" i="1"/>
  <c r="BL67" i="1"/>
  <c r="BF54" i="7"/>
  <c r="BF55" i="7"/>
  <c r="BE12" i="15" s="1"/>
  <c r="BG63" i="7"/>
  <c r="BG64" i="7" s="1"/>
  <c r="BC27" i="7"/>
  <c r="BC28" i="7"/>
  <c r="AW27" i="7"/>
  <c r="AW28" i="7"/>
  <c r="R41" i="1"/>
  <c r="R42" i="1"/>
  <c r="BE81" i="7"/>
  <c r="BE82" i="7"/>
  <c r="BI81" i="7"/>
  <c r="BI82" i="7"/>
  <c r="BC81" i="7"/>
  <c r="BC82" i="7"/>
  <c r="BG81" i="7"/>
  <c r="BG82" i="7"/>
  <c r="BN74" i="1"/>
  <c r="BN75" i="1"/>
  <c r="AW11" i="7"/>
  <c r="AW12" i="7"/>
  <c r="Q12" i="7"/>
  <c r="Q11" i="7"/>
  <c r="BE40" i="1"/>
  <c r="BE38" i="7"/>
  <c r="L81" i="7"/>
  <c r="M67" i="7"/>
  <c r="Z54" i="7"/>
  <c r="Q82" i="7"/>
  <c r="AW55" i="7"/>
  <c r="AV12" i="15" s="1"/>
  <c r="Y54" i="7"/>
  <c r="D35" i="7"/>
  <c r="C8" i="26" s="1"/>
  <c r="AQ54" i="7"/>
  <c r="BZ89" i="1"/>
  <c r="BP55" i="7"/>
  <c r="BO12" i="15" s="1"/>
  <c r="L65" i="7"/>
  <c r="K12" i="14" s="1"/>
  <c r="AC35" i="7"/>
  <c r="AB8" i="26" s="1"/>
  <c r="D57" i="7"/>
  <c r="BW73" i="7"/>
  <c r="BW74" i="7" s="1"/>
  <c r="BX18" i="7"/>
  <c r="BX19" i="7" s="1"/>
  <c r="AY82" i="7"/>
  <c r="I54" i="7"/>
  <c r="I55" i="7"/>
  <c r="H12" i="15" s="1"/>
  <c r="AK41" i="1"/>
  <c r="AK42" i="1"/>
  <c r="BV82" i="7"/>
  <c r="BV81" i="7"/>
  <c r="BQ54" i="7"/>
  <c r="BQ55" i="7"/>
  <c r="BP12" i="15" s="1"/>
  <c r="BQ57" i="7"/>
  <c r="BQ12" i="7"/>
  <c r="BQ11" i="7"/>
  <c r="BU12" i="7"/>
  <c r="BU57" i="7"/>
  <c r="BU11" i="7"/>
  <c r="BS54" i="7"/>
  <c r="BS55" i="7"/>
  <c r="BR12" i="15" s="1"/>
  <c r="BB75" i="7"/>
  <c r="BA6" i="24" s="1"/>
  <c r="BB74" i="7"/>
  <c r="AH74" i="7"/>
  <c r="AH75" i="7"/>
  <c r="AG6" i="24" s="1"/>
  <c r="BC65" i="7"/>
  <c r="BB12" i="14" s="1"/>
  <c r="AG75" i="7"/>
  <c r="AF6" i="24" s="1"/>
  <c r="AG74" i="7"/>
  <c r="BW53" i="7"/>
  <c r="BW54" i="7" s="1"/>
  <c r="BR39" i="7"/>
  <c r="BP74" i="5"/>
  <c r="BP75" i="5"/>
  <c r="BL65" i="5"/>
  <c r="BK9" i="14" s="1"/>
  <c r="BL64" i="5"/>
  <c r="BL67" i="5"/>
  <c r="BM19" i="5"/>
  <c r="BM67" i="5"/>
  <c r="BE65" i="5"/>
  <c r="BD9" i="14" s="1"/>
  <c r="BE67" i="5"/>
  <c r="BE64" i="5"/>
  <c r="AZ67" i="5"/>
  <c r="AZ65" i="5"/>
  <c r="AY9" i="14" s="1"/>
  <c r="AZ64" i="5"/>
  <c r="AO41" i="5"/>
  <c r="AO42" i="5"/>
  <c r="AL75" i="5"/>
  <c r="AL74" i="5"/>
  <c r="AJ87" i="5"/>
  <c r="AJ85" i="7"/>
  <c r="AH88" i="5"/>
  <c r="AH89" i="5"/>
  <c r="AE75" i="5"/>
  <c r="AE74" i="5"/>
  <c r="AE89" i="5"/>
  <c r="AE88" i="5"/>
  <c r="BY20" i="5"/>
  <c r="BX9" i="13" s="1"/>
  <c r="BY67" i="5"/>
  <c r="BY19" i="5"/>
  <c r="AS63" i="7"/>
  <c r="AS65" i="7" s="1"/>
  <c r="AR12" i="14" s="1"/>
  <c r="AT63" i="7"/>
  <c r="AT64" i="7" s="1"/>
  <c r="AV18" i="7"/>
  <c r="AV20" i="7" s="1"/>
  <c r="AW18" i="7"/>
  <c r="AW20" i="7" s="1"/>
  <c r="C57" i="5"/>
  <c r="C12" i="5"/>
  <c r="B9" i="8" s="1"/>
  <c r="D105" i="7"/>
  <c r="C11" i="5"/>
  <c r="E105" i="7"/>
  <c r="E106" i="7" s="1"/>
  <c r="AW74" i="5"/>
  <c r="AW75" i="5"/>
  <c r="Z41" i="5"/>
  <c r="Z42" i="5"/>
  <c r="BQ41" i="5"/>
  <c r="BQ42" i="5"/>
  <c r="D104" i="7"/>
  <c r="D101" i="7"/>
  <c r="D103" i="7"/>
  <c r="C12" i="7"/>
  <c r="D102" i="7"/>
  <c r="C57" i="7"/>
  <c r="BR75" i="5"/>
  <c r="BV73" i="7"/>
  <c r="BV75" i="7" s="1"/>
  <c r="BU6" i="24" s="1"/>
  <c r="BR40" i="5"/>
  <c r="BR41" i="5" s="1"/>
  <c r="C42" i="5"/>
  <c r="BX40" i="5"/>
  <c r="BX38" i="7"/>
  <c r="BT67" i="5"/>
  <c r="BT20" i="5"/>
  <c r="BS9" i="13" s="1"/>
  <c r="BT19" i="5"/>
  <c r="BO64" i="5"/>
  <c r="BO67" i="5"/>
  <c r="BO65" i="5"/>
  <c r="BN9" i="14" s="1"/>
  <c r="BM87" i="5"/>
  <c r="BM85" i="7"/>
  <c r="BK19" i="5"/>
  <c r="BK67" i="5"/>
  <c r="X63" i="7"/>
  <c r="X65" i="7" s="1"/>
  <c r="W12" i="14" s="1"/>
  <c r="AE63" i="7"/>
  <c r="AU34" i="7"/>
  <c r="AU35" i="7"/>
  <c r="AT8" i="26" s="1"/>
  <c r="AK27" i="7"/>
  <c r="AK28" i="7"/>
  <c r="AB81" i="7"/>
  <c r="AB82" i="7"/>
  <c r="BW20" i="5"/>
  <c r="BV9" i="13" s="1"/>
  <c r="BW19" i="5"/>
  <c r="BW67" i="5"/>
  <c r="BL38" i="7"/>
  <c r="BL40" i="5"/>
  <c r="AD18" i="7"/>
  <c r="AD20" i="7" s="1"/>
  <c r="AO18" i="7"/>
  <c r="AO19" i="7" s="1"/>
  <c r="AP63" i="7"/>
  <c r="AP65" i="7" s="1"/>
  <c r="AO12" i="14" s="1"/>
  <c r="AQ63" i="7"/>
  <c r="AQ64" i="7" s="1"/>
  <c r="AS18" i="7"/>
  <c r="AS20" i="7" s="1"/>
  <c r="AV63" i="7"/>
  <c r="AV64" i="7" s="1"/>
  <c r="AX63" i="7"/>
  <c r="AX65" i="7" s="1"/>
  <c r="AW12" i="14" s="1"/>
  <c r="M89" i="5"/>
  <c r="M88" i="5"/>
  <c r="BH18" i="7"/>
  <c r="BH19" i="7" s="1"/>
  <c r="BC64" i="7"/>
  <c r="BU73" i="7"/>
  <c r="BU75" i="7" s="1"/>
  <c r="BT6" i="24" s="1"/>
  <c r="AA26" i="7"/>
  <c r="AA27" i="7" s="1"/>
  <c r="AN82" i="7"/>
  <c r="AN81" i="7"/>
  <c r="BG54" i="7"/>
  <c r="BA55" i="7"/>
  <c r="AZ12" i="15" s="1"/>
  <c r="AT55" i="7"/>
  <c r="AS12" i="15" s="1"/>
  <c r="AF57" i="7"/>
  <c r="AB12" i="7"/>
  <c r="AA5" i="26" s="1"/>
  <c r="U55" i="7"/>
  <c r="T12" i="15" s="1"/>
  <c r="S12" i="7"/>
  <c r="R12" i="8" s="1"/>
  <c r="AZ64" i="7"/>
  <c r="AZ65" i="7"/>
  <c r="AY12" i="14" s="1"/>
  <c r="AZ67" i="7"/>
  <c r="R27" i="7"/>
  <c r="R28" i="7"/>
  <c r="BQ65" i="7"/>
  <c r="BP12" i="14" s="1"/>
  <c r="BQ64" i="7"/>
  <c r="BJ19" i="7"/>
  <c r="BJ20" i="7"/>
  <c r="BI12" i="13" s="1"/>
  <c r="BH65" i="7"/>
  <c r="BG12" i="14" s="1"/>
  <c r="BH64" i="7"/>
  <c r="BE75" i="7"/>
  <c r="BD6" i="24" s="1"/>
  <c r="BE74" i="7"/>
  <c r="BS75" i="7"/>
  <c r="BR6" i="24" s="1"/>
  <c r="BS74" i="7"/>
  <c r="BW63" i="7"/>
  <c r="BW64" i="7" s="1"/>
  <c r="BQ74" i="7"/>
  <c r="BQ75" i="7"/>
  <c r="BP6" i="24" s="1"/>
  <c r="BI63" i="7"/>
  <c r="BI65" i="7" s="1"/>
  <c r="BH12" i="14" s="1"/>
  <c r="I12" i="7"/>
  <c r="I11" i="7"/>
  <c r="AU88" i="4"/>
  <c r="AU89" i="4"/>
  <c r="AF42" i="4"/>
  <c r="AF41" i="4"/>
  <c r="CE88" i="4"/>
  <c r="CE89" i="4"/>
  <c r="CC88" i="4"/>
  <c r="CC89" i="4"/>
  <c r="BX73" i="7"/>
  <c r="BX75" i="7" s="1"/>
  <c r="BW6" i="24" s="1"/>
  <c r="BX63" i="7"/>
  <c r="BX64" i="7" s="1"/>
  <c r="BE63" i="7"/>
  <c r="BE64" i="7" s="1"/>
  <c r="AN63" i="7"/>
  <c r="AN64" i="7" s="1"/>
  <c r="AE26" i="7"/>
  <c r="AE28" i="7" s="1"/>
  <c r="AF28" i="4"/>
  <c r="AF27" i="4"/>
  <c r="AA40" i="4"/>
  <c r="AA41" i="4" s="1"/>
  <c r="AA27" i="4"/>
  <c r="AA28" i="4"/>
  <c r="X88" i="4"/>
  <c r="S26" i="7"/>
  <c r="S27" i="7" s="1"/>
  <c r="Q28" i="4"/>
  <c r="Q27" i="4"/>
  <c r="CD88" i="4"/>
  <c r="CD89" i="4"/>
  <c r="BR73" i="7"/>
  <c r="BR74" i="7" s="1"/>
  <c r="BY18" i="7"/>
  <c r="BY19" i="7" s="1"/>
  <c r="BF18" i="7"/>
  <c r="BF20" i="7" s="1"/>
  <c r="Q40" i="4"/>
  <c r="BY63" i="7"/>
  <c r="BY64" i="7" s="1"/>
  <c r="BT39" i="7"/>
  <c r="BX26" i="7"/>
  <c r="BX27" i="7" s="1"/>
  <c r="BA11" i="7"/>
  <c r="BA12" i="7"/>
  <c r="AD27" i="4"/>
  <c r="AD28" i="4"/>
  <c r="AB42" i="4"/>
  <c r="AB41" i="4"/>
  <c r="X41" i="4"/>
  <c r="BY40" i="4"/>
  <c r="BY41" i="4" s="1"/>
  <c r="BN88" i="4"/>
  <c r="BJ63" i="7"/>
  <c r="BJ65" i="7" s="1"/>
  <c r="BI12" i="14" s="1"/>
  <c r="BW18" i="7"/>
  <c r="BW19" i="7" s="1"/>
  <c r="AD42" i="4"/>
  <c r="U88" i="4"/>
  <c r="BC11" i="7"/>
  <c r="BC12" i="7"/>
  <c r="K40" i="7"/>
  <c r="K41" i="7" s="1"/>
  <c r="BS19" i="1"/>
  <c r="BS20" i="1"/>
  <c r="BR5" i="13" s="1"/>
  <c r="BS67" i="1"/>
  <c r="BU42" i="1"/>
  <c r="BU41" i="1"/>
  <c r="F64" i="7"/>
  <c r="AP57" i="7"/>
  <c r="BG42" i="1"/>
  <c r="AZ42" i="1"/>
  <c r="AW75" i="1"/>
  <c r="AW74" i="1"/>
  <c r="AK34" i="7"/>
  <c r="AK35" i="7"/>
  <c r="AJ8" i="26" s="1"/>
  <c r="BI19" i="7"/>
  <c r="BI20" i="7"/>
  <c r="Y88" i="1"/>
  <c r="Y89" i="1"/>
  <c r="Z88" i="1"/>
  <c r="Z89" i="1"/>
  <c r="BP20" i="7"/>
  <c r="CC88" i="7"/>
  <c r="CN98" i="7"/>
  <c r="BM57" i="7"/>
  <c r="G67" i="7"/>
  <c r="K67" i="7"/>
  <c r="AS34" i="7"/>
  <c r="AS35" i="7"/>
  <c r="AR8" i="26" s="1"/>
  <c r="BK54" i="7"/>
  <c r="BG57" i="7"/>
  <c r="BC54" i="7"/>
  <c r="Z55" i="7"/>
  <c r="Y12" i="15" s="1"/>
  <c r="T12" i="7"/>
  <c r="S9" i="26" s="1"/>
  <c r="M11" i="7"/>
  <c r="BA54" i="7"/>
  <c r="C65" i="7"/>
  <c r="B12" i="14" s="1"/>
  <c r="AT57" i="7"/>
  <c r="AO11" i="7"/>
  <c r="AF11" i="7"/>
  <c r="AD57" i="7"/>
  <c r="AB57" i="7"/>
  <c r="AR57" i="7"/>
  <c r="BE57" i="7"/>
  <c r="L67" i="7"/>
  <c r="AN57" i="7"/>
  <c r="BJ54" i="7"/>
  <c r="BJ55" i="7"/>
  <c r="BI12" i="15" s="1"/>
  <c r="F27" i="7"/>
  <c r="F28" i="7"/>
  <c r="H27" i="7"/>
  <c r="H28" i="7"/>
  <c r="J27" i="7"/>
  <c r="J28" i="7"/>
  <c r="N27" i="7"/>
  <c r="N28" i="7"/>
  <c r="AK57" i="7"/>
  <c r="H64" i="7"/>
  <c r="I27" i="7"/>
  <c r="I28" i="7"/>
  <c r="AP54" i="7"/>
  <c r="AP55" i="7"/>
  <c r="AO12" i="15" s="1"/>
  <c r="AS57" i="7"/>
  <c r="AS54" i="7"/>
  <c r="AS55" i="7"/>
  <c r="AR12" i="15" s="1"/>
  <c r="AO54" i="7"/>
  <c r="AO55" i="7"/>
  <c r="AN12" i="15" s="1"/>
  <c r="F12" i="7"/>
  <c r="F11" i="7"/>
  <c r="J20" i="7"/>
  <c r="J19" i="7"/>
  <c r="AR81" i="7"/>
  <c r="AR82" i="7"/>
  <c r="AP81" i="7"/>
  <c r="AP82" i="7"/>
  <c r="AQ57" i="7"/>
  <c r="AV89" i="5"/>
  <c r="AK88" i="5"/>
  <c r="AK89" i="5"/>
  <c r="U89" i="5"/>
  <c r="F54" i="7"/>
  <c r="F55" i="7"/>
  <c r="E12" i="15" s="1"/>
  <c r="N55" i="7"/>
  <c r="M12" i="15" s="1"/>
  <c r="N54" i="7"/>
  <c r="BS12" i="13"/>
  <c r="BS6" i="26"/>
  <c r="N12" i="8"/>
  <c r="N5" i="26"/>
  <c r="N9" i="26"/>
  <c r="L12" i="8"/>
  <c r="L5" i="26"/>
  <c r="L9" i="26"/>
  <c r="C9" i="26"/>
  <c r="C5" i="26"/>
  <c r="AN12" i="8"/>
  <c r="AN5" i="26"/>
  <c r="AN9" i="26"/>
  <c r="F5" i="24"/>
  <c r="F7" i="26"/>
  <c r="BL12" i="8"/>
  <c r="BL5" i="26"/>
  <c r="BL9" i="26"/>
  <c r="BI12" i="8"/>
  <c r="BI9" i="26"/>
  <c r="BI5" i="26"/>
  <c r="AU12" i="8"/>
  <c r="AU9" i="26"/>
  <c r="AU5" i="26"/>
  <c r="Q12" i="8"/>
  <c r="Q9" i="26"/>
  <c r="Q5" i="26"/>
  <c r="BK12" i="13"/>
  <c r="BK6" i="26"/>
  <c r="AR5" i="24"/>
  <c r="AR7" i="26"/>
  <c r="CC5" i="26"/>
  <c r="CD6" i="26"/>
  <c r="F19" i="7"/>
  <c r="F20" i="7"/>
  <c r="N20" i="7"/>
  <c r="N19" i="7"/>
  <c r="AI81" i="7"/>
  <c r="AI82" i="7"/>
  <c r="AO34" i="7"/>
  <c r="AO35" i="7"/>
  <c r="AN8" i="26" s="1"/>
  <c r="BR12" i="8"/>
  <c r="BR5" i="26"/>
  <c r="BR9" i="26"/>
  <c r="BA12" i="8"/>
  <c r="BA9" i="26"/>
  <c r="BA5" i="26"/>
  <c r="AE12" i="8"/>
  <c r="AE9" i="26"/>
  <c r="AE5" i="26"/>
  <c r="AK12" i="8"/>
  <c r="AK9" i="26"/>
  <c r="AK5" i="26"/>
  <c r="CD7" i="26"/>
  <c r="CD5" i="24"/>
  <c r="AO12" i="8"/>
  <c r="AO9" i="26"/>
  <c r="AO5" i="26"/>
  <c r="BN34" i="7"/>
  <c r="BN35" i="7"/>
  <c r="BM8" i="26" s="1"/>
  <c r="AI34" i="7"/>
  <c r="AI35" i="7"/>
  <c r="AH8" i="26" s="1"/>
  <c r="AA11" i="7"/>
  <c r="AA12" i="7"/>
  <c r="CE75" i="7"/>
  <c r="CD6" i="24" s="1"/>
  <c r="D20" i="7"/>
  <c r="C6" i="26" s="1"/>
  <c r="D19" i="7"/>
  <c r="L20" i="7"/>
  <c r="L19" i="7"/>
  <c r="L12" i="7"/>
  <c r="L11" i="7"/>
  <c r="H11" i="7"/>
  <c r="H12" i="7"/>
  <c r="M81" i="7"/>
  <c r="M82" i="7"/>
  <c r="BN11" i="7"/>
  <c r="BN12" i="7"/>
  <c r="BL54" i="7"/>
  <c r="BL55" i="7"/>
  <c r="BK12" i="15" s="1"/>
  <c r="BK11" i="7"/>
  <c r="BK12" i="7"/>
  <c r="BF11" i="7"/>
  <c r="BF57" i="7"/>
  <c r="BF12" i="7"/>
  <c r="AE12" i="7"/>
  <c r="AE11" i="7"/>
  <c r="S55" i="7"/>
  <c r="R12" i="15" s="1"/>
  <c r="S54" i="7"/>
  <c r="AA34" i="7"/>
  <c r="AA35" i="7"/>
  <c r="Z8" i="26" s="1"/>
  <c r="CE42" i="7"/>
  <c r="CE88" i="7"/>
  <c r="CD89" i="7"/>
  <c r="CC42" i="7"/>
  <c r="H20" i="7"/>
  <c r="G6" i="26" s="1"/>
  <c r="H19" i="7"/>
  <c r="AU55" i="7"/>
  <c r="AT12" i="15" s="1"/>
  <c r="AU57" i="7"/>
  <c r="AU54" i="7"/>
  <c r="L54" i="7"/>
  <c r="L55" i="7"/>
  <c r="K12" i="15" s="1"/>
  <c r="K55" i="7"/>
  <c r="J12" i="15" s="1"/>
  <c r="K54" i="7"/>
  <c r="BO12" i="7"/>
  <c r="BO57" i="7"/>
  <c r="BO11" i="7"/>
  <c r="BM54" i="7"/>
  <c r="BM55" i="7"/>
  <c r="BL12" i="15" s="1"/>
  <c r="AJ12" i="7"/>
  <c r="AJ11" i="7"/>
  <c r="AB34" i="7"/>
  <c r="AB35" i="7"/>
  <c r="AA8" i="26" s="1"/>
  <c r="P82" i="7"/>
  <c r="P81" i="7"/>
  <c r="O57" i="7"/>
  <c r="CC75" i="7"/>
  <c r="CB6" i="24" s="1"/>
  <c r="CD41" i="7"/>
  <c r="AJ57" i="7"/>
  <c r="AZ54" i="7"/>
  <c r="AZ55" i="7"/>
  <c r="AY12" i="15" s="1"/>
  <c r="AZ57" i="7"/>
  <c r="AM12" i="7"/>
  <c r="AM11" i="7"/>
  <c r="AM57" i="7"/>
  <c r="AW42" i="1"/>
  <c r="AW41" i="1"/>
  <c r="AM42" i="1"/>
  <c r="AM41" i="1"/>
  <c r="W89" i="1"/>
  <c r="W88" i="1"/>
  <c r="T41" i="1"/>
  <c r="T42" i="1"/>
  <c r="Q35" i="7"/>
  <c r="P8" i="26" s="1"/>
  <c r="Q34" i="7"/>
  <c r="BV34" i="7"/>
  <c r="BV35" i="7"/>
  <c r="BU8" i="26" s="1"/>
  <c r="BS35" i="7"/>
  <c r="BR8" i="26" s="1"/>
  <c r="BS34" i="7"/>
  <c r="BL11" i="7"/>
  <c r="BL57" i="7"/>
  <c r="BL12" i="7"/>
  <c r="BM81" i="7"/>
  <c r="BM82" i="7"/>
  <c r="AT12" i="7"/>
  <c r="AT11" i="7"/>
  <c r="AI57" i="7"/>
  <c r="AI12" i="7"/>
  <c r="AI11" i="7"/>
  <c r="AC12" i="7"/>
  <c r="AC11" i="7"/>
  <c r="AN34" i="7"/>
  <c r="AN35" i="7"/>
  <c r="AM8" i="26" s="1"/>
  <c r="AI42" i="1"/>
  <c r="AI41" i="1"/>
  <c r="AG81" i="7"/>
  <c r="AG82" i="7"/>
  <c r="AF88" i="1"/>
  <c r="AF89" i="1"/>
  <c r="AE82" i="7"/>
  <c r="AE81" i="7"/>
  <c r="AD34" i="7"/>
  <c r="AD35" i="7"/>
  <c r="AC8" i="26" s="1"/>
  <c r="AC89" i="1"/>
  <c r="AC88" i="1"/>
  <c r="Z42" i="1"/>
  <c r="Z41" i="1"/>
  <c r="Z34" i="7"/>
  <c r="Z35" i="7"/>
  <c r="Y8" i="26" s="1"/>
  <c r="R89" i="1"/>
  <c r="R88" i="1"/>
  <c r="BD57" i="7"/>
  <c r="BD12" i="7"/>
  <c r="BD11" i="7"/>
  <c r="AJ64" i="7"/>
  <c r="AJ65" i="7"/>
  <c r="AI12" i="14" s="1"/>
  <c r="AT34" i="7"/>
  <c r="AT35" i="7"/>
  <c r="AS8" i="26" s="1"/>
  <c r="AQ81" i="7"/>
  <c r="AQ82" i="7"/>
  <c r="W42" i="1"/>
  <c r="W41" i="1"/>
  <c r="S88" i="1"/>
  <c r="S89" i="1"/>
  <c r="BT34" i="7"/>
  <c r="BT35" i="7"/>
  <c r="BS8" i="26" s="1"/>
  <c r="BP35" i="7"/>
  <c r="BO8" i="26" s="1"/>
  <c r="BP34" i="7"/>
  <c r="BL35" i="7"/>
  <c r="BK8" i="26" s="1"/>
  <c r="BL34" i="7"/>
  <c r="AV54" i="7"/>
  <c r="AV55" i="7"/>
  <c r="AU12" i="15" s="1"/>
  <c r="AV57" i="7"/>
  <c r="AQ12" i="7"/>
  <c r="AQ11" i="7"/>
  <c r="AN12" i="7"/>
  <c r="AN11" i="7"/>
  <c r="AK12" i="7"/>
  <c r="AK11" i="7"/>
  <c r="AF55" i="7"/>
  <c r="AE12" i="15" s="1"/>
  <c r="AF54" i="7"/>
  <c r="U12" i="7"/>
  <c r="U11" i="7"/>
  <c r="AO89" i="1"/>
  <c r="AO88" i="1"/>
  <c r="AK81" i="7"/>
  <c r="AK82" i="7"/>
  <c r="AG34" i="7"/>
  <c r="AG35" i="7"/>
  <c r="AF8" i="26" s="1"/>
  <c r="AD81" i="7"/>
  <c r="AD82" i="7"/>
  <c r="AC81" i="7"/>
  <c r="AC82" i="7"/>
  <c r="X42" i="1"/>
  <c r="X41" i="1"/>
  <c r="BZ54" i="7"/>
  <c r="CB89" i="1"/>
  <c r="CA82" i="7"/>
  <c r="CA57" i="7"/>
  <c r="CB18" i="7"/>
  <c r="AO74" i="7"/>
  <c r="AO75" i="7"/>
  <c r="AN6" i="24" s="1"/>
  <c r="CB89" i="4"/>
  <c r="CB88" i="4"/>
  <c r="BN57" i="7"/>
  <c r="BN55" i="7"/>
  <c r="BM12" i="15" s="1"/>
  <c r="BN54" i="7"/>
  <c r="BP87" i="6"/>
  <c r="BP85" i="7"/>
  <c r="BP81" i="7"/>
  <c r="BP82" i="7"/>
  <c r="BM41" i="2"/>
  <c r="BM42" i="2"/>
  <c r="BI19" i="2"/>
  <c r="BI20" i="2"/>
  <c r="BH6" i="13" s="1"/>
  <c r="BI67" i="2"/>
  <c r="BG11" i="7"/>
  <c r="BG12" i="7"/>
  <c r="E64" i="7"/>
  <c r="E65" i="7"/>
  <c r="D12" i="14" s="1"/>
  <c r="G64" i="7"/>
  <c r="G65" i="7"/>
  <c r="F12" i="14" s="1"/>
  <c r="I64" i="7"/>
  <c r="I65" i="7"/>
  <c r="H12" i="14" s="1"/>
  <c r="K65" i="7"/>
  <c r="J12" i="14" s="1"/>
  <c r="K64" i="7"/>
  <c r="AL57" i="7"/>
  <c r="AL54" i="7"/>
  <c r="AL55" i="7"/>
  <c r="AK12" i="15" s="1"/>
  <c r="R55" i="7"/>
  <c r="Q12" i="15" s="1"/>
  <c r="R54" i="7"/>
  <c r="R57" i="7"/>
  <c r="N12" i="7"/>
  <c r="N11" i="7"/>
  <c r="N57" i="7"/>
  <c r="G55" i="7"/>
  <c r="F12" i="15" s="1"/>
  <c r="G54" i="7"/>
  <c r="G57" i="7"/>
  <c r="AX34" i="7"/>
  <c r="AX35" i="7"/>
  <c r="AW8" i="26" s="1"/>
  <c r="AW85" i="7"/>
  <c r="AW87" i="1"/>
  <c r="AT81" i="7"/>
  <c r="AT82" i="7"/>
  <c r="AU27" i="1"/>
  <c r="AU28" i="1"/>
  <c r="AT74" i="2"/>
  <c r="AT75" i="2"/>
  <c r="AQ85" i="7"/>
  <c r="AQ87" i="7" s="1"/>
  <c r="AR41" i="2"/>
  <c r="AR42" i="2"/>
  <c r="AK27" i="5"/>
  <c r="AK28" i="5"/>
  <c r="AH81" i="7"/>
  <c r="AH82" i="7"/>
  <c r="AN89" i="5"/>
  <c r="AN88" i="5"/>
  <c r="X87" i="6"/>
  <c r="X88" i="6" s="1"/>
  <c r="V34" i="7"/>
  <c r="V35" i="7"/>
  <c r="U8" i="26" s="1"/>
  <c r="AC41" i="5"/>
  <c r="AC42" i="5"/>
  <c r="V88" i="5"/>
  <c r="V89" i="5"/>
  <c r="S82" i="4"/>
  <c r="S81" i="4"/>
  <c r="AA41" i="5"/>
  <c r="AA42" i="5"/>
  <c r="D27" i="7"/>
  <c r="D28" i="7"/>
  <c r="M27" i="7"/>
  <c r="M28" i="7"/>
  <c r="BR42" i="6"/>
  <c r="BR41" i="6"/>
  <c r="BY20" i="4"/>
  <c r="BX7" i="13" s="1"/>
  <c r="BW20" i="4"/>
  <c r="BV7" i="13" s="1"/>
  <c r="BY67" i="4"/>
  <c r="BX28" i="4"/>
  <c r="BC38" i="7"/>
  <c r="AQ42" i="5"/>
  <c r="AR26" i="7"/>
  <c r="AR27" i="7" s="1"/>
  <c r="BX39" i="7"/>
  <c r="CB42" i="4"/>
  <c r="CB41" i="4"/>
  <c r="BZ42" i="4"/>
  <c r="BZ41" i="4"/>
  <c r="BR64" i="5"/>
  <c r="BR65" i="5"/>
  <c r="BQ9" i="14" s="1"/>
  <c r="BR67" i="5"/>
  <c r="BP11" i="7"/>
  <c r="BP57" i="7"/>
  <c r="BP12" i="7"/>
  <c r="BN67" i="1"/>
  <c r="BN65" i="1"/>
  <c r="BM5" i="14" s="1"/>
  <c r="BN64" i="1"/>
  <c r="BT88" i="6"/>
  <c r="BT89" i="6"/>
  <c r="BK81" i="7"/>
  <c r="BK82" i="7"/>
  <c r="BH11" i="7"/>
  <c r="BH12" i="7"/>
  <c r="BH57" i="7"/>
  <c r="E20" i="7"/>
  <c r="D6" i="26" s="1"/>
  <c r="E19" i="7"/>
  <c r="G20" i="7"/>
  <c r="F6" i="26" s="1"/>
  <c r="G19" i="7"/>
  <c r="I20" i="7"/>
  <c r="H6" i="26" s="1"/>
  <c r="I19" i="7"/>
  <c r="K20" i="7"/>
  <c r="J6" i="26" s="1"/>
  <c r="K19" i="7"/>
  <c r="M20" i="7"/>
  <c r="M19" i="7"/>
  <c r="BK39" i="7"/>
  <c r="BK42" i="5"/>
  <c r="AY64" i="2"/>
  <c r="AY67" i="2"/>
  <c r="AY65" i="2"/>
  <c r="AX6" i="14" s="1"/>
  <c r="K12" i="7"/>
  <c r="K11" i="7"/>
  <c r="K57" i="7"/>
  <c r="AX57" i="7"/>
  <c r="AX12" i="7"/>
  <c r="AX11" i="7"/>
  <c r="AW81" i="7"/>
  <c r="AW82" i="7"/>
  <c r="AV74" i="6"/>
  <c r="AV75" i="6"/>
  <c r="AV74" i="5"/>
  <c r="AV75" i="5"/>
  <c r="AQ34" i="7"/>
  <c r="AQ35" i="7"/>
  <c r="AP8" i="26" s="1"/>
  <c r="AP75" i="2"/>
  <c r="AP74" i="2"/>
  <c r="AJ74" i="5"/>
  <c r="AJ75" i="5"/>
  <c r="AJ40" i="5"/>
  <c r="AJ38" i="7"/>
  <c r="AJ40" i="7" s="1"/>
  <c r="AH34" i="7"/>
  <c r="AH35" i="7"/>
  <c r="AG8" i="26" s="1"/>
  <c r="AT88" i="5"/>
  <c r="AT89" i="5"/>
  <c r="AO81" i="7"/>
  <c r="AO82" i="7"/>
  <c r="AF34" i="7"/>
  <c r="AF35" i="7"/>
  <c r="AE8" i="26" s="1"/>
  <c r="AV88" i="2"/>
  <c r="AV89" i="2"/>
  <c r="S80" i="7"/>
  <c r="S81" i="7" s="1"/>
  <c r="P34" i="7"/>
  <c r="P35" i="7"/>
  <c r="O8" i="26" s="1"/>
  <c r="E28" i="7"/>
  <c r="E27" i="7"/>
  <c r="C35" i="7"/>
  <c r="B8" i="26" s="1"/>
  <c r="C34" i="7"/>
  <c r="AO88" i="2"/>
  <c r="AO89" i="2"/>
  <c r="CA55" i="7"/>
  <c r="BZ12" i="15" s="1"/>
  <c r="BX40" i="4"/>
  <c r="BX41" i="4" s="1"/>
  <c r="BX67" i="4"/>
  <c r="BX20" i="4"/>
  <c r="BW7" i="13" s="1"/>
  <c r="BW67" i="4"/>
  <c r="AK39" i="7"/>
  <c r="U35" i="7"/>
  <c r="T8" i="26" s="1"/>
  <c r="U82" i="7"/>
  <c r="AK40" i="5"/>
  <c r="AK41" i="5" s="1"/>
  <c r="S82" i="6"/>
  <c r="S89" i="6"/>
  <c r="L27" i="7"/>
  <c r="L28" i="7"/>
  <c r="N35" i="7"/>
  <c r="M8" i="26" s="1"/>
  <c r="N34" i="7"/>
  <c r="C5" i="23"/>
  <c r="C12" i="8"/>
  <c r="X35" i="7"/>
  <c r="W8" i="26" s="1"/>
  <c r="BI89" i="6" l="1"/>
  <c r="AB87" i="7"/>
  <c r="AB88" i="7" s="1"/>
  <c r="U39" i="7"/>
  <c r="AX42" i="1"/>
  <c r="BW89" i="1"/>
  <c r="BE88" i="5"/>
  <c r="AO41" i="4"/>
  <c r="BT75" i="7"/>
  <c r="BS6" i="24" s="1"/>
  <c r="BQ87" i="7"/>
  <c r="BQ88" i="7" s="1"/>
  <c r="BX89" i="5"/>
  <c r="BN87" i="7"/>
  <c r="BN89" i="7" s="1"/>
  <c r="BH87" i="7"/>
  <c r="BH88" i="7" s="1"/>
  <c r="AX28" i="7"/>
  <c r="AW5" i="24" s="1"/>
  <c r="BH28" i="7"/>
  <c r="BG7" i="26" s="1"/>
  <c r="AX89" i="4"/>
  <c r="BQ27" i="7"/>
  <c r="AJ89" i="6"/>
  <c r="AP28" i="7"/>
  <c r="AO5" i="24" s="1"/>
  <c r="BY40" i="7"/>
  <c r="BY42" i="7" s="1"/>
  <c r="AN28" i="7"/>
  <c r="AM5" i="24" s="1"/>
  <c r="BE89" i="1"/>
  <c r="AM89" i="6"/>
  <c r="AB75" i="7"/>
  <c r="AA6" i="24" s="1"/>
  <c r="BR28" i="7"/>
  <c r="BQ7" i="26" s="1"/>
  <c r="BF75" i="7"/>
  <c r="BE6" i="24" s="1"/>
  <c r="AS87" i="7"/>
  <c r="AS88" i="7" s="1"/>
  <c r="BI27" i="7"/>
  <c r="AZ89" i="1"/>
  <c r="AL75" i="7"/>
  <c r="AK6" i="24" s="1"/>
  <c r="AC40" i="7"/>
  <c r="AC41" i="7" s="1"/>
  <c r="AE74" i="7"/>
  <c r="AY40" i="7"/>
  <c r="AY42" i="7" s="1"/>
  <c r="AH65" i="7"/>
  <c r="AG12" i="14" s="1"/>
  <c r="BG40" i="7"/>
  <c r="BG42" i="7" s="1"/>
  <c r="CB27" i="7"/>
  <c r="CA7" i="26"/>
  <c r="BD20" i="7"/>
  <c r="BD67" i="7"/>
  <c r="BC89" i="1"/>
  <c r="AJ67" i="7"/>
  <c r="AJ20" i="7"/>
  <c r="BN42" i="4"/>
  <c r="AO28" i="7"/>
  <c r="AN7" i="26" s="1"/>
  <c r="BW42" i="1"/>
  <c r="BB89" i="4"/>
  <c r="BM74" i="7"/>
  <c r="BT42" i="4"/>
  <c r="AS42" i="1"/>
  <c r="BL65" i="7"/>
  <c r="BK12" i="14" s="1"/>
  <c r="AN20" i="7"/>
  <c r="BQ67" i="7"/>
  <c r="BQ42" i="1"/>
  <c r="AQ19" i="7"/>
  <c r="BD5" i="26"/>
  <c r="AT19" i="7"/>
  <c r="BZ67" i="7"/>
  <c r="BB40" i="7"/>
  <c r="BB41" i="7" s="1"/>
  <c r="BZ89" i="4"/>
  <c r="AT89" i="1"/>
  <c r="BN89" i="6"/>
  <c r="AP74" i="7"/>
  <c r="BE89" i="4"/>
  <c r="BH42" i="4"/>
  <c r="CA42" i="4"/>
  <c r="BG75" i="7"/>
  <c r="BF6" i="24" s="1"/>
  <c r="AQ88" i="4"/>
  <c r="AL42" i="4"/>
  <c r="BP75" i="7"/>
  <c r="BO6" i="24" s="1"/>
  <c r="AA75" i="7"/>
  <c r="Z6" i="24" s="1"/>
  <c r="BK28" i="7"/>
  <c r="BJ7" i="26" s="1"/>
  <c r="AA42" i="4"/>
  <c r="BD28" i="7"/>
  <c r="BC7" i="26" s="1"/>
  <c r="D12" i="8"/>
  <c r="BD12" i="8"/>
  <c r="BL64" i="7"/>
  <c r="BG42" i="4"/>
  <c r="AI67" i="7"/>
  <c r="BQ20" i="7"/>
  <c r="BP12" i="13" s="1"/>
  <c r="BW5" i="26"/>
  <c r="R87" i="7"/>
  <c r="R88" i="7" s="1"/>
  <c r="AI89" i="4"/>
  <c r="S20" i="7"/>
  <c r="R12" i="13" s="1"/>
  <c r="BW12" i="8"/>
  <c r="AY64" i="7"/>
  <c r="BO20" i="7"/>
  <c r="BN12" i="13" s="1"/>
  <c r="BO89" i="2"/>
  <c r="BL42" i="1"/>
  <c r="BT89" i="1"/>
  <c r="AX89" i="1"/>
  <c r="BP42" i="1"/>
  <c r="BU88" i="5"/>
  <c r="AC42" i="6"/>
  <c r="BK88" i="6"/>
  <c r="BE40" i="7"/>
  <c r="BE41" i="7" s="1"/>
  <c r="BR89" i="1"/>
  <c r="BK89" i="1"/>
  <c r="W88" i="6"/>
  <c r="BX89" i="6"/>
  <c r="BW88" i="6"/>
  <c r="BC41" i="1"/>
  <c r="BN41" i="1"/>
  <c r="BR42" i="1"/>
  <c r="AF89" i="6"/>
  <c r="AY88" i="6"/>
  <c r="Y89" i="6"/>
  <c r="BE28" i="7"/>
  <c r="BD5" i="24" s="1"/>
  <c r="BL27" i="7"/>
  <c r="AW40" i="7"/>
  <c r="AW41" i="7" s="1"/>
  <c r="BO87" i="7"/>
  <c r="BO89" i="7" s="1"/>
  <c r="AD88" i="4"/>
  <c r="BW28" i="7"/>
  <c r="BV7" i="26" s="1"/>
  <c r="AT40" i="7"/>
  <c r="AT41" i="7" s="1"/>
  <c r="AX87" i="7"/>
  <c r="AX88" i="7" s="1"/>
  <c r="AP87" i="7"/>
  <c r="AP88" i="7" s="1"/>
  <c r="AQ75" i="7"/>
  <c r="AP6" i="24" s="1"/>
  <c r="AR75" i="7"/>
  <c r="AQ6" i="24" s="1"/>
  <c r="BY89" i="6"/>
  <c r="BL42" i="6"/>
  <c r="AB88" i="4"/>
  <c r="V40" i="7"/>
  <c r="V41" i="7" s="1"/>
  <c r="BC87" i="7"/>
  <c r="BC88" i="7" s="1"/>
  <c r="BV88" i="1"/>
  <c r="AB20" i="7"/>
  <c r="AA12" i="13" s="1"/>
  <c r="BM64" i="7"/>
  <c r="Q20" i="7"/>
  <c r="P12" i="13" s="1"/>
  <c r="AY67" i="7"/>
  <c r="BM65" i="7"/>
  <c r="BL12" i="14" s="1"/>
  <c r="BG87" i="7"/>
  <c r="BG89" i="7" s="1"/>
  <c r="BD6" i="26"/>
  <c r="BO67" i="7"/>
  <c r="Q67" i="7"/>
  <c r="BW40" i="7"/>
  <c r="BW42" i="7" s="1"/>
  <c r="BZ20" i="7"/>
  <c r="BY6" i="26" s="1"/>
  <c r="AA65" i="7"/>
  <c r="Z12" i="14" s="1"/>
  <c r="AU40" i="7"/>
  <c r="AU41" i="7" s="1"/>
  <c r="BG89" i="6"/>
  <c r="BN89" i="1"/>
  <c r="AA89" i="5"/>
  <c r="BK74" i="7"/>
  <c r="BZ89" i="6"/>
  <c r="W41" i="6"/>
  <c r="BK87" i="7"/>
  <c r="BK88" i="7" s="1"/>
  <c r="AH40" i="7"/>
  <c r="AH42" i="7" s="1"/>
  <c r="P75" i="7"/>
  <c r="O6" i="24" s="1"/>
  <c r="AY89" i="1"/>
  <c r="Y87" i="7"/>
  <c r="Y88" i="7" s="1"/>
  <c r="AI65" i="7"/>
  <c r="AH12" i="14" s="1"/>
  <c r="R40" i="7"/>
  <c r="R42" i="7" s="1"/>
  <c r="BZ87" i="7"/>
  <c r="BZ89" i="7" s="1"/>
  <c r="T64" i="7"/>
  <c r="I9" i="26"/>
  <c r="BC67" i="7"/>
  <c r="AC87" i="7"/>
  <c r="AC89" i="7" s="1"/>
  <c r="BC19" i="7"/>
  <c r="AT9" i="26"/>
  <c r="O42" i="6"/>
  <c r="BX9" i="26"/>
  <c r="AT5" i="26"/>
  <c r="S12" i="8"/>
  <c r="AQ9" i="26"/>
  <c r="BY87" i="7"/>
  <c r="BY88" i="7" s="1"/>
  <c r="AG87" i="7"/>
  <c r="AG89" i="7" s="1"/>
  <c r="BW87" i="7"/>
  <c r="BW89" i="7" s="1"/>
  <c r="AX12" i="8"/>
  <c r="U20" i="7"/>
  <c r="T6" i="26" s="1"/>
  <c r="CB65" i="7"/>
  <c r="CA12" i="14" s="1"/>
  <c r="CB5" i="26"/>
  <c r="S5" i="26"/>
  <c r="R89" i="6"/>
  <c r="BW42" i="4"/>
  <c r="T87" i="7"/>
  <c r="T88" i="7" s="1"/>
  <c r="CB89" i="5"/>
  <c r="AI42" i="5"/>
  <c r="BA41" i="5"/>
  <c r="AG88" i="5"/>
  <c r="BK89" i="5"/>
  <c r="AY89" i="5"/>
  <c r="Y89" i="5"/>
  <c r="AN89" i="6"/>
  <c r="AC88" i="4"/>
  <c r="AY9" i="26"/>
  <c r="AH20" i="7"/>
  <c r="AG12" i="13" s="1"/>
  <c r="BX5" i="26"/>
  <c r="O64" i="7"/>
  <c r="BN40" i="7"/>
  <c r="BN41" i="7" s="1"/>
  <c r="U9" i="26"/>
  <c r="U5" i="26"/>
  <c r="D5" i="23"/>
  <c r="D9" i="26"/>
  <c r="BH5" i="26"/>
  <c r="BQ5" i="26"/>
  <c r="BQ12" i="8"/>
  <c r="X9" i="26"/>
  <c r="C106" i="7"/>
  <c r="BG89" i="5"/>
  <c r="AB42" i="5"/>
  <c r="BM40" i="7"/>
  <c r="BM42" i="7" s="1"/>
  <c r="AM42" i="5"/>
  <c r="BC42" i="6"/>
  <c r="AA40" i="7"/>
  <c r="AA41" i="7" s="1"/>
  <c r="T89" i="4"/>
  <c r="O89" i="4"/>
  <c r="R88" i="4"/>
  <c r="S42" i="4"/>
  <c r="X42" i="4"/>
  <c r="BK42" i="2"/>
  <c r="BA42" i="2"/>
  <c r="BB42" i="1"/>
  <c r="CA88" i="5"/>
  <c r="AD42" i="5"/>
  <c r="AG42" i="5"/>
  <c r="CA87" i="7"/>
  <c r="CA88" i="7" s="1"/>
  <c r="AE40" i="7"/>
  <c r="AE41" i="7" s="1"/>
  <c r="BF89" i="4"/>
  <c r="V89" i="4"/>
  <c r="BJ89" i="4"/>
  <c r="AG42" i="4"/>
  <c r="BF42" i="4"/>
  <c r="AE42" i="4"/>
  <c r="AP88" i="2"/>
  <c r="BI42" i="2"/>
  <c r="AV42" i="2"/>
  <c r="BH89" i="1"/>
  <c r="Q87" i="7"/>
  <c r="Q88" i="7" s="1"/>
  <c r="BS41" i="1"/>
  <c r="AW64" i="7"/>
  <c r="AK67" i="7"/>
  <c r="CC9" i="26"/>
  <c r="AA67" i="7"/>
  <c r="T19" i="7"/>
  <c r="P67" i="7"/>
  <c r="X5" i="26"/>
  <c r="AA20" i="7"/>
  <c r="Z6" i="26" s="1"/>
  <c r="AA9" i="26"/>
  <c r="AF65" i="7"/>
  <c r="AE12" i="14" s="1"/>
  <c r="AK64" i="7"/>
  <c r="AX88" i="5"/>
  <c r="AM75" i="7"/>
  <c r="AL6" i="24" s="1"/>
  <c r="AB88" i="6"/>
  <c r="AR88" i="6"/>
  <c r="BX87" i="7"/>
  <c r="BX88" i="7" s="1"/>
  <c r="BJ42" i="7"/>
  <c r="AI40" i="7"/>
  <c r="AI42" i="7" s="1"/>
  <c r="BR87" i="7"/>
  <c r="BR88" i="7" s="1"/>
  <c r="AQ42" i="2"/>
  <c r="BR42" i="2"/>
  <c r="BV42" i="2"/>
  <c r="BQ42" i="2"/>
  <c r="BT87" i="7"/>
  <c r="BT89" i="7" s="1"/>
  <c r="CB87" i="7"/>
  <c r="CB88" i="7" s="1"/>
  <c r="AY41" i="1"/>
  <c r="AM7" i="26"/>
  <c r="AU41" i="1"/>
  <c r="AF88" i="4"/>
  <c r="Z86" i="7"/>
  <c r="Z87" i="7" s="1"/>
  <c r="Z88" i="7" s="1"/>
  <c r="AT87" i="7"/>
  <c r="AT88" i="7" s="1"/>
  <c r="BA88" i="4"/>
  <c r="S87" i="7"/>
  <c r="S88" i="7" s="1"/>
  <c r="R34" i="7"/>
  <c r="AZ42" i="4"/>
  <c r="BI40" i="7"/>
  <c r="BI41" i="7" s="1"/>
  <c r="AQ42" i="1"/>
  <c r="BH42" i="1"/>
  <c r="V7" i="26"/>
  <c r="N89" i="7"/>
  <c r="BN7" i="26"/>
  <c r="BB28" i="7"/>
  <c r="BA5" i="24" s="1"/>
  <c r="L88" i="7"/>
  <c r="S89" i="5"/>
  <c r="AY87" i="7"/>
  <c r="AY88" i="7" s="1"/>
  <c r="G89" i="7"/>
  <c r="BI87" i="7"/>
  <c r="BI89" i="7" s="1"/>
  <c r="S5" i="24"/>
  <c r="CC7" i="26"/>
  <c r="BJ42" i="5"/>
  <c r="BC42" i="5"/>
  <c r="W34" i="7"/>
  <c r="BI5" i="24"/>
  <c r="AI28" i="7"/>
  <c r="AH7" i="26" s="1"/>
  <c r="AC28" i="7"/>
  <c r="AB7" i="26" s="1"/>
  <c r="AZ40" i="7"/>
  <c r="AZ41" i="7" s="1"/>
  <c r="T74" i="7"/>
  <c r="K89" i="7"/>
  <c r="AA89" i="6"/>
  <c r="CB89" i="6"/>
  <c r="O28" i="7"/>
  <c r="N7" i="26" s="1"/>
  <c r="AL5" i="24"/>
  <c r="AF27" i="7"/>
  <c r="AO42" i="6"/>
  <c r="AD41" i="7"/>
  <c r="AN42" i="7"/>
  <c r="U42" i="6"/>
  <c r="S42" i="6"/>
  <c r="BH42" i="7"/>
  <c r="BJ27" i="7"/>
  <c r="M89" i="7"/>
  <c r="AT89" i="4"/>
  <c r="D89" i="7"/>
  <c r="AF88" i="7"/>
  <c r="S89" i="4"/>
  <c r="AI89" i="7"/>
  <c r="J41" i="7"/>
  <c r="BV40" i="7"/>
  <c r="BV41" i="7" s="1"/>
  <c r="D41" i="7"/>
  <c r="AV27" i="7"/>
  <c r="BU88" i="7"/>
  <c r="AX75" i="7"/>
  <c r="AW6" i="24" s="1"/>
  <c r="AY89" i="2"/>
  <c r="BC89" i="2"/>
  <c r="BC42" i="2"/>
  <c r="M41" i="7"/>
  <c r="AD27" i="7"/>
  <c r="BS40" i="7"/>
  <c r="BS41" i="7" s="1"/>
  <c r="BP42" i="7"/>
  <c r="AH89" i="7"/>
  <c r="AD74" i="7"/>
  <c r="BQ89" i="1"/>
  <c r="E89" i="7"/>
  <c r="Z75" i="7"/>
  <c r="Y6" i="24" s="1"/>
  <c r="BS28" i="7"/>
  <c r="BR7" i="26" s="1"/>
  <c r="AS7" i="26"/>
  <c r="P28" i="7"/>
  <c r="O7" i="26" s="1"/>
  <c r="AH27" i="7"/>
  <c r="BP87" i="7"/>
  <c r="BP88" i="7" s="1"/>
  <c r="CB6" i="26"/>
  <c r="B7" i="26"/>
  <c r="BH7" i="26"/>
  <c r="BT6" i="26"/>
  <c r="P40" i="7"/>
  <c r="P41" i="7" s="1"/>
  <c r="T67" i="7"/>
  <c r="BT64" i="7"/>
  <c r="AW6" i="26"/>
  <c r="AU64" i="7"/>
  <c r="R75" i="7"/>
  <c r="Q6" i="24" s="1"/>
  <c r="CD5" i="26"/>
  <c r="AF6" i="26"/>
  <c r="J89" i="7"/>
  <c r="U67" i="7"/>
  <c r="BR40" i="7"/>
  <c r="BR41" i="7" s="1"/>
  <c r="AG19" i="7"/>
  <c r="BD87" i="7"/>
  <c r="BD88" i="7" s="1"/>
  <c r="BT67" i="7"/>
  <c r="BE5" i="24"/>
  <c r="BH12" i="8"/>
  <c r="Y5" i="26"/>
  <c r="S74" i="7"/>
  <c r="AH67" i="7"/>
  <c r="AG42" i="7"/>
  <c r="U65" i="7"/>
  <c r="T12" i="14" s="1"/>
  <c r="BR12" i="13"/>
  <c r="CB9" i="26"/>
  <c r="O6" i="26"/>
  <c r="AP5" i="24"/>
  <c r="BX20" i="7"/>
  <c r="BW6" i="26" s="1"/>
  <c r="AF42" i="7"/>
  <c r="W40" i="7"/>
  <c r="W41" i="7" s="1"/>
  <c r="BQ89" i="7"/>
  <c r="L42" i="7"/>
  <c r="F42" i="7"/>
  <c r="AM20" i="7"/>
  <c r="AL6" i="26" s="1"/>
  <c r="CA9" i="26"/>
  <c r="AX9" i="26"/>
  <c r="BK7" i="26"/>
  <c r="O9" i="26"/>
  <c r="I89" i="7"/>
  <c r="AG27" i="7"/>
  <c r="AR19" i="7"/>
  <c r="I41" i="7"/>
  <c r="AY28" i="7"/>
  <c r="AX7" i="26" s="1"/>
  <c r="AD64" i="7"/>
  <c r="BU12" i="13"/>
  <c r="BU6" i="26"/>
  <c r="O5" i="26"/>
  <c r="AY12" i="8"/>
  <c r="AB65" i="7"/>
  <c r="AA12" i="14" s="1"/>
  <c r="BA20" i="7"/>
  <c r="T7" i="26"/>
  <c r="T5" i="24"/>
  <c r="BC40" i="7"/>
  <c r="BC42" i="7" s="1"/>
  <c r="AC20" i="7"/>
  <c r="AB6" i="26" s="1"/>
  <c r="AM67" i="7"/>
  <c r="BL88" i="7"/>
  <c r="BL89" i="7"/>
  <c r="W63" i="7"/>
  <c r="W64" i="7" s="1"/>
  <c r="CA12" i="8"/>
  <c r="H89" i="7"/>
  <c r="AC89" i="6"/>
  <c r="BI41" i="1"/>
  <c r="BI42" i="1"/>
  <c r="BM42" i="4"/>
  <c r="BU9" i="26"/>
  <c r="BU5" i="26"/>
  <c r="U40" i="7"/>
  <c r="U41" i="7" s="1"/>
  <c r="E42" i="7"/>
  <c r="CA89" i="4"/>
  <c r="AV89" i="7"/>
  <c r="X86" i="7"/>
  <c r="X87" i="7" s="1"/>
  <c r="X88" i="7" s="1"/>
  <c r="CB5" i="24"/>
  <c r="AC9" i="26"/>
  <c r="AH12" i="13"/>
  <c r="R6" i="26"/>
  <c r="F89" i="7"/>
  <c r="AT67" i="7"/>
  <c r="BL40" i="7"/>
  <c r="BL42" i="7" s="1"/>
  <c r="V65" i="7"/>
  <c r="U12" i="14" s="1"/>
  <c r="AX19" i="7"/>
  <c r="AO64" i="7"/>
  <c r="AU89" i="2"/>
  <c r="AP42" i="6"/>
  <c r="AQ42" i="4"/>
  <c r="AH42" i="6"/>
  <c r="CB89" i="2"/>
  <c r="BD42" i="2"/>
  <c r="BF40" i="7"/>
  <c r="BF41" i="7" s="1"/>
  <c r="AU75" i="7"/>
  <c r="AT6" i="24" s="1"/>
  <c r="AM41" i="4"/>
  <c r="AM42" i="4"/>
  <c r="AK89" i="4"/>
  <c r="AK88" i="4"/>
  <c r="AZ42" i="2"/>
  <c r="BO40" i="7"/>
  <c r="BO41" i="7" s="1"/>
  <c r="Z26" i="7"/>
  <c r="Z27" i="7" s="1"/>
  <c r="AG42" i="6"/>
  <c r="T89" i="6"/>
  <c r="BE42" i="5"/>
  <c r="AS42" i="5"/>
  <c r="AZ89" i="5"/>
  <c r="AC5" i="26"/>
  <c r="AQ12" i="8"/>
  <c r="AZ28" i="7"/>
  <c r="AY7" i="26" s="1"/>
  <c r="BJ87" i="7"/>
  <c r="BO41" i="2"/>
  <c r="BO42" i="2"/>
  <c r="CD9" i="26"/>
  <c r="R5" i="26"/>
  <c r="AK89" i="7"/>
  <c r="AP20" i="7"/>
  <c r="AO12" i="13" s="1"/>
  <c r="AB42" i="7"/>
  <c r="BH67" i="7"/>
  <c r="AI42" i="4"/>
  <c r="BY9" i="26"/>
  <c r="BZ42" i="2"/>
  <c r="Q28" i="7"/>
  <c r="P7" i="26" s="1"/>
  <c r="BL42" i="4"/>
  <c r="BC89" i="4"/>
  <c r="BA89" i="6"/>
  <c r="BY5" i="26"/>
  <c r="BG88" i="4"/>
  <c r="BG89" i="4"/>
  <c r="AL88" i="4"/>
  <c r="AL89" i="4"/>
  <c r="Y42" i="6"/>
  <c r="BM41" i="5"/>
  <c r="BM42" i="5"/>
  <c r="Z89" i="5"/>
  <c r="Z88" i="5"/>
  <c r="AS89" i="1"/>
  <c r="AI12" i="13"/>
  <c r="AI6" i="26"/>
  <c r="H41" i="7"/>
  <c r="W9" i="26"/>
  <c r="Y9" i="26"/>
  <c r="BY75" i="7"/>
  <c r="BX6" i="24" s="1"/>
  <c r="G42" i="7"/>
  <c r="AV40" i="7"/>
  <c r="AV41" i="7" s="1"/>
  <c r="AL20" i="7"/>
  <c r="AK12" i="13" s="1"/>
  <c r="W5" i="26"/>
  <c r="AF12" i="8"/>
  <c r="BM6" i="26"/>
  <c r="BS5" i="24"/>
  <c r="CA28" i="7"/>
  <c r="BZ7" i="26" s="1"/>
  <c r="AL64" i="7"/>
  <c r="I5" i="23"/>
  <c r="AU67" i="7"/>
  <c r="AK20" i="7"/>
  <c r="AJ6" i="26" s="1"/>
  <c r="AF5" i="26"/>
  <c r="J5" i="24"/>
  <c r="I5" i="26"/>
  <c r="AG9" i="26"/>
  <c r="CC6" i="26"/>
  <c r="AE67" i="7"/>
  <c r="CB75" i="7"/>
  <c r="CA6" i="24" s="1"/>
  <c r="U7" i="26"/>
  <c r="U5" i="24"/>
  <c r="BL12" i="13"/>
  <c r="BL6" i="26"/>
  <c r="P65" i="7"/>
  <c r="O12" i="14" s="1"/>
  <c r="BZ74" i="7"/>
  <c r="BP6" i="26"/>
  <c r="C42" i="7"/>
  <c r="AA5" i="24"/>
  <c r="BU42" i="7"/>
  <c r="CA41" i="7"/>
  <c r="W19" i="7"/>
  <c r="AW87" i="7"/>
  <c r="AW89" i="7" s="1"/>
  <c r="AG12" i="8"/>
  <c r="R9" i="26"/>
  <c r="AA12" i="8"/>
  <c r="AE20" i="7"/>
  <c r="AD6" i="26" s="1"/>
  <c r="BI67" i="7"/>
  <c r="BW75" i="7"/>
  <c r="BV6" i="24" s="1"/>
  <c r="AR67" i="7"/>
  <c r="AB27" i="7"/>
  <c r="V67" i="7"/>
  <c r="BA28" i="7"/>
  <c r="BA27" i="7"/>
  <c r="BF7" i="26"/>
  <c r="AQ67" i="7"/>
  <c r="BI6" i="26"/>
  <c r="AU20" i="7"/>
  <c r="AT12" i="13" s="1"/>
  <c r="BO75" i="7"/>
  <c r="BN6" i="24" s="1"/>
  <c r="AR65" i="7"/>
  <c r="AQ12" i="14" s="1"/>
  <c r="CA75" i="7"/>
  <c r="BZ6" i="24" s="1"/>
  <c r="AB89" i="7"/>
  <c r="AB67" i="7"/>
  <c r="CB42" i="7"/>
  <c r="CB41" i="7"/>
  <c r="O89" i="7"/>
  <c r="O88" i="7"/>
  <c r="AO88" i="7"/>
  <c r="AO89" i="7"/>
  <c r="P89" i="7"/>
  <c r="P88" i="7"/>
  <c r="U89" i="4"/>
  <c r="U86" i="7"/>
  <c r="BU88" i="4"/>
  <c r="BU89" i="4"/>
  <c r="BA64" i="7"/>
  <c r="BA67" i="7"/>
  <c r="BQ12" i="13"/>
  <c r="BQ6" i="26"/>
  <c r="AG64" i="7"/>
  <c r="AG65" i="7"/>
  <c r="AF12" i="14" s="1"/>
  <c r="BS88" i="1"/>
  <c r="BS89" i="1"/>
  <c r="AL42" i="7"/>
  <c r="AL41" i="7"/>
  <c r="BF88" i="6"/>
  <c r="BF89" i="6"/>
  <c r="BB6" i="26"/>
  <c r="BB12" i="13"/>
  <c r="AH42" i="4"/>
  <c r="AH41" i="4"/>
  <c r="AM89" i="2"/>
  <c r="BB88" i="1"/>
  <c r="BB89" i="1"/>
  <c r="BP42" i="4"/>
  <c r="BP41" i="4"/>
  <c r="U73" i="7"/>
  <c r="U74" i="7" s="1"/>
  <c r="BE89" i="6"/>
  <c r="BH88" i="4"/>
  <c r="BH89" i="4"/>
  <c r="O67" i="7"/>
  <c r="AX12" i="13"/>
  <c r="AX6" i="26"/>
  <c r="AY41" i="4"/>
  <c r="AY42" i="4"/>
  <c r="AL41" i="5"/>
  <c r="AL42" i="5"/>
  <c r="BA42" i="1"/>
  <c r="BA41" i="1"/>
  <c r="BY5" i="24"/>
  <c r="BY7" i="26"/>
  <c r="BG42" i="5"/>
  <c r="T35" i="7"/>
  <c r="S8" i="26" s="1"/>
  <c r="BC89" i="5"/>
  <c r="BL88" i="4"/>
  <c r="BL89" i="4"/>
  <c r="AS88" i="4"/>
  <c r="AS89" i="4"/>
  <c r="AD87" i="7"/>
  <c r="AD88" i="7" s="1"/>
  <c r="AM87" i="7"/>
  <c r="AM88" i="7" s="1"/>
  <c r="O88" i="5"/>
  <c r="O89" i="5"/>
  <c r="S40" i="7"/>
  <c r="S41" i="7" s="1"/>
  <c r="T41" i="6"/>
  <c r="T42" i="6"/>
  <c r="AJ88" i="4"/>
  <c r="AJ89" i="4"/>
  <c r="AU42" i="2"/>
  <c r="O20" i="7"/>
  <c r="AR40" i="7"/>
  <c r="AR41" i="7" s="1"/>
  <c r="S65" i="7"/>
  <c r="R12" i="14" s="1"/>
  <c r="BS89" i="7"/>
  <c r="BS88" i="7"/>
  <c r="BQ40" i="7"/>
  <c r="BQ41" i="7" s="1"/>
  <c r="AL41" i="6"/>
  <c r="AL42" i="6"/>
  <c r="AC67" i="7"/>
  <c r="AC42" i="4"/>
  <c r="AZ75" i="7"/>
  <c r="AY6" i="24" s="1"/>
  <c r="V41" i="6"/>
  <c r="V42" i="6"/>
  <c r="AL67" i="7"/>
  <c r="BK19" i="7"/>
  <c r="BK67" i="7"/>
  <c r="AV41" i="6"/>
  <c r="AV42" i="6"/>
  <c r="Y28" i="7"/>
  <c r="Y27" i="7"/>
  <c r="AS88" i="2"/>
  <c r="AS89" i="2"/>
  <c r="AY6" i="26"/>
  <c r="AY12" i="13"/>
  <c r="BV89" i="7"/>
  <c r="W73" i="7"/>
  <c r="W74" i="7" s="1"/>
  <c r="AS40" i="7"/>
  <c r="AS41" i="7" s="1"/>
  <c r="AP40" i="7"/>
  <c r="AP41" i="7" s="1"/>
  <c r="AM41" i="7"/>
  <c r="AM42" i="7"/>
  <c r="BB88" i="7"/>
  <c r="BB89" i="7"/>
  <c r="AX42" i="2"/>
  <c r="BP5" i="24"/>
  <c r="BP7" i="26"/>
  <c r="BT7" i="26"/>
  <c r="BT5" i="24"/>
  <c r="Z65" i="7"/>
  <c r="Y12" i="14" s="1"/>
  <c r="Z64" i="7"/>
  <c r="Z67" i="7"/>
  <c r="BF89" i="2"/>
  <c r="BX7" i="26"/>
  <c r="BX5" i="24"/>
  <c r="AM65" i="7"/>
  <c r="AL12" i="14" s="1"/>
  <c r="AM64" i="7"/>
  <c r="AH88" i="4"/>
  <c r="AH89" i="4"/>
  <c r="BZ40" i="7"/>
  <c r="BI42" i="4"/>
  <c r="BT88" i="2"/>
  <c r="BT89" i="2"/>
  <c r="AR88" i="7"/>
  <c r="AR89" i="7"/>
  <c r="BO7" i="26"/>
  <c r="BO5" i="24"/>
  <c r="AK88" i="6"/>
  <c r="AK89" i="6"/>
  <c r="BT42" i="2"/>
  <c r="BY89" i="5"/>
  <c r="BY88" i="5"/>
  <c r="BB19" i="7"/>
  <c r="BB67" i="7"/>
  <c r="R41" i="4"/>
  <c r="R42" i="4"/>
  <c r="AL88" i="7"/>
  <c r="AL89" i="7"/>
  <c r="AP88" i="4"/>
  <c r="AP89" i="4"/>
  <c r="AO40" i="7"/>
  <c r="AO41" i="7" s="1"/>
  <c r="BD88" i="4"/>
  <c r="BD89" i="4"/>
  <c r="BV89" i="2"/>
  <c r="N41" i="7"/>
  <c r="N42" i="7"/>
  <c r="BZ88" i="5"/>
  <c r="BZ89" i="5"/>
  <c r="S6" i="26"/>
  <c r="S12" i="13"/>
  <c r="AG67" i="7"/>
  <c r="O42" i="7"/>
  <c r="BB20" i="7"/>
  <c r="Q42" i="6"/>
  <c r="AF67" i="7"/>
  <c r="CA19" i="7"/>
  <c r="CA67" i="7"/>
  <c r="AR12" i="8"/>
  <c r="AR5" i="26"/>
  <c r="AR9" i="26"/>
  <c r="X73" i="7"/>
  <c r="X74" i="7" s="1"/>
  <c r="X26" i="7"/>
  <c r="X27" i="7" s="1"/>
  <c r="T40" i="7"/>
  <c r="T41" i="7" s="1"/>
  <c r="AQ40" i="7"/>
  <c r="AQ41" i="7" s="1"/>
  <c r="BE41" i="4"/>
  <c r="BE42" i="4"/>
  <c r="AR41" i="1"/>
  <c r="AR42" i="1"/>
  <c r="BY42" i="4"/>
  <c r="X89" i="6"/>
  <c r="AE88" i="7"/>
  <c r="AE89" i="7"/>
  <c r="W86" i="7"/>
  <c r="W87" i="7" s="1"/>
  <c r="W89" i="4"/>
  <c r="AP41" i="1"/>
  <c r="AP42" i="1"/>
  <c r="AK41" i="6"/>
  <c r="AK42" i="6"/>
  <c r="AG89" i="6"/>
  <c r="AN88" i="4"/>
  <c r="AN89" i="4"/>
  <c r="BU41" i="4"/>
  <c r="BU42" i="4"/>
  <c r="AX40" i="7"/>
  <c r="AX41" i="7" s="1"/>
  <c r="AG89" i="4"/>
  <c r="AG88" i="4"/>
  <c r="CB41" i="1"/>
  <c r="CB42" i="1"/>
  <c r="CA20" i="7"/>
  <c r="BW89" i="4"/>
  <c r="BW88" i="4"/>
  <c r="AT7" i="26"/>
  <c r="AT5" i="24"/>
  <c r="X41" i="6"/>
  <c r="X42" i="6"/>
  <c r="Y42" i="4"/>
  <c r="Y39" i="7"/>
  <c r="AZ42" i="5"/>
  <c r="BN42" i="2"/>
  <c r="V73" i="7"/>
  <c r="V74" i="7" s="1"/>
  <c r="AW89" i="6"/>
  <c r="BV28" i="7"/>
  <c r="BG42" i="6"/>
  <c r="C96" i="7"/>
  <c r="C94" i="7"/>
  <c r="C89" i="7"/>
  <c r="C95" i="7"/>
  <c r="C88" i="7"/>
  <c r="C93" i="7"/>
  <c r="C97" i="7"/>
  <c r="R20" i="7"/>
  <c r="R19" i="7"/>
  <c r="AN88" i="7"/>
  <c r="AN89" i="7"/>
  <c r="X40" i="7"/>
  <c r="X41" i="7" s="1"/>
  <c r="BA65" i="7"/>
  <c r="AZ12" i="14" s="1"/>
  <c r="V20" i="7"/>
  <c r="V19" i="7"/>
  <c r="BA42" i="4"/>
  <c r="BK20" i="7"/>
  <c r="Z42" i="6"/>
  <c r="BA40" i="7"/>
  <c r="BA41" i="7" s="1"/>
  <c r="BB41" i="6"/>
  <c r="BB42" i="6"/>
  <c r="AL88" i="6"/>
  <c r="AL89" i="6"/>
  <c r="AD89" i="6"/>
  <c r="AZ89" i="4"/>
  <c r="Z89" i="6"/>
  <c r="BA89" i="2"/>
  <c r="AF20" i="7"/>
  <c r="CA42" i="1"/>
  <c r="BY89" i="4"/>
  <c r="Z39" i="7"/>
  <c r="Z42" i="4"/>
  <c r="BF41" i="6"/>
  <c r="BF42" i="6"/>
  <c r="BM28" i="7"/>
  <c r="Q40" i="7"/>
  <c r="Q41" i="7" s="1"/>
  <c r="BF87" i="7"/>
  <c r="BF88" i="7" s="1"/>
  <c r="BC6" i="26"/>
  <c r="BC12" i="13"/>
  <c r="AC65" i="7"/>
  <c r="AB12" i="14" s="1"/>
  <c r="Z20" i="7"/>
  <c r="BA87" i="7"/>
  <c r="BA88" i="7" s="1"/>
  <c r="BE87" i="7"/>
  <c r="BE88" i="7" s="1"/>
  <c r="S67" i="7"/>
  <c r="AU89" i="7"/>
  <c r="AJ28" i="7"/>
  <c r="AZ87" i="7"/>
  <c r="AZ88" i="7" s="1"/>
  <c r="BF12" i="13"/>
  <c r="BF6" i="26"/>
  <c r="AW67" i="7"/>
  <c r="BW65" i="7"/>
  <c r="BV12" i="14" s="1"/>
  <c r="X20" i="7"/>
  <c r="W12" i="13" s="1"/>
  <c r="BG65" i="7"/>
  <c r="BF12" i="14" s="1"/>
  <c r="BG67" i="7"/>
  <c r="BD41" i="1"/>
  <c r="BD42" i="1"/>
  <c r="AV5" i="24"/>
  <c r="AV7" i="26"/>
  <c r="BB7" i="26"/>
  <c r="BB5" i="24"/>
  <c r="BD40" i="7"/>
  <c r="BD42" i="7" s="1"/>
  <c r="AP67" i="7"/>
  <c r="AE64" i="7"/>
  <c r="BE41" i="1"/>
  <c r="BE42" i="1"/>
  <c r="P5" i="26"/>
  <c r="P12" i="8"/>
  <c r="P9" i="26"/>
  <c r="AV5" i="26"/>
  <c r="AV12" i="8"/>
  <c r="AV9" i="26"/>
  <c r="BT5" i="26"/>
  <c r="BT12" i="8"/>
  <c r="BT9" i="26"/>
  <c r="D106" i="7"/>
  <c r="BP12" i="8"/>
  <c r="BP9" i="26"/>
  <c r="BP5" i="26"/>
  <c r="AE65" i="7"/>
  <c r="AD12" i="14" s="1"/>
  <c r="X6" i="26"/>
  <c r="X12" i="13"/>
  <c r="AC12" i="13"/>
  <c r="AC6" i="26"/>
  <c r="AX67" i="7"/>
  <c r="AX64" i="7"/>
  <c r="BL41" i="5"/>
  <c r="BL42" i="5"/>
  <c r="X64" i="7"/>
  <c r="X67" i="7"/>
  <c r="BM88" i="5"/>
  <c r="BM89" i="5"/>
  <c r="BX41" i="5"/>
  <c r="BX42" i="5"/>
  <c r="AJ87" i="7"/>
  <c r="AJ89" i="7" s="1"/>
  <c r="BW57" i="7"/>
  <c r="BW55" i="7"/>
  <c r="BV12" i="15" s="1"/>
  <c r="BI64" i="7"/>
  <c r="BH20" i="7"/>
  <c r="AS19" i="7"/>
  <c r="AQ65" i="7"/>
  <c r="AP12" i="14" s="1"/>
  <c r="AP64" i="7"/>
  <c r="AO20" i="7"/>
  <c r="AW19" i="7"/>
  <c r="AV19" i="7"/>
  <c r="AT65" i="7"/>
  <c r="AS12" i="14" s="1"/>
  <c r="AO67" i="7"/>
  <c r="AV65" i="7"/>
  <c r="AU12" i="14" s="1"/>
  <c r="AV67" i="7"/>
  <c r="AR12" i="13"/>
  <c r="AR6" i="26"/>
  <c r="AD19" i="7"/>
  <c r="AD67" i="7"/>
  <c r="Y19" i="7"/>
  <c r="Y67" i="7"/>
  <c r="AE5" i="24"/>
  <c r="AE7" i="26"/>
  <c r="AJ7" i="26"/>
  <c r="AJ5" i="24"/>
  <c r="BM87" i="7"/>
  <c r="BM89" i="7" s="1"/>
  <c r="B12" i="8"/>
  <c r="B5" i="26"/>
  <c r="B5" i="23"/>
  <c r="B9" i="26"/>
  <c r="AV6" i="26"/>
  <c r="AV12" i="13"/>
  <c r="AU12" i="13"/>
  <c r="AU6" i="26"/>
  <c r="AS67" i="7"/>
  <c r="AS64" i="7"/>
  <c r="AJ88" i="5"/>
  <c r="AJ89" i="5"/>
  <c r="AA28" i="7"/>
  <c r="BV74" i="7"/>
  <c r="BU74" i="7"/>
  <c r="BR42" i="5"/>
  <c r="V89" i="7"/>
  <c r="BX28" i="7"/>
  <c r="BW5" i="24" s="1"/>
  <c r="AC5" i="24"/>
  <c r="AC7" i="26"/>
  <c r="Q5" i="24"/>
  <c r="Q7" i="26"/>
  <c r="BR75" i="7"/>
  <c r="BQ6" i="24" s="1"/>
  <c r="AM6" i="26"/>
  <c r="AM12" i="13"/>
  <c r="BT40" i="7"/>
  <c r="BT41" i="7" s="1"/>
  <c r="BY67" i="7"/>
  <c r="BY65" i="7"/>
  <c r="BX12" i="14" s="1"/>
  <c r="Q42" i="4"/>
  <c r="Q41" i="4"/>
  <c r="BF19" i="7"/>
  <c r="BF67" i="7"/>
  <c r="BX65" i="7"/>
  <c r="BW12" i="14" s="1"/>
  <c r="BX67" i="7"/>
  <c r="AQ6" i="26"/>
  <c r="AQ12" i="13"/>
  <c r="K42" i="7"/>
  <c r="BY20" i="7"/>
  <c r="BN88" i="7"/>
  <c r="BW20" i="7"/>
  <c r="S28" i="7"/>
  <c r="AE27" i="7"/>
  <c r="BX74" i="7"/>
  <c r="BW67" i="7"/>
  <c r="BJ67" i="7"/>
  <c r="BJ64" i="7"/>
  <c r="AZ12" i="8"/>
  <c r="AZ9" i="26"/>
  <c r="AZ5" i="26"/>
  <c r="AS6" i="26"/>
  <c r="AS12" i="13"/>
  <c r="BE12" i="13"/>
  <c r="BE6" i="26"/>
  <c r="AD7" i="26"/>
  <c r="AD5" i="24"/>
  <c r="AN65" i="7"/>
  <c r="AM12" i="14" s="1"/>
  <c r="AN67" i="7"/>
  <c r="BE65" i="7"/>
  <c r="BD12" i="14" s="1"/>
  <c r="BE67" i="7"/>
  <c r="H12" i="8"/>
  <c r="H5" i="26"/>
  <c r="H5" i="23"/>
  <c r="H9" i="26"/>
  <c r="BB12" i="8"/>
  <c r="BB9" i="26"/>
  <c r="BB5" i="26"/>
  <c r="BO12" i="13"/>
  <c r="BO6" i="26"/>
  <c r="BH6" i="26"/>
  <c r="BH12" i="13"/>
  <c r="H7" i="26"/>
  <c r="H5" i="24"/>
  <c r="M7" i="26"/>
  <c r="M5" i="24"/>
  <c r="I5" i="24"/>
  <c r="I7" i="26"/>
  <c r="G7" i="26"/>
  <c r="G5" i="24"/>
  <c r="E5" i="24"/>
  <c r="E7" i="26"/>
  <c r="AF5" i="24"/>
  <c r="AF7" i="26"/>
  <c r="AG5" i="24"/>
  <c r="AG7" i="26"/>
  <c r="I12" i="13"/>
  <c r="I6" i="23"/>
  <c r="I6" i="26"/>
  <c r="E12" i="8"/>
  <c r="E9" i="26"/>
  <c r="E5" i="23"/>
  <c r="E5" i="26"/>
  <c r="AA89" i="7"/>
  <c r="BY12" i="13"/>
  <c r="K5" i="24"/>
  <c r="K7" i="26"/>
  <c r="AP12" i="13"/>
  <c r="AP6" i="26"/>
  <c r="AW12" i="8"/>
  <c r="AW9" i="26"/>
  <c r="AW5" i="26"/>
  <c r="J5" i="26"/>
  <c r="J9" i="26"/>
  <c r="L12" i="13"/>
  <c r="L6" i="26"/>
  <c r="BG12" i="8"/>
  <c r="BG9" i="26"/>
  <c r="BG5" i="26"/>
  <c r="L5" i="24"/>
  <c r="L7" i="26"/>
  <c r="C5" i="24"/>
  <c r="C7" i="26"/>
  <c r="V12" i="13"/>
  <c r="V6" i="26"/>
  <c r="M12" i="8"/>
  <c r="M9" i="26"/>
  <c r="M5" i="26"/>
  <c r="BC12" i="8"/>
  <c r="BC9" i="26"/>
  <c r="BC5" i="26"/>
  <c r="AS12" i="8"/>
  <c r="AS9" i="26"/>
  <c r="AS5" i="26"/>
  <c r="BK12" i="8"/>
  <c r="BK9" i="26"/>
  <c r="BK5" i="26"/>
  <c r="AI12" i="8"/>
  <c r="AI9" i="26"/>
  <c r="AI5" i="26"/>
  <c r="AD12" i="8"/>
  <c r="AD5" i="26"/>
  <c r="AD9" i="26"/>
  <c r="BJ12" i="8"/>
  <c r="BJ5" i="26"/>
  <c r="BJ9" i="26"/>
  <c r="BM12" i="8"/>
  <c r="BM9" i="26"/>
  <c r="BM5" i="26"/>
  <c r="G9" i="26"/>
  <c r="G5" i="26"/>
  <c r="M12" i="13"/>
  <c r="M6" i="26"/>
  <c r="D5" i="24"/>
  <c r="D7" i="26"/>
  <c r="AU5" i="24"/>
  <c r="AU7" i="26"/>
  <c r="BO12" i="8"/>
  <c r="BO9" i="26"/>
  <c r="BO5" i="26"/>
  <c r="BF12" i="8"/>
  <c r="BF5" i="26"/>
  <c r="BF9" i="26"/>
  <c r="T12" i="8"/>
  <c r="T5" i="26"/>
  <c r="T9" i="26"/>
  <c r="AJ12" i="8"/>
  <c r="AJ5" i="26"/>
  <c r="AJ9" i="26"/>
  <c r="AM12" i="8"/>
  <c r="AM9" i="26"/>
  <c r="AM5" i="26"/>
  <c r="AP12" i="8"/>
  <c r="AP5" i="26"/>
  <c r="AP9" i="26"/>
  <c r="AB12" i="8"/>
  <c r="AB5" i="26"/>
  <c r="AB9" i="26"/>
  <c r="AH12" i="8"/>
  <c r="AH5" i="26"/>
  <c r="AH9" i="26"/>
  <c r="AL12" i="8"/>
  <c r="AL5" i="26"/>
  <c r="AL9" i="26"/>
  <c r="BN12" i="8"/>
  <c r="BN5" i="26"/>
  <c r="BN9" i="26"/>
  <c r="BE12" i="8"/>
  <c r="BE9" i="26"/>
  <c r="BE5" i="26"/>
  <c r="K12" i="8"/>
  <c r="K9" i="26"/>
  <c r="K5" i="26"/>
  <c r="K12" i="13"/>
  <c r="K6" i="26"/>
  <c r="Z12" i="8"/>
  <c r="Z5" i="26"/>
  <c r="Z9" i="26"/>
  <c r="E6" i="23"/>
  <c r="E6" i="26"/>
  <c r="E12" i="13"/>
  <c r="C6" i="23"/>
  <c r="C12" i="13"/>
  <c r="G12" i="13"/>
  <c r="G6" i="23"/>
  <c r="G5" i="23"/>
  <c r="G12" i="8"/>
  <c r="S82" i="7"/>
  <c r="CB19" i="7"/>
  <c r="CB67" i="7"/>
  <c r="CB20" i="7"/>
  <c r="AK40" i="7"/>
  <c r="AK41" i="7" s="1"/>
  <c r="AJ41" i="7"/>
  <c r="AJ42" i="7"/>
  <c r="BX40" i="7"/>
  <c r="BX41" i="7" s="1"/>
  <c r="AQ88" i="7"/>
  <c r="AQ89" i="7"/>
  <c r="AK42" i="5"/>
  <c r="AJ41" i="5"/>
  <c r="AJ42" i="5"/>
  <c r="J5" i="23"/>
  <c r="J12" i="8"/>
  <c r="BK40" i="7"/>
  <c r="BK41" i="7" s="1"/>
  <c r="J6" i="23"/>
  <c r="J12" i="13"/>
  <c r="H6" i="23"/>
  <c r="H12" i="13"/>
  <c r="F6" i="23"/>
  <c r="F12" i="13"/>
  <c r="D6" i="23"/>
  <c r="D12" i="13"/>
  <c r="AW88" i="1"/>
  <c r="AW89" i="1"/>
  <c r="BP88" i="6"/>
  <c r="BP89" i="6"/>
  <c r="BX42" i="4"/>
  <c r="AR28" i="7"/>
  <c r="AS89" i="7" l="1"/>
  <c r="AW7" i="26"/>
  <c r="BH89" i="7"/>
  <c r="BG5" i="24"/>
  <c r="AO7" i="26"/>
  <c r="BY41" i="7"/>
  <c r="BQ5" i="24"/>
  <c r="AC42" i="7"/>
  <c r="BG41" i="7"/>
  <c r="AY41" i="7"/>
  <c r="AN5" i="24"/>
  <c r="BB42" i="7"/>
  <c r="BN6" i="26"/>
  <c r="BJ5" i="24"/>
  <c r="R89" i="7"/>
  <c r="BN42" i="7"/>
  <c r="BC5" i="24"/>
  <c r="BO88" i="7"/>
  <c r="AA6" i="26"/>
  <c r="BE42" i="7"/>
  <c r="BD7" i="26"/>
  <c r="AW42" i="7"/>
  <c r="AP89" i="7"/>
  <c r="BV5" i="24"/>
  <c r="AT42" i="7"/>
  <c r="AX89" i="7"/>
  <c r="BC89" i="7"/>
  <c r="V42" i="7"/>
  <c r="AG88" i="7"/>
  <c r="AH41" i="7"/>
  <c r="AU42" i="7"/>
  <c r="BG88" i="7"/>
  <c r="BW41" i="7"/>
  <c r="P6" i="26"/>
  <c r="BW88" i="7"/>
  <c r="BK89" i="7"/>
  <c r="R41" i="7"/>
  <c r="BZ88" i="7"/>
  <c r="Y89" i="7"/>
  <c r="AC88" i="7"/>
  <c r="BW12" i="13"/>
  <c r="T12" i="13"/>
  <c r="BY89" i="7"/>
  <c r="AG6" i="26"/>
  <c r="AO6" i="26"/>
  <c r="T89" i="7"/>
  <c r="BM41" i="7"/>
  <c r="AA42" i="7"/>
  <c r="CA89" i="7"/>
  <c r="Q89" i="7"/>
  <c r="AE42" i="7"/>
  <c r="BT88" i="7"/>
  <c r="BR89" i="7"/>
  <c r="AK6" i="26"/>
  <c r="AL12" i="13"/>
  <c r="W67" i="7"/>
  <c r="Z12" i="13"/>
  <c r="BX89" i="7"/>
  <c r="AY89" i="7"/>
  <c r="N5" i="24"/>
  <c r="AI41" i="7"/>
  <c r="S89" i="7"/>
  <c r="Z89" i="7"/>
  <c r="CB89" i="7"/>
  <c r="BI42" i="7"/>
  <c r="AT89" i="7"/>
  <c r="BA7" i="26"/>
  <c r="AZ42" i="7"/>
  <c r="AB5" i="24"/>
  <c r="BV42" i="7"/>
  <c r="BF42" i="7"/>
  <c r="BR5" i="24"/>
  <c r="BI88" i="7"/>
  <c r="AH5" i="24"/>
  <c r="BP89" i="7"/>
  <c r="BS42" i="7"/>
  <c r="BL41" i="7"/>
  <c r="P42" i="7"/>
  <c r="Z28" i="7"/>
  <c r="Y7" i="26" s="1"/>
  <c r="O5" i="24"/>
  <c r="AY5" i="24"/>
  <c r="BD89" i="7"/>
  <c r="BC41" i="7"/>
  <c r="W42" i="7"/>
  <c r="AB12" i="13"/>
  <c r="AX5" i="24"/>
  <c r="BR42" i="7"/>
  <c r="P5" i="24"/>
  <c r="W65" i="7"/>
  <c r="V12" i="14" s="1"/>
  <c r="AZ12" i="13"/>
  <c r="AZ6" i="26"/>
  <c r="AV42" i="7"/>
  <c r="U42" i="7"/>
  <c r="AW88" i="7"/>
  <c r="X89" i="7"/>
  <c r="BJ88" i="7"/>
  <c r="BJ89" i="7"/>
  <c r="BO42" i="7"/>
  <c r="AD12" i="13"/>
  <c r="AT6" i="26"/>
  <c r="BZ5" i="24"/>
  <c r="AJ12" i="13"/>
  <c r="Q42" i="7"/>
  <c r="AR42" i="7"/>
  <c r="AP42" i="7"/>
  <c r="X42" i="7"/>
  <c r="AX42" i="7"/>
  <c r="AQ42" i="7"/>
  <c r="AZ7" i="26"/>
  <c r="AZ5" i="24"/>
  <c r="X75" i="7"/>
  <c r="W6" i="24" s="1"/>
  <c r="W89" i="7"/>
  <c r="W88" i="7"/>
  <c r="Y6" i="26"/>
  <c r="Y12" i="13"/>
  <c r="BL5" i="24"/>
  <c r="BL7" i="26"/>
  <c r="Y40" i="7"/>
  <c r="Y41" i="7" s="1"/>
  <c r="BJ12" i="13"/>
  <c r="BJ6" i="26"/>
  <c r="C98" i="7"/>
  <c r="BF89" i="7"/>
  <c r="V75" i="7"/>
  <c r="U6" i="24" s="1"/>
  <c r="AS42" i="7"/>
  <c r="AM89" i="7"/>
  <c r="AD89" i="7"/>
  <c r="BU7" i="26"/>
  <c r="BU5" i="24"/>
  <c r="AI5" i="24"/>
  <c r="AI7" i="26"/>
  <c r="BA42" i="7"/>
  <c r="BZ12" i="13"/>
  <c r="BZ6" i="26"/>
  <c r="AO42" i="7"/>
  <c r="BQ42" i="7"/>
  <c r="X5" i="24"/>
  <c r="X7" i="26"/>
  <c r="N12" i="13"/>
  <c r="N6" i="26"/>
  <c r="AZ89" i="7"/>
  <c r="S42" i="7"/>
  <c r="BE89" i="7"/>
  <c r="U87" i="7"/>
  <c r="U88" i="7" s="1"/>
  <c r="Z40" i="7"/>
  <c r="Z41" i="7" s="1"/>
  <c r="U6" i="26"/>
  <c r="U12" i="13"/>
  <c r="AE6" i="26"/>
  <c r="AE12" i="13"/>
  <c r="Q6" i="26"/>
  <c r="Q12" i="13"/>
  <c r="T42" i="7"/>
  <c r="X28" i="7"/>
  <c r="BA12" i="13"/>
  <c r="BA6" i="26"/>
  <c r="BZ42" i="7"/>
  <c r="BZ41" i="7"/>
  <c r="W75" i="7"/>
  <c r="V6" i="24" s="1"/>
  <c r="U75" i="7"/>
  <c r="T6" i="24" s="1"/>
  <c r="BA89" i="7"/>
  <c r="W6" i="26"/>
  <c r="BD41" i="7"/>
  <c r="BM88" i="7"/>
  <c r="AJ88" i="7"/>
  <c r="BW7" i="26"/>
  <c r="AN6" i="26"/>
  <c r="AN12" i="13"/>
  <c r="BG12" i="13"/>
  <c r="BG6" i="26"/>
  <c r="Z7" i="26"/>
  <c r="Z5" i="24"/>
  <c r="BT42" i="7"/>
  <c r="R7" i="26"/>
  <c r="R5" i="24"/>
  <c r="BV6" i="26"/>
  <c r="BV12" i="13"/>
  <c r="BX6" i="26"/>
  <c r="BX12" i="13"/>
  <c r="AQ5" i="24"/>
  <c r="AQ7" i="26"/>
  <c r="CA12" i="13"/>
  <c r="CA6" i="26"/>
  <c r="BK42" i="7"/>
  <c r="AK42" i="7"/>
  <c r="BX42" i="7"/>
  <c r="Y5" i="24" l="1"/>
  <c r="U89" i="7"/>
  <c r="Z42" i="7"/>
  <c r="Y42" i="7"/>
  <c r="W5" i="24"/>
  <c r="W7" i="26"/>
</calcChain>
</file>

<file path=xl/comments1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numbers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2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Did not include (852.8) for Enron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2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P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3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</commentList>
</comments>
</file>

<file path=xl/comments4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5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sharedStrings.xml><?xml version="1.0" encoding="utf-8"?>
<sst xmlns="http://schemas.openxmlformats.org/spreadsheetml/2006/main" count="3148" uniqueCount="104">
  <si>
    <t>TNMP</t>
  </si>
  <si>
    <t>Affiliate</t>
  </si>
  <si>
    <t>March</t>
  </si>
  <si>
    <t>April</t>
  </si>
  <si>
    <t>May</t>
  </si>
  <si>
    <t>June</t>
  </si>
  <si>
    <t>July</t>
  </si>
  <si>
    <t>August</t>
  </si>
  <si>
    <t>Non-Affiliate</t>
  </si>
  <si>
    <t>Total</t>
  </si>
  <si>
    <t>% Affiliate</t>
  </si>
  <si>
    <t>% Non-Affiliate</t>
  </si>
  <si>
    <t>RESIDENTIAL</t>
  </si>
  <si>
    <t>SMALL COMMERCIAL</t>
  </si>
  <si>
    <t>Jan</t>
  </si>
  <si>
    <t>Feb</t>
  </si>
  <si>
    <t>Sept</t>
  </si>
  <si>
    <t>Oct</t>
  </si>
  <si>
    <t>Nov</t>
  </si>
  <si>
    <t>Dec</t>
  </si>
  <si>
    <t>TOTAL MARKET</t>
  </si>
  <si>
    <t>Avg. Res. kWh Usage</t>
  </si>
  <si>
    <t>Avg. SmCom. kWh Usage</t>
  </si>
  <si>
    <t>Centerpoint</t>
  </si>
  <si>
    <t>CPL</t>
  </si>
  <si>
    <t>WTU</t>
  </si>
  <si>
    <t>Mar</t>
  </si>
  <si>
    <t>Apr</t>
  </si>
  <si>
    <t>Jun</t>
  </si>
  <si>
    <t>Jul</t>
  </si>
  <si>
    <t>non-AREP share of Residential Megawatt-hours</t>
  </si>
  <si>
    <t>RESIDENTIAL MWH</t>
  </si>
  <si>
    <t>SMALL COMMERCIAL MWH</t>
  </si>
  <si>
    <t>Default Terms</t>
  </si>
  <si>
    <t>Competitive Contract</t>
  </si>
  <si>
    <t>% Default</t>
  </si>
  <si>
    <t>% Competitive Contract</t>
  </si>
  <si>
    <t>MARKET SHARE-- TOTAL NUMBER OF NON-PTB CUSTOMERS</t>
  </si>
  <si>
    <t>Number of Small Commercial Customers with Competitive REP</t>
  </si>
  <si>
    <t>Small Commercial PTB MWH with Competitive REP</t>
  </si>
  <si>
    <t>Residential MWH with Competitive REP</t>
  </si>
  <si>
    <t>Number of Residential Customers with a Competitive REP</t>
  </si>
  <si>
    <t>* January includes TNMP IOU Customers</t>
  </si>
  <si>
    <t>Aug</t>
  </si>
  <si>
    <t>Sep</t>
  </si>
  <si>
    <t>TXU</t>
  </si>
  <si>
    <t>CenterPoint</t>
  </si>
  <si>
    <t>TOTAL</t>
  </si>
  <si>
    <t>SESCO</t>
  </si>
  <si>
    <t xml:space="preserve">LARGE INDUSTRIAL </t>
  </si>
  <si>
    <t>(Primary/Transmission)</t>
  </si>
  <si>
    <t xml:space="preserve">SMALL COMMERCIAL </t>
  </si>
  <si>
    <t>(Secondary voltage)</t>
  </si>
  <si>
    <t>LIGHTING</t>
  </si>
  <si>
    <t>LARGE INDUSTRIAL MWH</t>
  </si>
  <si>
    <t>LIGHTING MWH</t>
  </si>
  <si>
    <t>TOTAL MWH</t>
  </si>
  <si>
    <t>TOTAL CUSTOMERS</t>
  </si>
  <si>
    <t>Residential</t>
  </si>
  <si>
    <t>Small Commercial</t>
  </si>
  <si>
    <t>MWH</t>
  </si>
  <si>
    <t># of Customers</t>
  </si>
  <si>
    <t>Primary and Transmission Voltage Customers with a Competitive REP</t>
  </si>
  <si>
    <t>MWh Sold</t>
  </si>
  <si>
    <t xml:space="preserve"> TNMP</t>
  </si>
  <si>
    <t>(Secondary)</t>
  </si>
  <si>
    <t>(Secondary Voltage)</t>
  </si>
  <si>
    <t>LARGE INDUSTRIAL</t>
  </si>
  <si>
    <t>September</t>
  </si>
  <si>
    <t>October</t>
  </si>
  <si>
    <t>November</t>
  </si>
  <si>
    <t>December</t>
  </si>
  <si>
    <t>January</t>
  </si>
  <si>
    <t>February</t>
  </si>
  <si>
    <t>AEP Central</t>
  </si>
  <si>
    <t>AEP North</t>
  </si>
  <si>
    <t xml:space="preserve">Avg. Res. kWh Usage </t>
  </si>
  <si>
    <t>MARKET SHARE - NUMBER OF CUSTOMERS</t>
  </si>
  <si>
    <t>AEP Texas North (AEP-TNC)</t>
  </si>
  <si>
    <t>MARKET SHARE - MEGAWATT-HOURS SOLD</t>
  </si>
  <si>
    <t>Texas-New Mexico Power (TNMP)</t>
  </si>
  <si>
    <t>AEP Texas Central (AEP-TCC)</t>
  </si>
  <si>
    <t>Texas New Mexico Power</t>
  </si>
  <si>
    <t>Reliant</t>
  </si>
  <si>
    <t>Customer Count</t>
  </si>
  <si>
    <t>Residential Customers</t>
  </si>
  <si>
    <t>Oncor</t>
  </si>
  <si>
    <t>Commercial (Secondary Voltage</t>
  </si>
  <si>
    <t>Industrial (Primary Voltage)</t>
  </si>
  <si>
    <t>Lighting</t>
  </si>
  <si>
    <t>CENTERPOINT DATA FOR 3rd QTR 2008 PROVIDED LATE DUE TO HURRICANE DISRUPTION</t>
  </si>
  <si>
    <t>AEP Texas North</t>
  </si>
  <si>
    <t xml:space="preserve">Oncor </t>
  </si>
  <si>
    <t xml:space="preserve"> </t>
  </si>
  <si>
    <t xml:space="preserve">           </t>
  </si>
  <si>
    <t xml:space="preserve">b </t>
  </si>
  <si>
    <t>Sharyland Utilities LP</t>
  </si>
  <si>
    <t>Sharyland Utilities LP McAllen</t>
  </si>
  <si>
    <t>Sharyland</t>
  </si>
  <si>
    <t>Sharyland McAllen</t>
  </si>
  <si>
    <t xml:space="preserve">Sharyland Utilities LP </t>
  </si>
  <si>
    <t>Sharyland Utilitites LP</t>
  </si>
  <si>
    <t>Sharyland Utilitites LP McAllen</t>
  </si>
  <si>
    <t>Total Market Share as of June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</si>
</sst>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_(* #,##0.0_);_(* \(#,##0.0\);_(* &quot;-&quot;??_);_(@_)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0"/>
      <color rgb="FFFFFF00"/>
      <name val="Arial"/>
      <family val="2"/>
    </font>
    <font>
      <sz val="10"/>
      <name val="Calibri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double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double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98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7" applyNumberFormat="0" applyFill="0" applyAlignment="0" applyProtection="0"/>
    <xf numFmtId="0" fontId="15" fillId="0" borderId="38" applyNumberFormat="0" applyFill="0" applyAlignment="0" applyProtection="0"/>
    <xf numFmtId="0" fontId="16" fillId="0" borderId="39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40" applyNumberFormat="0" applyAlignment="0" applyProtection="0"/>
    <xf numFmtId="0" fontId="21" fillId="9" borderId="41" applyNumberFormat="0" applyAlignment="0" applyProtection="0"/>
    <xf numFmtId="0" fontId="22" fillId="9" borderId="40" applyNumberFormat="0" applyAlignment="0" applyProtection="0"/>
    <xf numFmtId="0" fontId="23" fillId="0" borderId="42" applyNumberFormat="0" applyFill="0" applyAlignment="0" applyProtection="0"/>
    <xf numFmtId="0" fontId="24" fillId="10" borderId="43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5" applyNumberFormat="0" applyFill="0" applyAlignment="0" applyProtection="0"/>
    <xf numFmtId="0" fontId="2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8" fillId="35" borderId="0" applyNumberFormat="0" applyBorder="0" applyAlignment="0" applyProtection="0"/>
    <xf numFmtId="0" fontId="1" fillId="0" borderId="0"/>
    <xf numFmtId="0" fontId="1" fillId="11" borderId="44" applyNumberFormat="0" applyFont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" fillId="0" borderId="0"/>
  </cellStyleXfs>
  <cellXfs count="613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38" fontId="6" fillId="0" borderId="0" xfId="0" applyNumberFormat="1" applyFont="1"/>
    <xf numFmtId="38" fontId="5" fillId="0" borderId="0" xfId="0" applyNumberFormat="1" applyFont="1"/>
    <xf numFmtId="3" fontId="5" fillId="0" borderId="0" xfId="0" applyNumberFormat="1" applyFont="1" applyBorder="1"/>
    <xf numFmtId="3" fontId="5" fillId="0" borderId="4" xfId="0" applyNumberFormat="1" applyFont="1" applyBorder="1"/>
    <xf numFmtId="3" fontId="5" fillId="0" borderId="5" xfId="0" applyNumberFormat="1" applyFont="1" applyBorder="1"/>
    <xf numFmtId="164" fontId="5" fillId="0" borderId="0" xfId="0" applyNumberFormat="1" applyFont="1" applyBorder="1"/>
    <xf numFmtId="165" fontId="6" fillId="0" borderId="0" xfId="0" applyNumberFormat="1" applyFont="1" applyBorder="1"/>
    <xf numFmtId="165" fontId="6" fillId="0" borderId="6" xfId="0" applyNumberFormat="1" applyFont="1" applyBorder="1"/>
    <xf numFmtId="10" fontId="6" fillId="0" borderId="0" xfId="0" applyNumberFormat="1" applyFont="1" applyBorder="1"/>
    <xf numFmtId="10" fontId="6" fillId="0" borderId="7" xfId="0" applyNumberFormat="1" applyFont="1" applyBorder="1"/>
    <xf numFmtId="3" fontId="6" fillId="0" borderId="0" xfId="0" applyNumberFormat="1" applyFont="1" applyBorder="1"/>
    <xf numFmtId="3" fontId="6" fillId="0" borderId="6" xfId="0" applyNumberFormat="1" applyFont="1" applyBorder="1"/>
    <xf numFmtId="0" fontId="6" fillId="0" borderId="0" xfId="0" applyFont="1" applyBorder="1"/>
    <xf numFmtId="38" fontId="6" fillId="0" borderId="0" xfId="0" applyNumberFormat="1" applyFont="1" applyBorder="1"/>
    <xf numFmtId="0" fontId="6" fillId="0" borderId="4" xfId="0" applyFont="1" applyBorder="1"/>
    <xf numFmtId="3" fontId="6" fillId="0" borderId="4" xfId="0" applyNumberFormat="1" applyFont="1" applyBorder="1"/>
    <xf numFmtId="3" fontId="6" fillId="0" borderId="8" xfId="0" applyNumberFormat="1" applyFont="1" applyBorder="1"/>
    <xf numFmtId="10" fontId="6" fillId="0" borderId="4" xfId="0" applyNumberFormat="1" applyFont="1" applyBorder="1"/>
    <xf numFmtId="10" fontId="6" fillId="0" borderId="9" xfId="0" applyNumberFormat="1" applyFont="1" applyBorder="1"/>
    <xf numFmtId="3" fontId="5" fillId="2" borderId="0" xfId="0" applyNumberFormat="1" applyFont="1" applyFill="1" applyBorder="1"/>
    <xf numFmtId="10" fontId="6" fillId="2" borderId="0" xfId="0" applyNumberFormat="1" applyFont="1" applyFill="1" applyBorder="1"/>
    <xf numFmtId="10" fontId="6" fillId="2" borderId="7" xfId="0" applyNumberFormat="1" applyFont="1" applyFill="1" applyBorder="1"/>
    <xf numFmtId="0" fontId="6" fillId="2" borderId="0" xfId="0" applyFont="1" applyFill="1"/>
    <xf numFmtId="3" fontId="6" fillId="2" borderId="0" xfId="0" applyNumberFormat="1" applyFont="1" applyFill="1" applyBorder="1"/>
    <xf numFmtId="3" fontId="6" fillId="2" borderId="6" xfId="0" applyNumberFormat="1" applyFont="1" applyFill="1" applyBorder="1"/>
    <xf numFmtId="2" fontId="6" fillId="2" borderId="0" xfId="0" applyNumberFormat="1" applyFont="1" applyFill="1" applyBorder="1"/>
    <xf numFmtId="2" fontId="6" fillId="0" borderId="0" xfId="0" applyNumberFormat="1" applyFont="1" applyBorder="1"/>
    <xf numFmtId="165" fontId="6" fillId="0" borderId="0" xfId="0" applyNumberFormat="1" applyFont="1" applyFill="1" applyBorder="1"/>
    <xf numFmtId="165" fontId="6" fillId="0" borderId="6" xfId="0" applyNumberFormat="1" applyFont="1" applyFill="1" applyBorder="1"/>
    <xf numFmtId="3" fontId="5" fillId="0" borderId="0" xfId="0" applyNumberFormat="1" applyFont="1" applyFill="1" applyBorder="1"/>
    <xf numFmtId="10" fontId="6" fillId="0" borderId="0" xfId="0" applyNumberFormat="1" applyFont="1" applyFill="1" applyBorder="1"/>
    <xf numFmtId="10" fontId="6" fillId="0" borderId="7" xfId="0" applyNumberFormat="1" applyFont="1" applyFill="1" applyBorder="1"/>
    <xf numFmtId="0" fontId="6" fillId="0" borderId="0" xfId="0" applyFont="1" applyFill="1"/>
    <xf numFmtId="3" fontId="6" fillId="0" borderId="0" xfId="0" applyNumberFormat="1" applyFont="1" applyFill="1" applyBorder="1"/>
    <xf numFmtId="3" fontId="6" fillId="0" borderId="6" xfId="0" applyNumberFormat="1" applyFont="1" applyFill="1" applyBorder="1"/>
    <xf numFmtId="2" fontId="6" fillId="0" borderId="0" xfId="0" applyNumberFormat="1" applyFont="1" applyFill="1" applyBorder="1"/>
    <xf numFmtId="0" fontId="6" fillId="0" borderId="0" xfId="0" applyFont="1" applyFill="1" applyBorder="1"/>
    <xf numFmtId="0" fontId="11" fillId="0" borderId="0" xfId="0" applyFont="1"/>
    <xf numFmtId="0" fontId="6" fillId="0" borderId="0" xfId="0" applyFont="1" applyAlignment="1">
      <alignment horizontal="center"/>
    </xf>
    <xf numFmtId="10" fontId="6" fillId="0" borderId="0" xfId="0" applyNumberFormat="1" applyFont="1"/>
    <xf numFmtId="0" fontId="5" fillId="0" borderId="0" xfId="0" applyFont="1" applyAlignment="1">
      <alignment horizontal="center"/>
    </xf>
    <xf numFmtId="10" fontId="5" fillId="0" borderId="0" xfId="0" applyNumberFormat="1" applyFont="1"/>
    <xf numFmtId="0" fontId="5" fillId="0" borderId="0" xfId="0" applyFont="1" applyBorder="1"/>
    <xf numFmtId="0" fontId="5" fillId="3" borderId="0" xfId="0" applyFont="1" applyFill="1" applyBorder="1"/>
    <xf numFmtId="38" fontId="5" fillId="3" borderId="0" xfId="0" applyNumberFormat="1" applyFont="1" applyFill="1" applyBorder="1"/>
    <xf numFmtId="0" fontId="5" fillId="0" borderId="6" xfId="0" applyFont="1" applyBorder="1"/>
    <xf numFmtId="0" fontId="5" fillId="2" borderId="0" xfId="0" applyFont="1" applyFill="1" applyBorder="1"/>
    <xf numFmtId="0" fontId="5" fillId="3" borderId="0" xfId="0" applyFont="1" applyFill="1"/>
    <xf numFmtId="2" fontId="6" fillId="0" borderId="4" xfId="0" applyNumberFormat="1" applyFont="1" applyBorder="1"/>
    <xf numFmtId="0" fontId="5" fillId="4" borderId="1" xfId="0" applyFont="1" applyFill="1" applyBorder="1"/>
    <xf numFmtId="0" fontId="6" fillId="2" borderId="0" xfId="0" applyFont="1" applyFill="1" applyBorder="1"/>
    <xf numFmtId="0" fontId="5" fillId="0" borderId="10" xfId="0" applyFont="1" applyBorder="1"/>
    <xf numFmtId="0" fontId="6" fillId="0" borderId="11" xfId="0" applyFont="1" applyBorder="1"/>
    <xf numFmtId="38" fontId="6" fillId="0" borderId="11" xfId="0" applyNumberFormat="1" applyFont="1" applyBorder="1"/>
    <xf numFmtId="0" fontId="6" fillId="0" borderId="12" xfId="0" applyFont="1" applyBorder="1"/>
    <xf numFmtId="0" fontId="6" fillId="0" borderId="14" xfId="0" applyFont="1" applyBorder="1"/>
    <xf numFmtId="38" fontId="6" fillId="0" borderId="14" xfId="0" applyNumberFormat="1" applyFont="1" applyBorder="1"/>
    <xf numFmtId="0" fontId="6" fillId="0" borderId="15" xfId="0" applyFont="1" applyBorder="1"/>
    <xf numFmtId="0" fontId="6" fillId="0" borderId="17" xfId="0" applyFont="1" applyBorder="1"/>
    <xf numFmtId="38" fontId="6" fillId="0" borderId="17" xfId="0" applyNumberFormat="1" applyFont="1" applyBorder="1"/>
    <xf numFmtId="0" fontId="6" fillId="0" borderId="18" xfId="0" applyFont="1" applyBorder="1"/>
    <xf numFmtId="4" fontId="5" fillId="0" borderId="0" xfId="0" applyNumberFormat="1" applyFont="1" applyBorder="1"/>
    <xf numFmtId="165" fontId="6" fillId="0" borderId="0" xfId="1" applyNumberFormat="1" applyFont="1"/>
    <xf numFmtId="165" fontId="6" fillId="0" borderId="0" xfId="1" applyNumberFormat="1" applyFont="1" applyBorder="1"/>
    <xf numFmtId="0" fontId="12" fillId="0" borderId="0" xfId="0" applyFont="1" applyAlignment="1"/>
    <xf numFmtId="165" fontId="6" fillId="0" borderId="0" xfId="1" applyNumberFormat="1" applyFont="1" applyFill="1" applyBorder="1"/>
    <xf numFmtId="165" fontId="6" fillId="0" borderId="6" xfId="1" applyNumberFormat="1" applyFont="1" applyFill="1" applyBorder="1"/>
    <xf numFmtId="3" fontId="5" fillId="0" borderId="19" xfId="0" applyNumberFormat="1" applyFont="1" applyFill="1" applyBorder="1"/>
    <xf numFmtId="0" fontId="6" fillId="0" borderId="1" xfId="0" applyFont="1" applyBorder="1"/>
    <xf numFmtId="3" fontId="6" fillId="0" borderId="1" xfId="0" applyNumberFormat="1" applyFont="1" applyBorder="1"/>
    <xf numFmtId="3" fontId="6" fillId="0" borderId="3" xfId="0" applyNumberFormat="1" applyFont="1" applyBorder="1"/>
    <xf numFmtId="3" fontId="5" fillId="0" borderId="1" xfId="0" applyNumberFormat="1" applyFont="1" applyBorder="1"/>
    <xf numFmtId="10" fontId="6" fillId="0" borderId="1" xfId="0" applyNumberFormat="1" applyFont="1" applyBorder="1"/>
    <xf numFmtId="10" fontId="6" fillId="0" borderId="2" xfId="0" applyNumberFormat="1" applyFont="1" applyBorder="1"/>
    <xf numFmtId="3" fontId="5" fillId="0" borderId="19" xfId="0" applyNumberFormat="1" applyFont="1" applyBorder="1"/>
    <xf numFmtId="0" fontId="6" fillId="0" borderId="1" xfId="0" applyFont="1" applyFill="1" applyBorder="1"/>
    <xf numFmtId="38" fontId="5" fillId="0" borderId="0" xfId="0" applyNumberFormat="1" applyFont="1" applyBorder="1"/>
    <xf numFmtId="4" fontId="5" fillId="0" borderId="1" xfId="0" applyNumberFormat="1" applyFont="1" applyBorder="1"/>
    <xf numFmtId="164" fontId="5" fillId="0" borderId="19" xfId="0" applyNumberFormat="1" applyFont="1" applyBorder="1"/>
    <xf numFmtId="2" fontId="6" fillId="0" borderId="1" xfId="0" applyNumberFormat="1" applyFont="1" applyBorder="1"/>
    <xf numFmtId="0" fontId="6" fillId="0" borderId="16" xfId="0" applyFont="1" applyFill="1" applyBorder="1"/>
    <xf numFmtId="165" fontId="5" fillId="0" borderId="1" xfId="1" applyNumberFormat="1" applyFont="1" applyBorder="1"/>
    <xf numFmtId="165" fontId="6" fillId="0" borderId="1" xfId="1" applyNumberFormat="1" applyFont="1" applyBorder="1"/>
    <xf numFmtId="165" fontId="6" fillId="0" borderId="4" xfId="1" applyNumberFormat="1" applyFont="1" applyBorder="1"/>
    <xf numFmtId="165" fontId="5" fillId="0" borderId="3" xfId="1" applyNumberFormat="1" applyFont="1" applyBorder="1"/>
    <xf numFmtId="165" fontId="6" fillId="0" borderId="3" xfId="1" applyNumberFormat="1" applyFont="1" applyBorder="1"/>
    <xf numFmtId="165" fontId="6" fillId="0" borderId="6" xfId="1" applyNumberFormat="1" applyFont="1" applyBorder="1"/>
    <xf numFmtId="165" fontId="6" fillId="0" borderId="8" xfId="1" applyNumberFormat="1" applyFont="1" applyBorder="1"/>
    <xf numFmtId="165" fontId="5" fillId="0" borderId="0" xfId="1" applyNumberFormat="1" applyFont="1" applyBorder="1"/>
    <xf numFmtId="165" fontId="5" fillId="0" borderId="19" xfId="1" applyNumberFormat="1" applyFont="1" applyBorder="1"/>
    <xf numFmtId="165" fontId="5" fillId="0" borderId="4" xfId="1" applyNumberFormat="1" applyFont="1" applyBorder="1"/>
    <xf numFmtId="3" fontId="6" fillId="0" borderId="20" xfId="0" applyNumberFormat="1" applyFont="1" applyFill="1" applyBorder="1"/>
    <xf numFmtId="3" fontId="6" fillId="0" borderId="21" xfId="0" applyNumberFormat="1" applyFont="1" applyFill="1" applyBorder="1"/>
    <xf numFmtId="3" fontId="5" fillId="0" borderId="22" xfId="0" applyNumberFormat="1" applyFont="1" applyFill="1" applyBorder="1"/>
    <xf numFmtId="10" fontId="6" fillId="0" borderId="22" xfId="0" applyNumberFormat="1" applyFont="1" applyFill="1" applyBorder="1"/>
    <xf numFmtId="10" fontId="6" fillId="0" borderId="23" xfId="0" applyNumberFormat="1" applyFont="1" applyFill="1" applyBorder="1"/>
    <xf numFmtId="3" fontId="6" fillId="0" borderId="14" xfId="0" applyNumberFormat="1" applyFont="1" applyFill="1" applyBorder="1"/>
    <xf numFmtId="165" fontId="6" fillId="2" borderId="0" xfId="1" applyNumberFormat="1" applyFont="1" applyFill="1" applyBorder="1"/>
    <xf numFmtId="165" fontId="6" fillId="2" borderId="6" xfId="1" applyNumberFormat="1" applyFont="1" applyFill="1" applyBorder="1"/>
    <xf numFmtId="165" fontId="5" fillId="2" borderId="0" xfId="1" applyNumberFormat="1" applyFont="1" applyFill="1" applyBorder="1"/>
    <xf numFmtId="165" fontId="5" fillId="0" borderId="0" xfId="1" applyNumberFormat="1" applyFont="1" applyFill="1" applyBorder="1"/>
    <xf numFmtId="165" fontId="5" fillId="0" borderId="5" xfId="1" applyNumberFormat="1" applyFont="1" applyBorder="1"/>
    <xf numFmtId="165" fontId="5" fillId="4" borderId="1" xfId="1" applyNumberFormat="1" applyFont="1" applyFill="1" applyBorder="1"/>
    <xf numFmtId="165" fontId="6" fillId="0" borderId="20" xfId="1" applyNumberFormat="1" applyFont="1" applyFill="1" applyBorder="1"/>
    <xf numFmtId="165" fontId="6" fillId="0" borderId="21" xfId="1" applyNumberFormat="1" applyFont="1" applyFill="1" applyBorder="1"/>
    <xf numFmtId="165" fontId="5" fillId="0" borderId="22" xfId="1" applyNumberFormat="1" applyFont="1" applyFill="1" applyBorder="1"/>
    <xf numFmtId="0" fontId="6" fillId="0" borderId="6" xfId="0" applyFont="1" applyBorder="1"/>
    <xf numFmtId="0" fontId="5" fillId="0" borderId="16" xfId="0" applyFont="1" applyFill="1" applyBorder="1"/>
    <xf numFmtId="0" fontId="5" fillId="0" borderId="1" xfId="0" applyFont="1" applyFill="1" applyBorder="1"/>
    <xf numFmtId="165" fontId="5" fillId="0" borderId="1" xfId="1" applyNumberFormat="1" applyFont="1" applyFill="1" applyBorder="1"/>
    <xf numFmtId="165" fontId="5" fillId="0" borderId="3" xfId="1" applyNumberFormat="1" applyFont="1" applyFill="1" applyBorder="1"/>
    <xf numFmtId="0" fontId="5" fillId="0" borderId="2" xfId="0" applyFont="1" applyFill="1" applyBorder="1"/>
    <xf numFmtId="0" fontId="5" fillId="0" borderId="0" xfId="0" applyFont="1" applyFill="1"/>
    <xf numFmtId="0" fontId="5" fillId="0" borderId="3" xfId="0" applyFont="1" applyFill="1" applyBorder="1"/>
    <xf numFmtId="3" fontId="6" fillId="0" borderId="0" xfId="0" applyNumberFormat="1" applyFont="1"/>
    <xf numFmtId="3" fontId="6" fillId="0" borderId="1" xfId="0" applyNumberFormat="1" applyFont="1" applyFill="1" applyBorder="1"/>
    <xf numFmtId="1" fontId="6" fillId="0" borderId="4" xfId="1" applyNumberFormat="1" applyFont="1" applyBorder="1"/>
    <xf numFmtId="1" fontId="6" fillId="0" borderId="8" xfId="1" applyNumberFormat="1" applyFont="1" applyBorder="1"/>
    <xf numFmtId="3" fontId="6" fillId="0" borderId="4" xfId="1" applyNumberFormat="1" applyFont="1" applyBorder="1"/>
    <xf numFmtId="3" fontId="5" fillId="0" borderId="0" xfId="1" applyNumberFormat="1" applyFont="1" applyBorder="1"/>
    <xf numFmtId="3" fontId="5" fillId="0" borderId="4" xfId="1" applyNumberFormat="1" applyFont="1" applyBorder="1"/>
    <xf numFmtId="17" fontId="6" fillId="0" borderId="0" xfId="0" applyNumberFormat="1" applyFont="1"/>
    <xf numFmtId="165" fontId="6" fillId="0" borderId="14" xfId="1" applyNumberFormat="1" applyFont="1" applyFill="1" applyBorder="1"/>
    <xf numFmtId="165" fontId="6" fillId="3" borderId="0" xfId="1" applyNumberFormat="1" applyFont="1" applyFill="1"/>
    <xf numFmtId="1" fontId="6" fillId="0" borderId="0" xfId="1" applyNumberFormat="1" applyFont="1" applyBorder="1"/>
    <xf numFmtId="1" fontId="6" fillId="0" borderId="6" xfId="1" applyNumberFormat="1" applyFont="1" applyBorder="1"/>
    <xf numFmtId="3" fontId="6" fillId="0" borderId="0" xfId="1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5" fillId="0" borderId="24" xfId="0" applyNumberFormat="1" applyFont="1" applyBorder="1"/>
    <xf numFmtId="10" fontId="6" fillId="0" borderId="24" xfId="0" applyNumberFormat="1" applyFont="1" applyBorder="1"/>
    <xf numFmtId="10" fontId="6" fillId="0" borderId="26" xfId="0" applyNumberFormat="1" applyFont="1" applyBorder="1"/>
    <xf numFmtId="0" fontId="6" fillId="0" borderId="24" xfId="0" applyFont="1" applyBorder="1"/>
    <xf numFmtId="2" fontId="6" fillId="0" borderId="24" xfId="0" applyNumberFormat="1" applyFont="1" applyBorder="1"/>
    <xf numFmtId="1" fontId="6" fillId="0" borderId="24" xfId="1" applyNumberFormat="1" applyFont="1" applyBorder="1"/>
    <xf numFmtId="1" fontId="6" fillId="0" borderId="25" xfId="1" applyNumberFormat="1" applyFont="1" applyBorder="1"/>
    <xf numFmtId="3" fontId="5" fillId="0" borderId="24" xfId="1" applyNumberFormat="1" applyFont="1" applyBorder="1"/>
    <xf numFmtId="165" fontId="6" fillId="0" borderId="24" xfId="1" applyNumberFormat="1" applyFont="1" applyBorder="1"/>
    <xf numFmtId="165" fontId="6" fillId="0" borderId="25" xfId="1" applyNumberFormat="1" applyFont="1" applyBorder="1"/>
    <xf numFmtId="165" fontId="5" fillId="0" borderId="24" xfId="1" applyNumberFormat="1" applyFont="1" applyBorder="1"/>
    <xf numFmtId="0" fontId="6" fillId="0" borderId="27" xfId="0" applyFont="1" applyBorder="1"/>
    <xf numFmtId="3" fontId="6" fillId="0" borderId="27" xfId="0" applyNumberFormat="1" applyFont="1" applyBorder="1"/>
    <xf numFmtId="3" fontId="6" fillId="0" borderId="28" xfId="0" applyNumberFormat="1" applyFont="1" applyBorder="1"/>
    <xf numFmtId="3" fontId="5" fillId="0" borderId="27" xfId="0" applyNumberFormat="1" applyFont="1" applyBorder="1"/>
    <xf numFmtId="10" fontId="6" fillId="0" borderId="27" xfId="0" applyNumberFormat="1" applyFont="1" applyBorder="1"/>
    <xf numFmtId="10" fontId="6" fillId="0" borderId="29" xfId="0" applyNumberFormat="1" applyFont="1" applyBorder="1"/>
    <xf numFmtId="2" fontId="6" fillId="0" borderId="27" xfId="0" applyNumberFormat="1" applyFont="1" applyBorder="1"/>
    <xf numFmtId="1" fontId="6" fillId="0" borderId="27" xfId="1" applyNumberFormat="1" applyFont="1" applyBorder="1"/>
    <xf numFmtId="1" fontId="6" fillId="0" borderId="28" xfId="1" applyNumberFormat="1" applyFont="1" applyBorder="1"/>
    <xf numFmtId="3" fontId="5" fillId="0" borderId="27" xfId="1" applyNumberFormat="1" applyFont="1" applyBorder="1"/>
    <xf numFmtId="0" fontId="6" fillId="0" borderId="30" xfId="0" applyFont="1" applyBorder="1"/>
    <xf numFmtId="165" fontId="6" fillId="0" borderId="27" xfId="1" applyNumberFormat="1" applyFont="1" applyBorder="1"/>
    <xf numFmtId="165" fontId="6" fillId="0" borderId="28" xfId="1" applyNumberFormat="1" applyFont="1" applyBorder="1"/>
    <xf numFmtId="165" fontId="5" fillId="0" borderId="27" xfId="1" applyNumberFormat="1" applyFont="1" applyBorder="1"/>
    <xf numFmtId="3" fontId="6" fillId="0" borderId="27" xfId="1" applyNumberFormat="1" applyFont="1" applyBorder="1"/>
    <xf numFmtId="0" fontId="6" fillId="0" borderId="24" xfId="0" applyFont="1" applyFill="1" applyBorder="1"/>
    <xf numFmtId="0" fontId="6" fillId="0" borderId="30" xfId="0" applyFont="1" applyFill="1" applyBorder="1"/>
    <xf numFmtId="0" fontId="6" fillId="0" borderId="31" xfId="0" applyFont="1" applyBorder="1"/>
    <xf numFmtId="1" fontId="5" fillId="0" borderId="0" xfId="1" applyNumberFormat="1" applyFont="1" applyBorder="1"/>
    <xf numFmtId="0" fontId="5" fillId="2" borderId="16" xfId="0" applyFont="1" applyFill="1" applyBorder="1"/>
    <xf numFmtId="0" fontId="5" fillId="2" borderId="32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5" fillId="2" borderId="34" xfId="0" applyFont="1" applyFill="1" applyBorder="1" applyAlignment="1">
      <alignment horizontal="center"/>
    </xf>
    <xf numFmtId="0" fontId="5" fillId="4" borderId="35" xfId="0" applyFont="1" applyFill="1" applyBorder="1"/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5" fillId="2" borderId="1" xfId="0" applyFont="1" applyFill="1" applyBorder="1"/>
    <xf numFmtId="0" fontId="6" fillId="0" borderId="16" xfId="0" applyFont="1" applyBorder="1"/>
    <xf numFmtId="3" fontId="6" fillId="0" borderId="3" xfId="0" applyNumberFormat="1" applyFont="1" applyFill="1" applyBorder="1"/>
    <xf numFmtId="3" fontId="5" fillId="0" borderId="1" xfId="0" applyNumberFormat="1" applyFont="1" applyFill="1" applyBorder="1"/>
    <xf numFmtId="10" fontId="6" fillId="0" borderId="1" xfId="0" applyNumberFormat="1" applyFont="1" applyFill="1" applyBorder="1"/>
    <xf numFmtId="10" fontId="6" fillId="0" borderId="2" xfId="0" applyNumberFormat="1" applyFont="1" applyFill="1" applyBorder="1"/>
    <xf numFmtId="0" fontId="5" fillId="0" borderId="16" xfId="0" applyFont="1" applyBorder="1"/>
    <xf numFmtId="0" fontId="6" fillId="0" borderId="10" xfId="0" applyFont="1" applyFill="1" applyBorder="1"/>
    <xf numFmtId="0" fontId="5" fillId="2" borderId="13" xfId="0" applyFont="1" applyFill="1" applyBorder="1"/>
    <xf numFmtId="0" fontId="6" fillId="0" borderId="13" xfId="0" applyFont="1" applyFill="1" applyBorder="1"/>
    <xf numFmtId="165" fontId="5" fillId="0" borderId="7" xfId="1" applyNumberFormat="1" applyFont="1" applyBorder="1"/>
    <xf numFmtId="165" fontId="5" fillId="0" borderId="9" xfId="1" applyNumberFormat="1" applyFont="1" applyBorder="1"/>
    <xf numFmtId="165" fontId="6" fillId="0" borderId="0" xfId="1" applyNumberFormat="1" applyFont="1" applyFill="1"/>
    <xf numFmtId="9" fontId="6" fillId="0" borderId="0" xfId="2" applyFont="1"/>
    <xf numFmtId="9" fontId="6" fillId="0" borderId="0" xfId="0" applyNumberFormat="1" applyFont="1"/>
    <xf numFmtId="10" fontId="6" fillId="0" borderId="0" xfId="2" applyNumberFormat="1" applyFont="1"/>
    <xf numFmtId="165" fontId="5" fillId="0" borderId="36" xfId="1" applyNumberFormat="1" applyFont="1" applyBorder="1"/>
    <xf numFmtId="165" fontId="6" fillId="0" borderId="4" xfId="1" applyNumberFormat="1" applyFont="1" applyFill="1" applyBorder="1"/>
    <xf numFmtId="165" fontId="6" fillId="0" borderId="19" xfId="1" applyNumberFormat="1" applyFont="1" applyBorder="1"/>
    <xf numFmtId="165" fontId="6" fillId="0" borderId="5" xfId="1" applyNumberFormat="1" applyFont="1" applyBorder="1"/>
    <xf numFmtId="3" fontId="6" fillId="0" borderId="4" xfId="0" applyNumberFormat="1" applyFont="1" applyFill="1" applyBorder="1"/>
    <xf numFmtId="3" fontId="5" fillId="0" borderId="36" xfId="0" applyNumberFormat="1" applyFont="1" applyBorder="1"/>
    <xf numFmtId="0" fontId="6" fillId="0" borderId="3" xfId="0" applyFont="1" applyBorder="1"/>
    <xf numFmtId="3" fontId="6" fillId="0" borderId="8" xfId="0" applyNumberFormat="1" applyFont="1" applyFill="1" applyBorder="1"/>
    <xf numFmtId="0" fontId="6" fillId="0" borderId="8" xfId="0" applyFont="1" applyBorder="1"/>
    <xf numFmtId="165" fontId="5" fillId="0" borderId="19" xfId="1" applyNumberFormat="1" applyFont="1" applyFill="1" applyBorder="1"/>
    <xf numFmtId="0" fontId="5" fillId="0" borderId="19" xfId="0" applyFont="1" applyBorder="1"/>
    <xf numFmtId="165" fontId="5" fillId="0" borderId="5" xfId="1" applyNumberFormat="1" applyFont="1" applyFill="1" applyBorder="1"/>
    <xf numFmtId="165" fontId="6" fillId="0" borderId="1" xfId="1" applyNumberFormat="1" applyFont="1" applyFill="1" applyBorder="1"/>
    <xf numFmtId="165" fontId="5" fillId="0" borderId="36" xfId="1" applyNumberFormat="1" applyFont="1" applyFill="1" applyBorder="1"/>
    <xf numFmtId="0" fontId="5" fillId="0" borderId="5" xfId="0" applyFont="1" applyBorder="1"/>
    <xf numFmtId="3" fontId="5" fillId="0" borderId="5" xfId="0" applyNumberFormat="1" applyFont="1" applyFill="1" applyBorder="1"/>
    <xf numFmtId="165" fontId="6" fillId="0" borderId="4" xfId="0" applyNumberFormat="1" applyFont="1" applyFill="1" applyBorder="1"/>
    <xf numFmtId="165" fontId="6" fillId="0" borderId="1" xfId="0" applyNumberFormat="1" applyFont="1" applyFill="1" applyBorder="1"/>
    <xf numFmtId="165" fontId="6" fillId="0" borderId="4" xfId="0" applyNumberFormat="1" applyFont="1" applyBorder="1"/>
    <xf numFmtId="165" fontId="6" fillId="0" borderId="8" xfId="0" applyNumberFormat="1" applyFont="1" applyBorder="1"/>
    <xf numFmtId="3" fontId="5" fillId="0" borderId="36" xfId="0" applyNumberFormat="1" applyFont="1" applyFill="1" applyBorder="1"/>
    <xf numFmtId="165" fontId="6" fillId="0" borderId="3" xfId="1" applyNumberFormat="1" applyFont="1" applyFill="1" applyBorder="1"/>
    <xf numFmtId="165" fontId="5" fillId="2" borderId="33" xfId="1" applyNumberFormat="1" applyFont="1" applyFill="1" applyBorder="1" applyAlignment="1">
      <alignment horizontal="center"/>
    </xf>
    <xf numFmtId="165" fontId="5" fillId="2" borderId="34" xfId="1" applyNumberFormat="1" applyFont="1" applyFill="1" applyBorder="1" applyAlignment="1">
      <alignment horizontal="center"/>
    </xf>
    <xf numFmtId="165" fontId="5" fillId="4" borderId="33" xfId="1" applyNumberFormat="1" applyFont="1" applyFill="1" applyBorder="1" applyAlignment="1">
      <alignment horizontal="center"/>
    </xf>
    <xf numFmtId="165" fontId="5" fillId="4" borderId="34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5" fontId="4" fillId="0" borderId="0" xfId="1" applyNumberFormat="1" applyFont="1" applyFill="1" applyBorder="1"/>
    <xf numFmtId="165" fontId="4" fillId="0" borderId="0" xfId="0" applyNumberFormat="1" applyFont="1" applyFill="1" applyBorder="1"/>
    <xf numFmtId="0" fontId="4" fillId="0" borderId="0" xfId="0" applyFont="1" applyFill="1" applyBorder="1"/>
    <xf numFmtId="165" fontId="5" fillId="2" borderId="16" xfId="1" applyNumberFormat="1" applyFont="1" applyFill="1" applyBorder="1"/>
    <xf numFmtId="165" fontId="5" fillId="2" borderId="32" xfId="1" applyNumberFormat="1" applyFont="1" applyFill="1" applyBorder="1" applyAlignment="1">
      <alignment horizontal="center"/>
    </xf>
    <xf numFmtId="165" fontId="5" fillId="0" borderId="0" xfId="1" applyNumberFormat="1" applyFont="1"/>
    <xf numFmtId="165" fontId="5" fillId="4" borderId="16" xfId="1" applyNumberFormat="1" applyFont="1" applyFill="1" applyBorder="1"/>
    <xf numFmtId="165" fontId="6" fillId="0" borderId="17" xfId="1" applyNumberFormat="1" applyFont="1" applyBorder="1"/>
    <xf numFmtId="165" fontId="6" fillId="0" borderId="18" xfId="1" applyNumberFormat="1" applyFont="1" applyBorder="1"/>
    <xf numFmtId="165" fontId="6" fillId="0" borderId="16" xfId="1" applyNumberFormat="1" applyFont="1" applyFill="1" applyBorder="1"/>
    <xf numFmtId="165" fontId="5" fillId="4" borderId="35" xfId="1" applyNumberFormat="1" applyFont="1" applyFill="1" applyBorder="1"/>
    <xf numFmtId="165" fontId="5" fillId="4" borderId="32" xfId="1" applyNumberFormat="1" applyFont="1" applyFill="1" applyBorder="1" applyAlignment="1">
      <alignment horizontal="center"/>
    </xf>
    <xf numFmtId="165" fontId="5" fillId="0" borderId="10" xfId="1" applyNumberFormat="1" applyFont="1" applyBorder="1"/>
    <xf numFmtId="165" fontId="6" fillId="2" borderId="11" xfId="1" applyNumberFormat="1" applyFont="1" applyFill="1" applyBorder="1"/>
    <xf numFmtId="165" fontId="6" fillId="0" borderId="11" xfId="1" applyNumberFormat="1" applyFont="1" applyBorder="1"/>
    <xf numFmtId="165" fontId="6" fillId="0" borderId="12" xfId="1" applyNumberFormat="1" applyFont="1" applyBorder="1"/>
    <xf numFmtId="165" fontId="6" fillId="0" borderId="10" xfId="1" applyNumberFormat="1" applyFont="1" applyFill="1" applyBorder="1"/>
    <xf numFmtId="165" fontId="5" fillId="4" borderId="13" xfId="1" applyNumberFormat="1" applyFont="1" applyFill="1" applyBorder="1"/>
    <xf numFmtId="165" fontId="6" fillId="2" borderId="14" xfId="1" applyNumberFormat="1" applyFont="1" applyFill="1" applyBorder="1"/>
    <xf numFmtId="165" fontId="6" fillId="0" borderId="14" xfId="1" applyNumberFormat="1" applyFont="1" applyBorder="1"/>
    <xf numFmtId="165" fontId="6" fillId="0" borderId="15" xfId="1" applyNumberFormat="1" applyFont="1" applyBorder="1"/>
    <xf numFmtId="165" fontId="6" fillId="0" borderId="13" xfId="1" applyNumberFormat="1" applyFont="1" applyFill="1" applyBorder="1"/>
    <xf numFmtId="166" fontId="5" fillId="0" borderId="1" xfId="2" applyNumberFormat="1" applyFont="1" applyBorder="1"/>
    <xf numFmtId="166" fontId="6" fillId="0" borderId="0" xfId="2" applyNumberFormat="1" applyFont="1" applyFill="1" applyBorder="1"/>
    <xf numFmtId="166" fontId="6" fillId="0" borderId="0" xfId="2" applyNumberFormat="1" applyFont="1" applyBorder="1"/>
    <xf numFmtId="166" fontId="6" fillId="0" borderId="4" xfId="2" applyNumberFormat="1" applyFont="1" applyBorder="1"/>
    <xf numFmtId="166" fontId="6" fillId="0" borderId="0" xfId="2" applyNumberFormat="1" applyFont="1"/>
    <xf numFmtId="166" fontId="5" fillId="0" borderId="2" xfId="2" applyNumberFormat="1" applyFont="1" applyBorder="1"/>
    <xf numFmtId="166" fontId="6" fillId="0" borderId="7" xfId="2" applyNumberFormat="1" applyFont="1" applyFill="1" applyBorder="1"/>
    <xf numFmtId="166" fontId="6" fillId="0" borderId="7" xfId="2" applyNumberFormat="1" applyFont="1" applyBorder="1"/>
    <xf numFmtId="166" fontId="6" fillId="0" borderId="9" xfId="2" applyNumberFormat="1" applyFont="1" applyBorder="1"/>
    <xf numFmtId="166" fontId="6" fillId="2" borderId="0" xfId="2" applyNumberFormat="1" applyFont="1" applyFill="1" applyBorder="1"/>
    <xf numFmtId="166" fontId="6" fillId="0" borderId="1" xfId="2" applyNumberFormat="1" applyFont="1" applyFill="1" applyBorder="1"/>
    <xf numFmtId="166" fontId="6" fillId="2" borderId="7" xfId="2" applyNumberFormat="1" applyFont="1" applyFill="1" applyBorder="1"/>
    <xf numFmtId="166" fontId="6" fillId="0" borderId="2" xfId="2" applyNumberFormat="1" applyFont="1" applyFill="1" applyBorder="1"/>
    <xf numFmtId="0" fontId="4" fillId="0" borderId="0" xfId="0" applyFont="1" applyAlignment="1">
      <alignment horizontal="center"/>
    </xf>
    <xf numFmtId="165" fontId="6" fillId="0" borderId="16" xfId="1" applyNumberFormat="1" applyFont="1" applyBorder="1"/>
    <xf numFmtId="165" fontId="6" fillId="0" borderId="17" xfId="1" applyNumberFormat="1" applyFont="1" applyFill="1" applyBorder="1"/>
    <xf numFmtId="165" fontId="6" fillId="0" borderId="11" xfId="1" applyNumberFormat="1" applyFont="1" applyFill="1" applyBorder="1"/>
    <xf numFmtId="165" fontId="3" fillId="0" borderId="0" xfId="0" applyNumberFormat="1" applyFont="1" applyFill="1" applyBorder="1"/>
    <xf numFmtId="165" fontId="3" fillId="0" borderId="0" xfId="1" applyNumberFormat="1" applyFont="1" applyFill="1" applyBorder="1"/>
    <xf numFmtId="0" fontId="3" fillId="0" borderId="0" xfId="0" applyFont="1" applyFill="1" applyBorder="1"/>
    <xf numFmtId="10" fontId="6" fillId="0" borderId="0" xfId="2" applyNumberFormat="1" applyFont="1" applyFill="1" applyBorder="1"/>
    <xf numFmtId="10" fontId="6" fillId="0" borderId="0" xfId="2" applyNumberFormat="1" applyFont="1" applyBorder="1"/>
    <xf numFmtId="10" fontId="6" fillId="0" borderId="7" xfId="2" applyNumberFormat="1" applyFont="1" applyFill="1" applyBorder="1"/>
    <xf numFmtId="10" fontId="6" fillId="0" borderId="7" xfId="2" applyNumberFormat="1" applyFont="1" applyBorder="1"/>
    <xf numFmtId="43" fontId="5" fillId="4" borderId="34" xfId="1" applyFont="1" applyFill="1" applyBorder="1" applyAlignment="1">
      <alignment horizontal="center"/>
    </xf>
    <xf numFmtId="0" fontId="6" fillId="0" borderId="0" xfId="0" applyNumberFormat="1" applyFont="1"/>
    <xf numFmtId="10" fontId="5" fillId="0" borderId="1" xfId="2" applyNumberFormat="1" applyFont="1" applyBorder="1"/>
    <xf numFmtId="10" fontId="6" fillId="0" borderId="4" xfId="2" applyNumberFormat="1" applyFont="1" applyBorder="1"/>
    <xf numFmtId="10" fontId="5" fillId="0" borderId="2" xfId="2" applyNumberFormat="1" applyFont="1" applyBorder="1"/>
    <xf numFmtId="10" fontId="6" fillId="0" borderId="9" xfId="2" applyNumberFormat="1" applyFont="1" applyBorder="1"/>
    <xf numFmtId="10" fontId="6" fillId="0" borderId="1" xfId="2" applyNumberFormat="1" applyFont="1" applyFill="1" applyBorder="1"/>
    <xf numFmtId="10" fontId="6" fillId="0" borderId="2" xfId="2" applyNumberFormat="1" applyFont="1" applyFill="1" applyBorder="1"/>
    <xf numFmtId="0" fontId="6" fillId="0" borderId="0" xfId="1" applyNumberFormat="1" applyFont="1"/>
    <xf numFmtId="10" fontId="6" fillId="0" borderId="1" xfId="2" applyNumberFormat="1" applyFont="1" applyBorder="1"/>
    <xf numFmtId="10" fontId="6" fillId="0" borderId="2" xfId="2" applyNumberFormat="1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165" fontId="2" fillId="0" borderId="0" xfId="1" applyNumberFormat="1" applyFont="1" applyBorder="1"/>
    <xf numFmtId="165" fontId="2" fillId="0" borderId="6" xfId="1" applyNumberFormat="1" applyFont="1" applyBorder="1"/>
    <xf numFmtId="165" fontId="2" fillId="0" borderId="4" xfId="1" applyNumberFormat="1" applyFont="1" applyBorder="1"/>
    <xf numFmtId="0" fontId="5" fillId="4" borderId="0" xfId="0" applyFont="1" applyFill="1" applyBorder="1"/>
    <xf numFmtId="0" fontId="5" fillId="0" borderId="0" xfId="0" applyFont="1" applyFill="1" applyBorder="1"/>
    <xf numFmtId="10" fontId="2" fillId="0" borderId="0" xfId="0" applyNumberFormat="1" applyFont="1" applyBorder="1"/>
    <xf numFmtId="10" fontId="5" fillId="0" borderId="0" xfId="0" applyNumberFormat="1" applyFont="1"/>
    <xf numFmtId="10" fontId="2" fillId="0" borderId="0" xfId="17" applyNumberFormat="1" applyFont="1" applyBorder="1"/>
    <xf numFmtId="165" fontId="5" fillId="2" borderId="7" xfId="1" applyNumberFormat="1" applyFont="1" applyFill="1" applyBorder="1" applyAlignment="1">
      <alignment horizontal="center"/>
    </xf>
    <xf numFmtId="165" fontId="2" fillId="0" borderId="0" xfId="1" applyNumberFormat="1" applyFont="1" applyFill="1" applyBorder="1"/>
    <xf numFmtId="166" fontId="6" fillId="0" borderId="2" xfId="2" applyNumberFormat="1" applyFont="1" applyBorder="1"/>
    <xf numFmtId="165" fontId="2" fillId="0" borderId="3" xfId="1" applyNumberFormat="1" applyFont="1" applyFill="1" applyBorder="1"/>
    <xf numFmtId="165" fontId="2" fillId="0" borderId="6" xfId="1" applyNumberFormat="1" applyFont="1" applyFill="1" applyBorder="1"/>
    <xf numFmtId="165" fontId="6" fillId="0" borderId="0" xfId="12" applyNumberFormat="1" applyFont="1" applyBorder="1"/>
    <xf numFmtId="165" fontId="6" fillId="0" borderId="3" xfId="0" applyNumberFormat="1" applyFont="1" applyBorder="1"/>
    <xf numFmtId="165" fontId="6" fillId="0" borderId="10" xfId="1" applyNumberFormat="1" applyFont="1" applyBorder="1"/>
    <xf numFmtId="0" fontId="6" fillId="0" borderId="10" xfId="0" applyFont="1" applyBorder="1"/>
    <xf numFmtId="43" fontId="5" fillId="4" borderId="33" xfId="1" applyFont="1" applyFill="1" applyBorder="1" applyAlignment="1">
      <alignment horizontal="center"/>
    </xf>
    <xf numFmtId="43" fontId="5" fillId="4" borderId="32" xfId="1" applyFont="1" applyFill="1" applyBorder="1" applyAlignment="1">
      <alignment horizontal="center"/>
    </xf>
    <xf numFmtId="165" fontId="5" fillId="2" borderId="2" xfId="1" applyNumberFormat="1" applyFont="1" applyFill="1" applyBorder="1" applyAlignment="1">
      <alignment horizontal="center"/>
    </xf>
    <xf numFmtId="165" fontId="29" fillId="0" borderId="6" xfId="95" applyNumberFormat="1" applyBorder="1" applyAlignment="1">
      <alignment horizontal="right"/>
    </xf>
    <xf numFmtId="165" fontId="2" fillId="0" borderId="8" xfId="1" applyNumberFormat="1" applyFont="1" applyFill="1" applyBorder="1"/>
    <xf numFmtId="165" fontId="2" fillId="0" borderId="0" xfId="1" applyNumberFormat="1" applyFont="1"/>
    <xf numFmtId="0" fontId="5" fillId="0" borderId="46" xfId="0" applyFont="1" applyFill="1" applyBorder="1"/>
    <xf numFmtId="0" fontId="5" fillId="0" borderId="46" xfId="0" applyFont="1" applyBorder="1"/>
    <xf numFmtId="0" fontId="5" fillId="0" borderId="47" xfId="0" applyFont="1" applyBorder="1"/>
    <xf numFmtId="0" fontId="5" fillId="0" borderId="48" xfId="0" applyFont="1" applyBorder="1"/>
    <xf numFmtId="0" fontId="2" fillId="0" borderId="0" xfId="0" applyFont="1"/>
    <xf numFmtId="0" fontId="5" fillId="36" borderId="1" xfId="0" applyFont="1" applyFill="1" applyBorder="1"/>
    <xf numFmtId="165" fontId="5" fillId="2" borderId="9" xfId="1" applyNumberFormat="1" applyFont="1" applyFill="1" applyBorder="1" applyAlignment="1">
      <alignment horizontal="center"/>
    </xf>
    <xf numFmtId="165" fontId="2" fillId="0" borderId="4" xfId="1" applyNumberFormat="1" applyFont="1" applyFill="1" applyBorder="1"/>
    <xf numFmtId="0" fontId="0" fillId="0" borderId="4" xfId="0" applyBorder="1"/>
    <xf numFmtId="0" fontId="2" fillId="0" borderId="3" xfId="0" applyFont="1" applyFill="1" applyBorder="1"/>
    <xf numFmtId="0" fontId="2" fillId="0" borderId="6" xfId="0" applyFont="1" applyFill="1" applyBorder="1"/>
    <xf numFmtId="165" fontId="2" fillId="0" borderId="0" xfId="0" applyNumberFormat="1" applyFont="1" applyBorder="1"/>
    <xf numFmtId="165" fontId="2" fillId="0" borderId="3" xfId="1" applyNumberFormat="1" applyFont="1" applyBorder="1"/>
    <xf numFmtId="3" fontId="2" fillId="0" borderId="0" xfId="0" applyNumberFormat="1" applyFont="1"/>
    <xf numFmtId="10" fontId="2" fillId="0" borderId="0" xfId="2" applyNumberFormat="1" applyFont="1" applyBorder="1"/>
    <xf numFmtId="10" fontId="2" fillId="0" borderId="7" xfId="2" applyNumberFormat="1" applyFont="1" applyBorder="1"/>
    <xf numFmtId="166" fontId="2" fillId="0" borderId="0" xfId="2" applyNumberFormat="1" applyFont="1" applyBorder="1"/>
    <xf numFmtId="166" fontId="2" fillId="0" borderId="7" xfId="2" applyNumberFormat="1" applyFont="1" applyBorder="1"/>
    <xf numFmtId="0" fontId="2" fillId="0" borderId="1" xfId="0" applyFont="1" applyBorder="1"/>
    <xf numFmtId="165" fontId="2" fillId="37" borderId="0" xfId="1" applyNumberFormat="1" applyFont="1" applyFill="1" applyBorder="1"/>
    <xf numFmtId="165" fontId="6" fillId="37" borderId="6" xfId="1" applyNumberFormat="1" applyFont="1" applyFill="1" applyBorder="1"/>
    <xf numFmtId="165" fontId="5" fillId="37" borderId="0" xfId="1" applyNumberFormat="1" applyFont="1" applyFill="1" applyBorder="1"/>
    <xf numFmtId="165" fontId="6" fillId="37" borderId="0" xfId="1" applyNumberFormat="1" applyFont="1" applyFill="1"/>
    <xf numFmtId="165" fontId="2" fillId="37" borderId="0" xfId="1" applyNumberFormat="1" applyFont="1" applyFill="1"/>
    <xf numFmtId="165" fontId="6" fillId="37" borderId="0" xfId="1" applyNumberFormat="1" applyFont="1" applyFill="1" applyBorder="1"/>
    <xf numFmtId="165" fontId="5" fillId="37" borderId="19" xfId="1" applyNumberFormat="1" applyFont="1" applyFill="1" applyBorder="1"/>
    <xf numFmtId="165" fontId="6" fillId="37" borderId="3" xfId="1" applyNumberFormat="1" applyFont="1" applyFill="1" applyBorder="1"/>
    <xf numFmtId="0" fontId="6" fillId="0" borderId="0" xfId="0" applyFont="1" applyAlignment="1">
      <alignment horizontal="center"/>
    </xf>
    <xf numFmtId="17" fontId="2" fillId="0" borderId="0" xfId="0" applyNumberFormat="1" applyFont="1"/>
    <xf numFmtId="0" fontId="2" fillId="0" borderId="0" xfId="0" applyFont="1" applyAlignment="1">
      <alignment vertical="center"/>
    </xf>
    <xf numFmtId="165" fontId="2" fillId="0" borderId="0" xfId="1" applyNumberFormat="1" applyFont="1" applyAlignment="1"/>
    <xf numFmtId="0" fontId="2" fillId="0" borderId="0" xfId="0" applyFont="1" applyAlignment="1"/>
    <xf numFmtId="165" fontId="2" fillId="0" borderId="0" xfId="1" applyNumberFormat="1" applyFont="1" applyBorder="1" applyAlignment="1"/>
    <xf numFmtId="165" fontId="2" fillId="0" borderId="6" xfId="1" applyNumberFormat="1" applyFont="1" applyFill="1" applyBorder="1" applyAlignment="1"/>
    <xf numFmtId="0" fontId="2" fillId="0" borderId="6" xfId="0" applyFont="1" applyBorder="1" applyAlignment="1"/>
    <xf numFmtId="165" fontId="2" fillId="0" borderId="6" xfId="1" applyNumberFormat="1" applyFont="1" applyBorder="1" applyAlignment="1"/>
    <xf numFmtId="0" fontId="2" fillId="0" borderId="6" xfId="0" applyFont="1" applyBorder="1" applyAlignment="1">
      <alignment vertical="center"/>
    </xf>
    <xf numFmtId="0" fontId="30" fillId="0" borderId="6" xfId="0" applyFont="1" applyBorder="1" applyAlignment="1">
      <alignment vertical="center"/>
    </xf>
    <xf numFmtId="0" fontId="2" fillId="37" borderId="0" xfId="0" applyFont="1" applyFill="1"/>
    <xf numFmtId="0" fontId="6" fillId="37" borderId="0" xfId="0" applyFont="1" applyFill="1"/>
    <xf numFmtId="0" fontId="31" fillId="0" borderId="0" xfId="0" applyFont="1"/>
    <xf numFmtId="0" fontId="32" fillId="0" borderId="0" xfId="0" applyFont="1"/>
    <xf numFmtId="0" fontId="5" fillId="4" borderId="1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6" fillId="0" borderId="0" xfId="0" applyFont="1" applyBorder="1" applyProtection="1">
      <protection locked="0"/>
    </xf>
    <xf numFmtId="38" fontId="6" fillId="0" borderId="0" xfId="0" applyNumberFormat="1" applyFont="1" applyBorder="1" applyProtection="1">
      <protection locked="0"/>
    </xf>
    <xf numFmtId="0" fontId="6" fillId="0" borderId="4" xfId="0" applyFont="1" applyBorder="1" applyProtection="1">
      <protection locked="0"/>
    </xf>
    <xf numFmtId="0" fontId="6" fillId="0" borderId="0" xfId="0" applyFont="1" applyProtection="1">
      <protection locked="0"/>
    </xf>
    <xf numFmtId="165" fontId="6" fillId="0" borderId="0" xfId="1" applyNumberFormat="1" applyFont="1" applyFill="1" applyBorder="1" applyProtection="1">
      <protection locked="0"/>
    </xf>
    <xf numFmtId="165" fontId="6" fillId="0" borderId="0" xfId="1" applyNumberFormat="1" applyFont="1" applyBorder="1" applyProtection="1">
      <protection locked="0"/>
    </xf>
    <xf numFmtId="165" fontId="6" fillId="0" borderId="4" xfId="1" applyNumberFormat="1" applyFont="1" applyBorder="1" applyProtection="1">
      <protection locked="0"/>
    </xf>
    <xf numFmtId="0" fontId="2" fillId="0" borderId="6" xfId="0" applyFont="1" applyBorder="1"/>
    <xf numFmtId="3" fontId="2" fillId="0" borderId="6" xfId="0" applyNumberFormat="1" applyFont="1" applyBorder="1"/>
    <xf numFmtId="165" fontId="2" fillId="0" borderId="0" xfId="16" applyNumberFormat="1" applyFont="1"/>
    <xf numFmtId="165" fontId="2" fillId="0" borderId="6" xfId="16" applyNumberFormat="1" applyFont="1" applyBorder="1"/>
    <xf numFmtId="165" fontId="5" fillId="0" borderId="0" xfId="16" applyNumberFormat="1" applyFont="1"/>
    <xf numFmtId="10" fontId="2" fillId="0" borderId="7" xfId="17" applyNumberFormat="1" applyFont="1" applyBorder="1"/>
    <xf numFmtId="165" fontId="5" fillId="0" borderId="19" xfId="16" applyNumberFormat="1" applyFont="1" applyBorder="1"/>
    <xf numFmtId="166" fontId="2" fillId="0" borderId="0" xfId="17" applyNumberFormat="1" applyFont="1" applyBorder="1"/>
    <xf numFmtId="166" fontId="2" fillId="0" borderId="7" xfId="17" applyNumberFormat="1" applyFont="1" applyBorder="1"/>
    <xf numFmtId="165" fontId="5" fillId="0" borderId="0" xfId="16" applyNumberFormat="1" applyFont="1" applyBorder="1"/>
    <xf numFmtId="165" fontId="2" fillId="0" borderId="0" xfId="16" applyNumberFormat="1" applyFont="1" applyBorder="1"/>
    <xf numFmtId="165" fontId="2" fillId="0" borderId="11" xfId="16" applyNumberFormat="1" applyFont="1" applyBorder="1"/>
    <xf numFmtId="10" fontId="2" fillId="0" borderId="7" xfId="0" applyNumberFormat="1" applyFont="1" applyBorder="1"/>
    <xf numFmtId="165" fontId="2" fillId="0" borderId="0" xfId="16" applyNumberFormat="1" applyFont="1" applyFill="1" applyBorder="1"/>
    <xf numFmtId="165" fontId="2" fillId="0" borderId="6" xfId="16" applyNumberFormat="1" applyFont="1" applyFill="1" applyBorder="1" applyAlignment="1"/>
    <xf numFmtId="0" fontId="2" fillId="0" borderId="0" xfId="0" applyFont="1" applyProtection="1">
      <protection locked="0"/>
    </xf>
    <xf numFmtId="165" fontId="2" fillId="37" borderId="6" xfId="16" applyNumberFormat="1" applyFont="1" applyFill="1" applyBorder="1"/>
    <xf numFmtId="165" fontId="5" fillId="37" borderId="0" xfId="16" applyNumberFormat="1" applyFont="1" applyFill="1" applyBorder="1"/>
    <xf numFmtId="165" fontId="2" fillId="0" borderId="6" xfId="16" applyNumberFormat="1" applyFont="1" applyFill="1" applyBorder="1"/>
    <xf numFmtId="165" fontId="2" fillId="0" borderId="6" xfId="0" applyNumberFormat="1" applyFont="1" applyFill="1" applyBorder="1"/>
    <xf numFmtId="3" fontId="5" fillId="0" borderId="0" xfId="0" applyNumberFormat="1" applyFont="1"/>
    <xf numFmtId="1" fontId="2" fillId="0" borderId="6" xfId="0" applyNumberFormat="1" applyFont="1" applyBorder="1"/>
    <xf numFmtId="165" fontId="6" fillId="0" borderId="0" xfId="1" applyNumberFormat="1" applyFont="1" applyBorder="1" applyProtection="1"/>
    <xf numFmtId="165" fontId="6" fillId="0" borderId="4" xfId="1" applyNumberFormat="1" applyFont="1" applyBorder="1" applyProtection="1"/>
    <xf numFmtId="165" fontId="6" fillId="0" borderId="1" xfId="1" applyNumberFormat="1" applyFont="1" applyFill="1" applyBorder="1" applyProtection="1"/>
    <xf numFmtId="165" fontId="6" fillId="0" borderId="0" xfId="1" applyNumberFormat="1" applyFont="1" applyProtection="1"/>
    <xf numFmtId="165" fontId="2" fillId="0" borderId="0" xfId="1" applyNumberFormat="1" applyFont="1" applyProtection="1"/>
    <xf numFmtId="165" fontId="2" fillId="0" borderId="0" xfId="16" applyNumberFormat="1" applyFont="1" applyProtection="1"/>
    <xf numFmtId="165" fontId="6" fillId="0" borderId="18" xfId="1" applyNumberFormat="1" applyFont="1" applyBorder="1" applyProtection="1"/>
    <xf numFmtId="3" fontId="2" fillId="0" borderId="6" xfId="0" applyNumberFormat="1" applyFont="1" applyFill="1" applyBorder="1"/>
    <xf numFmtId="166" fontId="2" fillId="37" borderId="7" xfId="17" applyNumberFormat="1" applyFont="1" applyFill="1" applyBorder="1"/>
    <xf numFmtId="165" fontId="5" fillId="4" borderId="49" xfId="1" applyNumberFormat="1" applyFont="1" applyFill="1" applyBorder="1" applyAlignment="1">
      <alignment horizontal="center"/>
    </xf>
    <xf numFmtId="165" fontId="5" fillId="0" borderId="0" xfId="1" applyNumberFormat="1" applyFont="1" applyProtection="1"/>
    <xf numFmtId="165" fontId="6" fillId="0" borderId="17" xfId="1" applyNumberFormat="1" applyFont="1" applyBorder="1" applyProtection="1"/>
    <xf numFmtId="10" fontId="0" fillId="0" borderId="0" xfId="0" applyNumberFormat="1"/>
    <xf numFmtId="165" fontId="5" fillId="4" borderId="1" xfId="1" applyNumberFormat="1" applyFont="1" applyFill="1" applyBorder="1" applyProtection="1">
      <protection locked="0"/>
    </xf>
    <xf numFmtId="165" fontId="6" fillId="2" borderId="0" xfId="1" applyNumberFormat="1" applyFont="1" applyFill="1" applyBorder="1" applyProtection="1">
      <protection locked="0"/>
    </xf>
    <xf numFmtId="165" fontId="6" fillId="0" borderId="1" xfId="1" applyNumberFormat="1" applyFont="1" applyFill="1" applyBorder="1" applyProtection="1">
      <protection locked="0"/>
    </xf>
    <xf numFmtId="165" fontId="6" fillId="0" borderId="0" xfId="1" applyNumberFormat="1" applyFont="1" applyProtection="1">
      <protection locked="0"/>
    </xf>
    <xf numFmtId="165" fontId="2" fillId="0" borderId="0" xfId="1" applyNumberFormat="1" applyFont="1" applyProtection="1">
      <protection locked="0"/>
    </xf>
    <xf numFmtId="165" fontId="2" fillId="0" borderId="0" xfId="16" applyNumberFormat="1" applyFont="1" applyProtection="1">
      <protection locked="0"/>
    </xf>
    <xf numFmtId="165" fontId="5" fillId="0" borderId="1" xfId="1" applyNumberFormat="1" applyFont="1" applyBorder="1" applyProtection="1">
      <protection locked="0"/>
    </xf>
    <xf numFmtId="165" fontId="5" fillId="0" borderId="3" xfId="1" applyNumberFormat="1" applyFont="1" applyBorder="1" applyProtection="1">
      <protection locked="0"/>
    </xf>
    <xf numFmtId="165" fontId="6" fillId="2" borderId="6" xfId="1" applyNumberFormat="1" applyFont="1" applyFill="1" applyBorder="1" applyProtection="1">
      <protection locked="0"/>
    </xf>
    <xf numFmtId="165" fontId="6" fillId="0" borderId="6" xfId="1" applyNumberFormat="1" applyFont="1" applyBorder="1" applyProtection="1">
      <protection locked="0"/>
    </xf>
    <xf numFmtId="165" fontId="6" fillId="0" borderId="8" xfId="1" applyNumberFormat="1" applyFont="1" applyBorder="1" applyProtection="1">
      <protection locked="0"/>
    </xf>
    <xf numFmtId="165" fontId="6" fillId="0" borderId="3" xfId="1" applyNumberFormat="1" applyFont="1" applyFill="1" applyBorder="1" applyProtection="1">
      <protection locked="0"/>
    </xf>
    <xf numFmtId="165" fontId="2" fillId="0" borderId="6" xfId="16" applyNumberFormat="1" applyFont="1" applyBorder="1" applyProtection="1">
      <protection locked="0"/>
    </xf>
    <xf numFmtId="165" fontId="5" fillId="2" borderId="0" xfId="1" applyNumberFormat="1" applyFont="1" applyFill="1" applyBorder="1" applyProtection="1">
      <protection locked="0"/>
    </xf>
    <xf numFmtId="165" fontId="5" fillId="0" borderId="0" xfId="1" applyNumberFormat="1" applyFont="1" applyBorder="1" applyProtection="1">
      <protection locked="0"/>
    </xf>
    <xf numFmtId="165" fontId="5" fillId="0" borderId="5" xfId="1" applyNumberFormat="1" applyFont="1" applyBorder="1" applyProtection="1">
      <protection locked="0"/>
    </xf>
    <xf numFmtId="165" fontId="5" fillId="0" borderId="19" xfId="1" applyNumberFormat="1" applyFont="1" applyBorder="1" applyProtection="1">
      <protection locked="0"/>
    </xf>
    <xf numFmtId="165" fontId="5" fillId="0" borderId="1" xfId="1" applyNumberFormat="1" applyFont="1" applyFill="1" applyBorder="1" applyProtection="1">
      <protection locked="0"/>
    </xf>
    <xf numFmtId="165" fontId="5" fillId="0" borderId="19" xfId="16" applyNumberFormat="1" applyFont="1" applyBorder="1" applyProtection="1">
      <protection locked="0"/>
    </xf>
    <xf numFmtId="166" fontId="5" fillId="0" borderId="1" xfId="2" applyNumberFormat="1" applyFont="1" applyBorder="1" applyProtection="1">
      <protection locked="0"/>
    </xf>
    <xf numFmtId="166" fontId="6" fillId="2" borderId="0" xfId="2" applyNumberFormat="1" applyFont="1" applyFill="1" applyBorder="1" applyProtection="1">
      <protection locked="0"/>
    </xf>
    <xf numFmtId="166" fontId="6" fillId="0" borderId="0" xfId="2" applyNumberFormat="1" applyFont="1" applyBorder="1" applyProtection="1">
      <protection locked="0"/>
    </xf>
    <xf numFmtId="166" fontId="6" fillId="0" borderId="4" xfId="2" applyNumberFormat="1" applyFont="1" applyBorder="1" applyProtection="1">
      <protection locked="0"/>
    </xf>
    <xf numFmtId="166" fontId="6" fillId="0" borderId="1" xfId="2" applyNumberFormat="1" applyFont="1" applyFill="1" applyBorder="1" applyProtection="1">
      <protection locked="0"/>
    </xf>
    <xf numFmtId="166" fontId="2" fillId="0" borderId="0" xfId="17" applyNumberFormat="1" applyFont="1" applyBorder="1" applyProtection="1">
      <protection locked="0"/>
    </xf>
    <xf numFmtId="166" fontId="6" fillId="0" borderId="0" xfId="2" applyNumberFormat="1" applyFont="1" applyProtection="1">
      <protection locked="0"/>
    </xf>
    <xf numFmtId="166" fontId="5" fillId="0" borderId="2" xfId="2" applyNumberFormat="1" applyFont="1" applyBorder="1" applyProtection="1">
      <protection locked="0"/>
    </xf>
    <xf numFmtId="166" fontId="6" fillId="2" borderId="7" xfId="2" applyNumberFormat="1" applyFont="1" applyFill="1" applyBorder="1" applyProtection="1">
      <protection locked="0"/>
    </xf>
    <xf numFmtId="166" fontId="6" fillId="0" borderId="7" xfId="2" applyNumberFormat="1" applyFont="1" applyBorder="1" applyProtection="1">
      <protection locked="0"/>
    </xf>
    <xf numFmtId="166" fontId="6" fillId="0" borderId="9" xfId="2" applyNumberFormat="1" applyFont="1" applyBorder="1" applyProtection="1">
      <protection locked="0"/>
    </xf>
    <xf numFmtId="166" fontId="6" fillId="0" borderId="2" xfId="2" applyNumberFormat="1" applyFont="1" applyFill="1" applyBorder="1" applyProtection="1">
      <protection locked="0"/>
    </xf>
    <xf numFmtId="166" fontId="2" fillId="0" borderId="7" xfId="17" applyNumberFormat="1" applyFont="1" applyBorder="1" applyProtection="1">
      <protection locked="0"/>
    </xf>
    <xf numFmtId="165" fontId="2" fillId="0" borderId="6" xfId="1" applyNumberFormat="1" applyFont="1" applyBorder="1" applyProtection="1">
      <protection locked="0"/>
    </xf>
    <xf numFmtId="0" fontId="5" fillId="0" borderId="2" xfId="0" applyFont="1" applyBorder="1" applyProtection="1">
      <protection locked="0"/>
    </xf>
    <xf numFmtId="38" fontId="6" fillId="0" borderId="0" xfId="0" applyNumberFormat="1" applyFont="1" applyProtection="1">
      <protection locked="0"/>
    </xf>
    <xf numFmtId="0" fontId="6" fillId="0" borderId="0" xfId="0" applyFont="1" applyFill="1" applyProtection="1">
      <protection locked="0"/>
    </xf>
    <xf numFmtId="0" fontId="6" fillId="0" borderId="9" xfId="0" applyFont="1" applyBorder="1" applyProtection="1">
      <protection locked="0"/>
    </xf>
    <xf numFmtId="165" fontId="6" fillId="0" borderId="2" xfId="1" applyNumberFormat="1" applyFont="1" applyFill="1" applyBorder="1" applyProtection="1">
      <protection locked="0"/>
    </xf>
    <xf numFmtId="165" fontId="6" fillId="0" borderId="7" xfId="1" applyNumberFormat="1" applyFont="1" applyBorder="1" applyProtection="1">
      <protection locked="0"/>
    </xf>
    <xf numFmtId="165" fontId="6" fillId="0" borderId="9" xfId="1" applyNumberFormat="1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7" xfId="0" applyFont="1" applyBorder="1" applyProtection="1">
      <protection locked="0"/>
    </xf>
    <xf numFmtId="0" fontId="2" fillId="0" borderId="7" xfId="0" applyFont="1" applyBorder="1" applyAlignment="1" applyProtection="1">
      <protection locked="0"/>
    </xf>
    <xf numFmtId="0" fontId="2" fillId="0" borderId="7" xfId="0" applyFont="1" applyBorder="1" applyProtection="1">
      <protection locked="0"/>
    </xf>
    <xf numFmtId="0" fontId="5" fillId="4" borderId="16" xfId="0" applyFont="1" applyFill="1" applyBorder="1" applyProtection="1">
      <protection locked="0"/>
    </xf>
    <xf numFmtId="0" fontId="6" fillId="2" borderId="17" xfId="0" applyFont="1" applyFill="1" applyBorder="1" applyProtection="1">
      <protection locked="0"/>
    </xf>
    <xf numFmtId="0" fontId="6" fillId="0" borderId="17" xfId="0" applyFont="1" applyBorder="1" applyProtection="1">
      <protection locked="0"/>
    </xf>
    <xf numFmtId="38" fontId="6" fillId="0" borderId="17" xfId="0" applyNumberFormat="1" applyFont="1" applyBorder="1" applyProtection="1">
      <protection locked="0"/>
    </xf>
    <xf numFmtId="0" fontId="6" fillId="0" borderId="17" xfId="0" applyFont="1" applyFill="1" applyBorder="1" applyProtection="1">
      <protection locked="0"/>
    </xf>
    <xf numFmtId="0" fontId="6" fillId="0" borderId="18" xfId="0" applyFont="1" applyBorder="1" applyProtection="1">
      <protection locked="0"/>
    </xf>
    <xf numFmtId="0" fontId="6" fillId="0" borderId="16" xfId="0" applyFont="1" applyBorder="1" applyProtection="1">
      <protection locked="0"/>
    </xf>
    <xf numFmtId="0" fontId="2" fillId="0" borderId="0" xfId="0" applyFont="1" applyAlignment="1" applyProtection="1">
      <protection locked="0"/>
    </xf>
    <xf numFmtId="0" fontId="6" fillId="2" borderId="0" xfId="0" applyFont="1" applyFill="1" applyBorder="1" applyProtection="1">
      <protection locked="0"/>
    </xf>
    <xf numFmtId="165" fontId="3" fillId="0" borderId="0" xfId="1" applyNumberFormat="1" applyFont="1" applyProtection="1">
      <protection locked="0"/>
    </xf>
    <xf numFmtId="165" fontId="2" fillId="0" borderId="0" xfId="1" applyNumberFormat="1" applyFont="1" applyBorder="1" applyProtection="1">
      <protection locked="0"/>
    </xf>
    <xf numFmtId="165" fontId="6" fillId="0" borderId="6" xfId="1" applyNumberFormat="1" applyFont="1" applyFill="1" applyBorder="1" applyProtection="1">
      <protection locked="0"/>
    </xf>
    <xf numFmtId="165" fontId="6" fillId="0" borderId="3" xfId="1" applyNumberFormat="1" applyFont="1" applyBorder="1" applyProtection="1">
      <protection locked="0"/>
    </xf>
    <xf numFmtId="165" fontId="5" fillId="0" borderId="0" xfId="1" applyNumberFormat="1" applyFont="1" applyFill="1" applyBorder="1" applyProtection="1">
      <protection locked="0"/>
    </xf>
    <xf numFmtId="165" fontId="5" fillId="0" borderId="4" xfId="1" applyNumberFormat="1" applyFont="1" applyBorder="1" applyProtection="1">
      <protection locked="0"/>
    </xf>
    <xf numFmtId="0" fontId="5" fillId="0" borderId="1" xfId="0" applyFont="1" applyBorder="1" applyProtection="1">
      <protection locked="0"/>
    </xf>
    <xf numFmtId="10" fontId="6" fillId="2" borderId="0" xfId="0" applyNumberFormat="1" applyFont="1" applyFill="1" applyBorder="1" applyProtection="1">
      <protection locked="0"/>
    </xf>
    <xf numFmtId="10" fontId="6" fillId="0" borderId="0" xfId="0" applyNumberFormat="1" applyFont="1" applyBorder="1" applyProtection="1">
      <protection locked="0"/>
    </xf>
    <xf numFmtId="10" fontId="6" fillId="0" borderId="0" xfId="0" applyNumberFormat="1" applyFont="1" applyFill="1" applyBorder="1" applyProtection="1">
      <protection locked="0"/>
    </xf>
    <xf numFmtId="10" fontId="6" fillId="0" borderId="4" xfId="0" applyNumberFormat="1" applyFont="1" applyBorder="1" applyProtection="1">
      <protection locked="0"/>
    </xf>
    <xf numFmtId="10" fontId="6" fillId="2" borderId="7" xfId="0" applyNumberFormat="1" applyFont="1" applyFill="1" applyBorder="1" applyProtection="1">
      <protection locked="0"/>
    </xf>
    <xf numFmtId="10" fontId="6" fillId="0" borderId="7" xfId="0" applyNumberFormat="1" applyFont="1" applyBorder="1" applyProtection="1">
      <protection locked="0"/>
    </xf>
    <xf numFmtId="10" fontId="6" fillId="0" borderId="7" xfId="0" applyNumberFormat="1" applyFont="1" applyFill="1" applyBorder="1" applyProtection="1">
      <protection locked="0"/>
    </xf>
    <xf numFmtId="10" fontId="6" fillId="0" borderId="9" xfId="0" applyNumberFormat="1" applyFont="1" applyBorder="1" applyProtection="1">
      <protection locked="0"/>
    </xf>
    <xf numFmtId="165" fontId="6" fillId="0" borderId="4" xfId="1" applyNumberFormat="1" applyFont="1" applyFill="1" applyBorder="1" applyProtection="1">
      <protection locked="0"/>
    </xf>
    <xf numFmtId="0" fontId="5" fillId="0" borderId="16" xfId="0" applyFont="1" applyBorder="1" applyProtection="1">
      <protection locked="0"/>
    </xf>
    <xf numFmtId="165" fontId="6" fillId="0" borderId="18" xfId="1" applyNumberFormat="1" applyFont="1" applyBorder="1" applyProtection="1">
      <protection locked="0"/>
    </xf>
    <xf numFmtId="0" fontId="6" fillId="0" borderId="1" xfId="0" applyFont="1" applyBorder="1" applyProtection="1">
      <protection locked="0"/>
    </xf>
    <xf numFmtId="165" fontId="6" fillId="0" borderId="1" xfId="1" applyNumberFormat="1" applyFont="1" applyBorder="1" applyProtection="1">
      <protection locked="0"/>
    </xf>
    <xf numFmtId="165" fontId="5" fillId="0" borderId="19" xfId="1" applyNumberFormat="1" applyFont="1" applyFill="1" applyBorder="1" applyProtection="1">
      <protection locked="0"/>
    </xf>
    <xf numFmtId="165" fontId="5" fillId="0" borderId="36" xfId="1" applyNumberFormat="1" applyFont="1" applyBorder="1" applyProtection="1">
      <protection locked="0"/>
    </xf>
    <xf numFmtId="10" fontId="6" fillId="0" borderId="1" xfId="0" applyNumberFormat="1" applyFont="1" applyBorder="1" applyProtection="1">
      <protection locked="0"/>
    </xf>
    <xf numFmtId="166" fontId="6" fillId="0" borderId="0" xfId="2" applyNumberFormat="1" applyFont="1" applyFill="1" applyBorder="1" applyProtection="1">
      <protection locked="0"/>
    </xf>
    <xf numFmtId="10" fontId="6" fillId="0" borderId="2" xfId="0" applyNumberFormat="1" applyFont="1" applyBorder="1" applyProtection="1">
      <protection locked="0"/>
    </xf>
    <xf numFmtId="166" fontId="6" fillId="0" borderId="7" xfId="2" applyNumberFormat="1" applyFont="1" applyFill="1" applyBorder="1" applyProtection="1">
      <protection locked="0"/>
    </xf>
    <xf numFmtId="0" fontId="6" fillId="0" borderId="1" xfId="0" applyFont="1" applyFill="1" applyBorder="1" applyProtection="1">
      <protection locked="0"/>
    </xf>
    <xf numFmtId="165" fontId="5" fillId="0" borderId="0" xfId="16" applyNumberFormat="1" applyFont="1" applyBorder="1" applyProtection="1">
      <protection locked="0"/>
    </xf>
    <xf numFmtId="4" fontId="6" fillId="0" borderId="1" xfId="0" applyNumberFormat="1" applyFont="1" applyFill="1" applyBorder="1" applyProtection="1">
      <protection locked="0"/>
    </xf>
    <xf numFmtId="4" fontId="6" fillId="0" borderId="0" xfId="0" applyNumberFormat="1" applyFont="1" applyBorder="1" applyProtection="1">
      <protection locked="0"/>
    </xf>
    <xf numFmtId="4" fontId="6" fillId="0" borderId="4" xfId="0" applyNumberFormat="1" applyFont="1" applyBorder="1" applyProtection="1">
      <protection locked="0"/>
    </xf>
    <xf numFmtId="0" fontId="5" fillId="0" borderId="3" xfId="0" applyFont="1" applyBorder="1" applyProtection="1">
      <protection locked="0"/>
    </xf>
    <xf numFmtId="4" fontId="6" fillId="0" borderId="3" xfId="0" applyNumberFormat="1" applyFont="1" applyFill="1" applyBorder="1" applyProtection="1">
      <protection locked="0"/>
    </xf>
    <xf numFmtId="4" fontId="6" fillId="0" borderId="6" xfId="0" applyNumberFormat="1" applyFont="1" applyBorder="1" applyProtection="1">
      <protection locked="0"/>
    </xf>
    <xf numFmtId="4" fontId="6" fillId="0" borderId="8" xfId="0" applyNumberFormat="1" applyFont="1" applyBorder="1" applyProtection="1">
      <protection locked="0"/>
    </xf>
    <xf numFmtId="4" fontId="5" fillId="0" borderId="1" xfId="0" applyNumberFormat="1" applyFont="1" applyFill="1" applyBorder="1" applyProtection="1">
      <protection locked="0"/>
    </xf>
    <xf numFmtId="4" fontId="5" fillId="0" borderId="0" xfId="0" applyNumberFormat="1" applyFont="1" applyBorder="1" applyProtection="1">
      <protection locked="0"/>
    </xf>
    <xf numFmtId="4" fontId="5" fillId="0" borderId="5" xfId="0" applyNumberFormat="1" applyFont="1" applyBorder="1" applyProtection="1">
      <protection locked="0"/>
    </xf>
    <xf numFmtId="10" fontId="6" fillId="0" borderId="1" xfId="0" applyNumberFormat="1" applyFont="1" applyFill="1" applyBorder="1" applyProtection="1">
      <protection locked="0"/>
    </xf>
    <xf numFmtId="165" fontId="6" fillId="37" borderId="6" xfId="1" applyNumberFormat="1" applyFont="1" applyFill="1" applyBorder="1" applyProtection="1">
      <protection locked="0"/>
    </xf>
    <xf numFmtId="165" fontId="2" fillId="0" borderId="6" xfId="16" applyNumberFormat="1" applyFont="1" applyFill="1" applyBorder="1" applyProtection="1">
      <protection locked="0"/>
    </xf>
    <xf numFmtId="0" fontId="5" fillId="4" borderId="17" xfId="0" applyFont="1" applyFill="1" applyBorder="1" applyProtection="1">
      <protection locked="0"/>
    </xf>
    <xf numFmtId="165" fontId="6" fillId="0" borderId="0" xfId="0" applyNumberFormat="1" applyFont="1" applyBorder="1" applyProtection="1">
      <protection locked="0"/>
    </xf>
    <xf numFmtId="165" fontId="6" fillId="0" borderId="4" xfId="0" applyNumberFormat="1" applyFont="1" applyBorder="1" applyProtection="1">
      <protection locked="0"/>
    </xf>
    <xf numFmtId="165" fontId="2" fillId="0" borderId="0" xfId="0" applyNumberFormat="1" applyFont="1" applyBorder="1" applyProtection="1">
      <protection locked="0"/>
    </xf>
    <xf numFmtId="1" fontId="6" fillId="0" borderId="6" xfId="0" applyNumberFormat="1" applyFont="1" applyBorder="1" applyProtection="1">
      <protection locked="0"/>
    </xf>
    <xf numFmtId="166" fontId="6" fillId="0" borderId="2" xfId="2" applyNumberFormat="1" applyFont="1" applyBorder="1" applyProtection="1">
      <protection locked="0"/>
    </xf>
    <xf numFmtId="165" fontId="2" fillId="0" borderId="0" xfId="0" applyNumberFormat="1" applyFont="1" applyFill="1" applyBorder="1" applyProtection="1">
      <protection locked="0"/>
    </xf>
    <xf numFmtId="165" fontId="2" fillId="0" borderId="3" xfId="1" applyNumberFormat="1" applyFont="1" applyFill="1" applyBorder="1" applyProtection="1">
      <protection locked="0"/>
    </xf>
    <xf numFmtId="165" fontId="2" fillId="0" borderId="6" xfId="1" applyNumberFormat="1" applyFont="1" applyFill="1" applyBorder="1" applyProtection="1">
      <protection locked="0"/>
    </xf>
    <xf numFmtId="165" fontId="2" fillId="0" borderId="6" xfId="16" applyNumberFormat="1" applyFont="1" applyBorder="1" applyProtection="1"/>
    <xf numFmtId="165" fontId="5" fillId="0" borderId="19" xfId="1" applyNumberFormat="1" applyFont="1" applyBorder="1" applyProtection="1"/>
    <xf numFmtId="165" fontId="5" fillId="0" borderId="19" xfId="16" applyNumberFormat="1" applyFont="1" applyBorder="1" applyProtection="1"/>
    <xf numFmtId="166" fontId="6" fillId="0" borderId="0" xfId="2" applyNumberFormat="1" applyFont="1" applyBorder="1" applyProtection="1"/>
    <xf numFmtId="166" fontId="2" fillId="0" borderId="0" xfId="17" applyNumberFormat="1" applyFont="1" applyBorder="1" applyProtection="1"/>
    <xf numFmtId="166" fontId="6" fillId="0" borderId="7" xfId="2" applyNumberFormat="1" applyFont="1" applyBorder="1" applyProtection="1"/>
    <xf numFmtId="166" fontId="2" fillId="0" borderId="7" xfId="17" applyNumberFormat="1" applyFont="1" applyBorder="1" applyProtection="1"/>
    <xf numFmtId="165" fontId="6" fillId="0" borderId="6" xfId="1" applyNumberFormat="1" applyFont="1" applyBorder="1" applyProtection="1"/>
    <xf numFmtId="165" fontId="2" fillId="0" borderId="6" xfId="1" applyNumberFormat="1" applyFont="1" applyBorder="1" applyProtection="1"/>
    <xf numFmtId="0" fontId="6" fillId="0" borderId="0" xfId="0" applyFont="1" applyProtection="1"/>
    <xf numFmtId="165" fontId="5" fillId="0" borderId="0" xfId="16" applyNumberFormat="1" applyFont="1" applyBorder="1" applyProtection="1"/>
    <xf numFmtId="165" fontId="5" fillId="0" borderId="0" xfId="1" applyNumberFormat="1" applyFont="1" applyBorder="1" applyProtection="1"/>
    <xf numFmtId="165" fontId="2" fillId="0" borderId="0" xfId="0" applyNumberFormat="1" applyFont="1" applyBorder="1" applyProtection="1"/>
    <xf numFmtId="165" fontId="2" fillId="0" borderId="6" xfId="16" applyNumberFormat="1" applyFont="1" applyFill="1" applyBorder="1" applyProtection="1"/>
    <xf numFmtId="165" fontId="6" fillId="37" borderId="6" xfId="1" applyNumberFormat="1" applyFont="1" applyFill="1" applyBorder="1" applyProtection="1"/>
    <xf numFmtId="165" fontId="5" fillId="0" borderId="0" xfId="1" applyNumberFormat="1" applyFont="1" applyProtection="1">
      <protection locked="0"/>
    </xf>
    <xf numFmtId="165" fontId="5" fillId="0" borderId="0" xfId="16" applyNumberFormat="1" applyFont="1" applyProtection="1">
      <protection locked="0"/>
    </xf>
    <xf numFmtId="166" fontId="5" fillId="0" borderId="7" xfId="2" applyNumberFormat="1" applyFont="1" applyBorder="1" applyProtection="1">
      <protection locked="0"/>
    </xf>
    <xf numFmtId="165" fontId="6" fillId="0" borderId="0" xfId="1" applyNumberFormat="1" applyFont="1" applyFill="1" applyProtection="1">
      <protection locked="0"/>
    </xf>
    <xf numFmtId="165" fontId="6" fillId="0" borderId="16" xfId="1" applyNumberFormat="1" applyFont="1" applyFill="1" applyBorder="1" applyProtection="1">
      <protection locked="0"/>
    </xf>
    <xf numFmtId="165" fontId="6" fillId="0" borderId="17" xfId="1" applyNumberFormat="1" applyFont="1" applyFill="1" applyBorder="1" applyProtection="1">
      <protection locked="0"/>
    </xf>
    <xf numFmtId="0" fontId="33" fillId="0" borderId="0" xfId="0" applyFont="1"/>
    <xf numFmtId="165" fontId="6" fillId="0" borderId="0" xfId="16" applyNumberFormat="1" applyFont="1"/>
    <xf numFmtId="165" fontId="6" fillId="0" borderId="6" xfId="16" applyNumberFormat="1" applyFont="1" applyBorder="1"/>
    <xf numFmtId="165" fontId="5" fillId="0" borderId="0" xfId="0" applyNumberFormat="1" applyFont="1"/>
    <xf numFmtId="1" fontId="2" fillId="0" borderId="0" xfId="0" applyNumberFormat="1" applyFont="1"/>
    <xf numFmtId="1" fontId="6" fillId="0" borderId="0" xfId="0" applyNumberFormat="1" applyFont="1" applyProtection="1">
      <protection locked="0"/>
    </xf>
    <xf numFmtId="0" fontId="5" fillId="4" borderId="1" xfId="0" applyFont="1" applyFill="1" applyBorder="1" applyProtection="1"/>
    <xf numFmtId="0" fontId="6" fillId="0" borderId="1" xfId="0" applyFont="1" applyFill="1" applyBorder="1" applyProtection="1"/>
    <xf numFmtId="0" fontId="6" fillId="0" borderId="0" xfId="0" applyFont="1" applyBorder="1" applyProtection="1"/>
    <xf numFmtId="38" fontId="6" fillId="0" borderId="0" xfId="0" applyNumberFormat="1" applyFont="1" applyBorder="1" applyProtection="1"/>
    <xf numFmtId="0" fontId="6" fillId="0" borderId="4" xfId="0" applyFont="1" applyBorder="1" applyProtection="1"/>
    <xf numFmtId="0" fontId="2" fillId="0" borderId="0" xfId="0" applyFont="1" applyProtection="1"/>
    <xf numFmtId="10" fontId="2" fillId="0" borderId="0" xfId="17" applyNumberFormat="1" applyFont="1" applyBorder="1" applyProtection="1"/>
    <xf numFmtId="0" fontId="5" fillId="0" borderId="1" xfId="0" applyFont="1" applyBorder="1" applyProtection="1"/>
    <xf numFmtId="4" fontId="6" fillId="0" borderId="1" xfId="0" applyNumberFormat="1" applyFont="1" applyFill="1" applyBorder="1" applyProtection="1"/>
    <xf numFmtId="4" fontId="6" fillId="0" borderId="0" xfId="0" applyNumberFormat="1" applyFont="1" applyBorder="1" applyProtection="1"/>
    <xf numFmtId="4" fontId="6" fillId="0" borderId="4" xfId="0" applyNumberFormat="1" applyFont="1" applyBorder="1" applyProtection="1"/>
    <xf numFmtId="0" fontId="5" fillId="0" borderId="3" xfId="0" applyFont="1" applyBorder="1" applyProtection="1"/>
    <xf numFmtId="4" fontId="6" fillId="0" borderId="3" xfId="0" applyNumberFormat="1" applyFont="1" applyFill="1" applyBorder="1" applyProtection="1"/>
    <xf numFmtId="4" fontId="6" fillId="0" borderId="6" xfId="0" applyNumberFormat="1" applyFont="1" applyBorder="1" applyProtection="1"/>
    <xf numFmtId="4" fontId="6" fillId="0" borderId="8" xfId="0" applyNumberFormat="1" applyFont="1" applyBorder="1" applyProtection="1"/>
    <xf numFmtId="165" fontId="6" fillId="0" borderId="3" xfId="1" applyNumberFormat="1" applyFont="1" applyFill="1" applyBorder="1" applyProtection="1"/>
    <xf numFmtId="165" fontId="6" fillId="0" borderId="8" xfId="1" applyNumberFormat="1" applyFont="1" applyBorder="1" applyProtection="1"/>
    <xf numFmtId="165" fontId="6" fillId="0" borderId="3" xfId="1" applyNumberFormat="1" applyFont="1" applyBorder="1" applyProtection="1"/>
    <xf numFmtId="165" fontId="2" fillId="0" borderId="3" xfId="1" applyNumberFormat="1" applyFont="1" applyBorder="1" applyProtection="1"/>
    <xf numFmtId="4" fontId="5" fillId="0" borderId="1" xfId="0" applyNumberFormat="1" applyFont="1" applyFill="1" applyBorder="1" applyProtection="1"/>
    <xf numFmtId="4" fontId="5" fillId="0" borderId="0" xfId="0" applyNumberFormat="1" applyFont="1" applyBorder="1" applyProtection="1"/>
    <xf numFmtId="4" fontId="5" fillId="0" borderId="5" xfId="0" applyNumberFormat="1" applyFont="1" applyBorder="1" applyProtection="1"/>
    <xf numFmtId="165" fontId="5" fillId="0" borderId="1" xfId="1" applyNumberFormat="1" applyFont="1" applyFill="1" applyBorder="1" applyProtection="1"/>
    <xf numFmtId="165" fontId="5" fillId="0" borderId="4" xfId="1" applyNumberFormat="1" applyFont="1" applyBorder="1" applyProtection="1"/>
    <xf numFmtId="165" fontId="5" fillId="0" borderId="5" xfId="1" applyNumberFormat="1" applyFont="1" applyBorder="1" applyProtection="1"/>
    <xf numFmtId="10" fontId="6" fillId="0" borderId="1" xfId="0" applyNumberFormat="1" applyFont="1" applyFill="1" applyBorder="1" applyProtection="1"/>
    <xf numFmtId="10" fontId="6" fillId="0" borderId="0" xfId="0" applyNumberFormat="1" applyFont="1" applyBorder="1" applyProtection="1"/>
    <xf numFmtId="10" fontId="6" fillId="0" borderId="4" xfId="0" applyNumberFormat="1" applyFont="1" applyBorder="1" applyProtection="1"/>
    <xf numFmtId="166" fontId="6" fillId="0" borderId="1" xfId="2" applyNumberFormat="1" applyFont="1" applyFill="1" applyBorder="1" applyProtection="1"/>
    <xf numFmtId="166" fontId="6" fillId="0" borderId="4" xfId="2" applyNumberFormat="1" applyFont="1" applyBorder="1" applyProtection="1"/>
    <xf numFmtId="0" fontId="5" fillId="0" borderId="2" xfId="0" applyFont="1" applyBorder="1" applyProtection="1"/>
    <xf numFmtId="10" fontId="6" fillId="0" borderId="2" xfId="0" applyNumberFormat="1" applyFont="1" applyFill="1" applyBorder="1" applyProtection="1"/>
    <xf numFmtId="10" fontId="6" fillId="0" borderId="7" xfId="0" applyNumberFormat="1" applyFont="1" applyBorder="1" applyProtection="1"/>
    <xf numFmtId="10" fontId="6" fillId="0" borderId="9" xfId="0" applyNumberFormat="1" applyFont="1" applyBorder="1" applyProtection="1"/>
    <xf numFmtId="166" fontId="6" fillId="0" borderId="2" xfId="2" applyNumberFormat="1" applyFont="1" applyFill="1" applyBorder="1" applyProtection="1"/>
    <xf numFmtId="166" fontId="6" fillId="0" borderId="9" xfId="2" applyNumberFormat="1" applyFont="1" applyBorder="1" applyProtection="1"/>
    <xf numFmtId="165" fontId="6" fillId="0" borderId="6" xfId="16" applyNumberFormat="1" applyFont="1" applyBorder="1" applyProtection="1">
      <protection locked="0"/>
    </xf>
    <xf numFmtId="1" fontId="6" fillId="0" borderId="0" xfId="0" applyNumberFormat="1" applyFont="1"/>
    <xf numFmtId="165" fontId="0" fillId="0" borderId="0" xfId="1" applyNumberFormat="1" applyFont="1"/>
    <xf numFmtId="165" fontId="0" fillId="0" borderId="6" xfId="1" applyNumberFormat="1" applyFont="1" applyBorder="1"/>
    <xf numFmtId="0" fontId="0" fillId="0" borderId="6" xfId="0" applyBorder="1"/>
    <xf numFmtId="0" fontId="0" fillId="0" borderId="7" xfId="0" applyBorder="1"/>
    <xf numFmtId="0" fontId="0" fillId="0" borderId="11" xfId="0" applyBorder="1"/>
    <xf numFmtId="0" fontId="0" fillId="0" borderId="50" xfId="0" applyBorder="1"/>
    <xf numFmtId="0" fontId="0" fillId="0" borderId="0" xfId="0" applyBorder="1"/>
    <xf numFmtId="10" fontId="2" fillId="0" borderId="0" xfId="17" applyNumberFormat="1" applyFont="1" applyFill="1" applyBorder="1"/>
    <xf numFmtId="0" fontId="5" fillId="0" borderId="7" xfId="0" applyFont="1" applyBorder="1"/>
    <xf numFmtId="0" fontId="2" fillId="0" borderId="0" xfId="0" applyFont="1" applyAlignment="1">
      <alignment horizontal="center"/>
    </xf>
    <xf numFmtId="165" fontId="5" fillId="0" borderId="0" xfId="1" applyNumberFormat="1" applyFont="1" applyFill="1" applyBorder="1" applyAlignment="1">
      <alignment horizontal="center"/>
    </xf>
    <xf numFmtId="0" fontId="5" fillId="0" borderId="51" xfId="1" applyNumberFormat="1" applyFont="1" applyBorder="1" applyAlignment="1">
      <alignment horizontal="center"/>
    </xf>
    <xf numFmtId="9" fontId="32" fillId="0" borderId="7" xfId="2" applyFont="1" applyBorder="1"/>
    <xf numFmtId="167" fontId="6" fillId="0" borderId="0" xfId="1" applyNumberFormat="1" applyFont="1" applyProtection="1">
      <protection locked="0"/>
    </xf>
    <xf numFmtId="165" fontId="5" fillId="0" borderId="0" xfId="1" applyNumberFormat="1" applyFont="1" applyBorder="1" applyAlignment="1"/>
    <xf numFmtId="0" fontId="2" fillId="0" borderId="0" xfId="0" applyFont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5" fillId="0" borderId="33" xfId="0" applyFont="1" applyBorder="1"/>
    <xf numFmtId="0" fontId="5" fillId="0" borderId="32" xfId="1" applyNumberFormat="1" applyFont="1" applyBorder="1" applyAlignment="1">
      <alignment horizontal="center"/>
    </xf>
    <xf numFmtId="0" fontId="5" fillId="0" borderId="33" xfId="1" applyNumberFormat="1" applyFont="1" applyBorder="1" applyAlignment="1">
      <alignment horizontal="center"/>
    </xf>
    <xf numFmtId="0" fontId="5" fillId="0" borderId="34" xfId="1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1" applyNumberFormat="1" applyFont="1" applyAlignment="1">
      <alignment horizontal="center"/>
    </xf>
    <xf numFmtId="0" fontId="5" fillId="0" borderId="16" xfId="1" applyNumberFormat="1" applyFont="1" applyBorder="1" applyAlignment="1">
      <alignment horizontal="center"/>
    </xf>
    <xf numFmtId="0" fontId="5" fillId="0" borderId="17" xfId="1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32" xfId="0" applyNumberFormat="1" applyFont="1" applyBorder="1" applyAlignment="1">
      <alignment horizontal="center"/>
    </xf>
    <xf numFmtId="0" fontId="5" fillId="0" borderId="33" xfId="0" applyNumberFormat="1" applyFont="1" applyBorder="1" applyAlignment="1">
      <alignment horizontal="center"/>
    </xf>
    <xf numFmtId="0" fontId="5" fillId="0" borderId="34" xfId="0" applyNumberFormat="1" applyFont="1" applyBorder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0" xfId="0" applyFont="1" applyAlignment="1">
      <alignment wrapText="1"/>
    </xf>
    <xf numFmtId="0" fontId="5" fillId="0" borderId="1" xfId="0" applyFont="1" applyBorder="1" applyAlignment="1">
      <alignment horizontal="center"/>
    </xf>
    <xf numFmtId="0" fontId="5" fillId="0" borderId="18" xfId="1" applyNumberFormat="1" applyFont="1" applyBorder="1" applyAlignment="1">
      <alignment horizontal="center"/>
    </xf>
    <xf numFmtId="165" fontId="5" fillId="0" borderId="0" xfId="1" applyNumberFormat="1" applyFont="1" applyBorder="1" applyAlignment="1">
      <alignment horizontal="center"/>
    </xf>
    <xf numFmtId="165" fontId="5" fillId="0" borderId="4" xfId="1" applyNumberFormat="1" applyFont="1" applyBorder="1" applyAlignment="1">
      <alignment horizontal="center"/>
    </xf>
    <xf numFmtId="0" fontId="5" fillId="0" borderId="16" xfId="0" applyNumberFormat="1" applyFont="1" applyBorder="1" applyAlignment="1">
      <alignment horizontal="center"/>
    </xf>
    <xf numFmtId="0" fontId="5" fillId="0" borderId="17" xfId="0" applyNumberFormat="1" applyFont="1" applyBorder="1" applyAlignment="1">
      <alignment horizontal="center"/>
    </xf>
    <xf numFmtId="0" fontId="5" fillId="0" borderId="18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6" fillId="0" borderId="32" xfId="1" applyNumberFormat="1" applyFont="1" applyBorder="1" applyAlignment="1">
      <alignment horizontal="center"/>
    </xf>
    <xf numFmtId="0" fontId="0" fillId="0" borderId="33" xfId="0" applyNumberFormat="1" applyBorder="1" applyAlignment="1">
      <alignment horizontal="center"/>
    </xf>
    <xf numFmtId="0" fontId="0" fillId="0" borderId="34" xfId="0" applyNumberFormat="1" applyBorder="1" applyAlignment="1">
      <alignment horizontal="center"/>
    </xf>
    <xf numFmtId="0" fontId="5" fillId="0" borderId="51" xfId="1" applyNumberFormat="1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 applyAlignment="1"/>
    <xf numFmtId="0" fontId="6" fillId="0" borderId="0" xfId="0" applyFont="1" applyAlignment="1"/>
  </cellXfs>
  <cellStyles count="98">
    <cellStyle name="20% - Accent1" xfId="70" builtinId="30" customBuiltin="1"/>
    <cellStyle name="20% - Accent2" xfId="74" builtinId="34" customBuiltin="1"/>
    <cellStyle name="20% - Accent3" xfId="78" builtinId="38" customBuiltin="1"/>
    <cellStyle name="20% - Accent4" xfId="82" builtinId="42" customBuiltin="1"/>
    <cellStyle name="20% - Accent5" xfId="86" builtinId="46" customBuiltin="1"/>
    <cellStyle name="20% - Accent6" xfId="90" builtinId="50" customBuiltin="1"/>
    <cellStyle name="40% - Accent1" xfId="71" builtinId="31" customBuiltin="1"/>
    <cellStyle name="40% - Accent2" xfId="75" builtinId="35" customBuiltin="1"/>
    <cellStyle name="40% - Accent3" xfId="79" builtinId="39" customBuiltin="1"/>
    <cellStyle name="40% - Accent4" xfId="83" builtinId="43" customBuiltin="1"/>
    <cellStyle name="40% - Accent5" xfId="87" builtinId="47" customBuiltin="1"/>
    <cellStyle name="40% - Accent6" xfId="91" builtinId="51" customBuiltin="1"/>
    <cellStyle name="60% - Accent1" xfId="72" builtinId="32" customBuiltin="1"/>
    <cellStyle name="60% - Accent2" xfId="76" builtinId="36" customBuiltin="1"/>
    <cellStyle name="60% - Accent3" xfId="80" builtinId="40" customBuiltin="1"/>
    <cellStyle name="60% - Accent4" xfId="84" builtinId="44" customBuiltin="1"/>
    <cellStyle name="60% - Accent5" xfId="88" builtinId="48" customBuiltin="1"/>
    <cellStyle name="60% - Accent6" xfId="92" builtinId="52" customBuiltin="1"/>
    <cellStyle name="Accent1" xfId="69" builtinId="29" customBuiltin="1"/>
    <cellStyle name="Accent2" xfId="73" builtinId="33" customBuiltin="1"/>
    <cellStyle name="Accent3" xfId="77" builtinId="37" customBuiltin="1"/>
    <cellStyle name="Accent4" xfId="81" builtinId="41" customBuiltin="1"/>
    <cellStyle name="Accent5" xfId="85" builtinId="45" customBuiltin="1"/>
    <cellStyle name="Accent6" xfId="89" builtinId="49" customBuiltin="1"/>
    <cellStyle name="Bad" xfId="59" builtinId="27" customBuiltin="1"/>
    <cellStyle name="Calculation" xfId="63" builtinId="22" customBuiltin="1"/>
    <cellStyle name="Check Cell" xfId="65" builtinId="23" customBuiltin="1"/>
    <cellStyle name="Comma" xfId="1" builtinId="3"/>
    <cellStyle name="Comma 10" xfId="16"/>
    <cellStyle name="Comma 11" xfId="18"/>
    <cellStyle name="Comma 12" xfId="20"/>
    <cellStyle name="Comma 13" xfId="22"/>
    <cellStyle name="Comma 14" xfId="24"/>
    <cellStyle name="Comma 15" xfId="25"/>
    <cellStyle name="Comma 16" xfId="27"/>
    <cellStyle name="Comma 17" xfId="29"/>
    <cellStyle name="Comma 18" xfId="31"/>
    <cellStyle name="Comma 19" xfId="33"/>
    <cellStyle name="Comma 2" xfId="51"/>
    <cellStyle name="Comma 2 2" xfId="3"/>
    <cellStyle name="Comma 20" xfId="35"/>
    <cellStyle name="Comma 22" xfId="36"/>
    <cellStyle name="Comma 23" xfId="37"/>
    <cellStyle name="Comma 24" xfId="38"/>
    <cellStyle name="Comma 25" xfId="39"/>
    <cellStyle name="Comma 26" xfId="40"/>
    <cellStyle name="Comma 27" xfId="41"/>
    <cellStyle name="Comma 28" xfId="42"/>
    <cellStyle name="Comma 29" xfId="43"/>
    <cellStyle name="Comma 3" xfId="5"/>
    <cellStyle name="Comma 30" xfId="44"/>
    <cellStyle name="Comma 31" xfId="45"/>
    <cellStyle name="Comma 4" xfId="7"/>
    <cellStyle name="Comma 5" xfId="95"/>
    <cellStyle name="Comma 6" xfId="9"/>
    <cellStyle name="Comma 7" xfId="11"/>
    <cellStyle name="Comma 8" xfId="13"/>
    <cellStyle name="Comma 9" xfId="14"/>
    <cellStyle name="Explanatory Text" xfId="67" builtinId="53" customBuiltin="1"/>
    <cellStyle name="Good" xfId="58" builtinId="26" customBuiltin="1"/>
    <cellStyle name="Heading 1" xfId="54" builtinId="16" customBuiltin="1"/>
    <cellStyle name="Heading 2" xfId="55" builtinId="17" customBuiltin="1"/>
    <cellStyle name="Heading 3" xfId="56" builtinId="18" customBuiltin="1"/>
    <cellStyle name="Heading 4" xfId="57" builtinId="19" customBuiltin="1"/>
    <cellStyle name="Input" xfId="61" builtinId="20" customBuiltin="1"/>
    <cellStyle name="Linked Cell" xfId="64" builtinId="24" customBuiltin="1"/>
    <cellStyle name="Neutral" xfId="60" builtinId="28" customBuiltin="1"/>
    <cellStyle name="Normal" xfId="0" builtinId="0"/>
    <cellStyle name="Normal 2" xfId="93"/>
    <cellStyle name="Normal 3" xfId="97"/>
    <cellStyle name="Note 2" xfId="94"/>
    <cellStyle name="Output" xfId="62" builtinId="21" customBuiltin="1"/>
    <cellStyle name="Percent" xfId="2" builtinId="5"/>
    <cellStyle name="Percent 10" xfId="17"/>
    <cellStyle name="Percent 11" xfId="19"/>
    <cellStyle name="Percent 12" xfId="21"/>
    <cellStyle name="Percent 13" xfId="23"/>
    <cellStyle name="Percent 15" xfId="26"/>
    <cellStyle name="Percent 16" xfId="28"/>
    <cellStyle name="Percent 17" xfId="30"/>
    <cellStyle name="Percent 18" xfId="32"/>
    <cellStyle name="Percent 19" xfId="34"/>
    <cellStyle name="Percent 2" xfId="52"/>
    <cellStyle name="Percent 2 2" xfId="4"/>
    <cellStyle name="Percent 3" xfId="6"/>
    <cellStyle name="Percent 4" xfId="8"/>
    <cellStyle name="Percent 5" xfId="96"/>
    <cellStyle name="Percent 50" xfId="46"/>
    <cellStyle name="Percent 53" xfId="47"/>
    <cellStyle name="Percent 55" xfId="48"/>
    <cellStyle name="Percent 57" xfId="49"/>
    <cellStyle name="Percent 59" xfId="50"/>
    <cellStyle name="Percent 6" xfId="10"/>
    <cellStyle name="Percent 7" xfId="12"/>
    <cellStyle name="Percent 9" xfId="15"/>
    <cellStyle name="Title" xfId="53" builtinId="15" customBuiltin="1"/>
    <cellStyle name="Total" xfId="68" builtinId="25" customBuiltin="1"/>
    <cellStyle name="Warning Text" xfId="66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1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Breakdown of all customers by REP status</a:t>
            </a:r>
          </a:p>
        </c:rich>
      </c:tx>
      <c:layout>
        <c:manualLayout>
          <c:xMode val="edge"/>
          <c:yMode val="edge"/>
          <c:x val="0.18269250959014741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076935356197053"/>
          <c:y val="0.16816866134296798"/>
          <c:w val="0.75192378298131668"/>
          <c:h val="0.513515019457991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Chart'!$B$5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FF"/>
                </a:gs>
                <a:gs pos="100000">
                  <a:srgbClr val="CCFFFF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Chart'!$C$5:$I$5</c:f>
              <c:numCache>
                <c:formatCode>0.00%</c:formatCode>
                <c:ptCount val="7"/>
                <c:pt idx="0">
                  <c:v>0.3678118393781401</c:v>
                </c:pt>
                <c:pt idx="1">
                  <c:v>0.34776107759517372</c:v>
                </c:pt>
                <c:pt idx="2">
                  <c:v>0.21726334741361403</c:v>
                </c:pt>
                <c:pt idx="3">
                  <c:v>0.23253765349511862</c:v>
                </c:pt>
                <c:pt idx="4">
                  <c:v>0.16698726305794842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Chart'!$B$6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7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Chart'!$C$6:$I$6</c:f>
              <c:numCache>
                <c:formatCode>0.00%</c:formatCode>
                <c:ptCount val="7"/>
                <c:pt idx="0">
                  <c:v>0.6321881606218599</c:v>
                </c:pt>
                <c:pt idx="1">
                  <c:v>0.65223892240482628</c:v>
                </c:pt>
                <c:pt idx="2">
                  <c:v>0.78273665258638603</c:v>
                </c:pt>
                <c:pt idx="3">
                  <c:v>0.76746234650488143</c:v>
                </c:pt>
                <c:pt idx="4">
                  <c:v>0.83301273694205158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8094160"/>
        <c:axId val="338097296"/>
        <c:axId val="0"/>
      </c:bar3DChart>
      <c:catAx>
        <c:axId val="33809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6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9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09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94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5576963456491012"/>
          <c:y val="0.90690942911415362"/>
          <c:w val="0.28846174035937888"/>
          <c:h val="7.20723873479785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</a:t>
            </a:r>
            <a:r>
              <a:rPr lang="en-US" baseline="0"/>
              <a:t> of</a:t>
            </a:r>
            <a:r>
              <a:rPr lang="en-US"/>
              <a:t> Customers Served by Non-Affiliated REPs</a:t>
            </a:r>
            <a:r>
              <a:rPr lang="en-US" baseline="0"/>
              <a:t> in ERCOT by Class</a:t>
            </a:r>
            <a:endParaRPr lang="en-US"/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180548179277"/>
          <c:y val="0.19173545847091694"/>
          <c:w val="0.84297469231302102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'Number of Res Cust w a C-REP'!$A$5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</c:marker>
          <c:cat>
            <c:numRef>
              <c:f>'Number of Res Cust w a C-REP'!$B$4:$FT$4</c:f>
              <c:numCache>
                <c:formatCode>mmm\-yy</c:formatCode>
                <c:ptCount val="17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'Number of Res Cust w a C-REP'!$B$5:$FT$5</c:f>
              <c:numCache>
                <c:formatCode>0.00%</c:formatCode>
                <c:ptCount val="175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0.65658399383811572</c:v>
                </c:pt>
                <c:pt idx="166">
                  <c:v>0.65780789950974361</c:v>
                </c:pt>
                <c:pt idx="167">
                  <c:v>0.65863801063537109</c:v>
                </c:pt>
                <c:pt idx="168">
                  <c:v>0.65980737607096795</c:v>
                </c:pt>
                <c:pt idx="169">
                  <c:v>0.66113620548420138</c:v>
                </c:pt>
                <c:pt idx="170">
                  <c:v>0.66272674372236318</c:v>
                </c:pt>
                <c:pt idx="171">
                  <c:v>0.6645511863825172</c:v>
                </c:pt>
                <c:pt idx="172">
                  <c:v>0.66592128450761656</c:v>
                </c:pt>
                <c:pt idx="173">
                  <c:v>0.66695606128379625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'Number of Res Cust w a C-REP'!$A$6</c:f>
              <c:strCache>
                <c:ptCount val="1"/>
                <c:pt idx="0">
                  <c:v>Commercial (Secondary Voltage</c:v>
                </c:pt>
              </c:strCache>
            </c:strRef>
          </c:tx>
          <c:spPr>
            <a:ln w="1905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</c:marker>
          <c:cat>
            <c:numRef>
              <c:f>'Number of Res Cust w a C-REP'!$B$4:$FT$4</c:f>
              <c:numCache>
                <c:formatCode>mmm\-yy</c:formatCode>
                <c:ptCount val="17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'Number of Res Cust w a C-REP'!$B$6:$FT$6</c:f>
              <c:numCache>
                <c:formatCode>0.00%</c:formatCode>
                <c:ptCount val="175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  <c:pt idx="168">
                  <c:v>0.73155905068295801</c:v>
                </c:pt>
                <c:pt idx="169">
                  <c:v>0.73943204269110918</c:v>
                </c:pt>
                <c:pt idx="170">
                  <c:v>0.74183402017385613</c:v>
                </c:pt>
                <c:pt idx="171">
                  <c:v>0.74188569915687463</c:v>
                </c:pt>
                <c:pt idx="172">
                  <c:v>0.74378859486514537</c:v>
                </c:pt>
                <c:pt idx="173">
                  <c:v>0.7443153524304793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'Number of Res Cust w a C-REP'!$A$7</c:f>
              <c:strCache>
                <c:ptCount val="1"/>
                <c:pt idx="0">
                  <c:v>Industrial (Primary Voltage)</c:v>
                </c:pt>
              </c:strCache>
            </c:strRef>
          </c:tx>
          <c:marker>
            <c:spPr>
              <a:solidFill>
                <a:srgbClr val="FFFF00"/>
              </a:solidFill>
            </c:spPr>
          </c:marker>
          <c:cat>
            <c:numRef>
              <c:f>'Number of Res Cust w a C-REP'!$B$4:$FT$4</c:f>
              <c:numCache>
                <c:formatCode>mmm\-yy</c:formatCode>
                <c:ptCount val="17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'Number of Res Cust w a C-REP'!$B$7:$FT$7</c:f>
              <c:numCache>
                <c:formatCode>0.00%</c:formatCode>
                <c:ptCount val="175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  <c:pt idx="168">
                  <c:v>0.80177653108929403</c:v>
                </c:pt>
                <c:pt idx="169">
                  <c:v>0.80624019200590791</c:v>
                </c:pt>
                <c:pt idx="170">
                  <c:v>0.80773490862100794</c:v>
                </c:pt>
                <c:pt idx="171">
                  <c:v>0.80871580899397311</c:v>
                </c:pt>
                <c:pt idx="172">
                  <c:v>0.81098961683359372</c:v>
                </c:pt>
                <c:pt idx="173">
                  <c:v>0.81588513267902585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'Number of Res Cust w a C-REP'!$A$8</c:f>
              <c:strCache>
                <c:ptCount val="1"/>
                <c:pt idx="0">
                  <c:v>Lighting</c:v>
                </c:pt>
              </c:strCache>
            </c:strRef>
          </c:tx>
          <c:spPr>
            <a:ln w="19050">
              <a:solidFill>
                <a:srgbClr val="00B050"/>
              </a:solidFill>
              <a:prstDash val="solid"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'Number of Res Cust w a C-REP'!$B$4:$FT$4</c:f>
              <c:numCache>
                <c:formatCode>mmm\-yy</c:formatCode>
                <c:ptCount val="175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'Number of Res Cust w a C-REP'!$B$8:$FT$8</c:f>
              <c:numCache>
                <c:formatCode>0.00%</c:formatCode>
                <c:ptCount val="175"/>
                <c:pt idx="0">
                  <c:v>9.4561070691488256E-3</c:v>
                </c:pt>
                <c:pt idx="1">
                  <c:v>1.2362260385047195E-2</c:v>
                </c:pt>
                <c:pt idx="2">
                  <c:v>1.5025488658301158E-2</c:v>
                </c:pt>
                <c:pt idx="3">
                  <c:v>1.7639415595207517E-2</c:v>
                </c:pt>
                <c:pt idx="4">
                  <c:v>1.9880359227523483E-2</c:v>
                </c:pt>
                <c:pt idx="5">
                  <c:v>2.2769610550897337E-2</c:v>
                </c:pt>
                <c:pt idx="6">
                  <c:v>2.563092387604134E-2</c:v>
                </c:pt>
                <c:pt idx="7">
                  <c:v>3.1277004137129395E-2</c:v>
                </c:pt>
                <c:pt idx="8">
                  <c:v>3.4519013084685926E-2</c:v>
                </c:pt>
                <c:pt idx="9">
                  <c:v>2.4687023193161434E-2</c:v>
                </c:pt>
                <c:pt idx="10">
                  <c:v>2.6249207335430024E-2</c:v>
                </c:pt>
                <c:pt idx="11">
                  <c:v>2.8342761635381845E-2</c:v>
                </c:pt>
                <c:pt idx="12">
                  <c:v>4.5100436815553098E-2</c:v>
                </c:pt>
                <c:pt idx="13">
                  <c:v>4.8234312053133957E-2</c:v>
                </c:pt>
                <c:pt idx="14">
                  <c:v>5.3550819723965665E-2</c:v>
                </c:pt>
                <c:pt idx="15">
                  <c:v>5.1338311497655081E-2</c:v>
                </c:pt>
                <c:pt idx="16">
                  <c:v>5.834754844071207E-2</c:v>
                </c:pt>
                <c:pt idx="17">
                  <c:v>6.1749941956815872E-2</c:v>
                </c:pt>
                <c:pt idx="18">
                  <c:v>6.6309869375907118E-2</c:v>
                </c:pt>
                <c:pt idx="19">
                  <c:v>7.0514007778967797E-2</c:v>
                </c:pt>
                <c:pt idx="20">
                  <c:v>7.4234817813765189E-2</c:v>
                </c:pt>
                <c:pt idx="21">
                  <c:v>7.7596819596803909E-2</c:v>
                </c:pt>
                <c:pt idx="22">
                  <c:v>7.5816414292788445E-2</c:v>
                </c:pt>
                <c:pt idx="23">
                  <c:v>8.1680299231369977E-2</c:v>
                </c:pt>
                <c:pt idx="24">
                  <c:v>7.9217901296277787E-2</c:v>
                </c:pt>
                <c:pt idx="25">
                  <c:v>8.1029141685948158E-2</c:v>
                </c:pt>
                <c:pt idx="26">
                  <c:v>8.740751575431796E-2</c:v>
                </c:pt>
                <c:pt idx="27">
                  <c:v>8.5908890854474063E-2</c:v>
                </c:pt>
                <c:pt idx="28">
                  <c:v>8.6389310125052202E-2</c:v>
                </c:pt>
                <c:pt idx="29">
                  <c:v>9.235979662340528E-2</c:v>
                </c:pt>
                <c:pt idx="30">
                  <c:v>9.4374245402677109E-2</c:v>
                </c:pt>
                <c:pt idx="31">
                  <c:v>9.9676948952772598E-2</c:v>
                </c:pt>
                <c:pt idx="32">
                  <c:v>0.10259153012106773</c:v>
                </c:pt>
                <c:pt idx="33">
                  <c:v>0.10748675010020933</c:v>
                </c:pt>
                <c:pt idx="34">
                  <c:v>0.109579914760023</c:v>
                </c:pt>
                <c:pt idx="35">
                  <c:v>0.1122891389005108</c:v>
                </c:pt>
                <c:pt idx="36">
                  <c:v>0.12322461505037613</c:v>
                </c:pt>
                <c:pt idx="37">
                  <c:v>0.12353221911930784</c:v>
                </c:pt>
                <c:pt idx="38">
                  <c:v>0.12971604515908314</c:v>
                </c:pt>
                <c:pt idx="39">
                  <c:v>0.13178976813221316</c:v>
                </c:pt>
                <c:pt idx="40">
                  <c:v>0.13682809979850771</c:v>
                </c:pt>
                <c:pt idx="41">
                  <c:v>0.1434053888404328</c:v>
                </c:pt>
                <c:pt idx="42">
                  <c:v>0.14403298176096965</c:v>
                </c:pt>
                <c:pt idx="43">
                  <c:v>0.15299989439416689</c:v>
                </c:pt>
                <c:pt idx="44">
                  <c:v>0.15354656306496903</c:v>
                </c:pt>
                <c:pt idx="45">
                  <c:v>0.1567987012359518</c:v>
                </c:pt>
                <c:pt idx="46">
                  <c:v>0.15906384786786756</c:v>
                </c:pt>
                <c:pt idx="47">
                  <c:v>0.16141165291669346</c:v>
                </c:pt>
                <c:pt idx="48">
                  <c:v>0.16434953853388984</c:v>
                </c:pt>
                <c:pt idx="49">
                  <c:v>0.16513048362184823</c:v>
                </c:pt>
                <c:pt idx="50">
                  <c:v>0.17457101548529469</c:v>
                </c:pt>
                <c:pt idx="51">
                  <c:v>0.17084598125907352</c:v>
                </c:pt>
                <c:pt idx="52">
                  <c:v>0.18117580277361833</c:v>
                </c:pt>
                <c:pt idx="53">
                  <c:v>0.18440606908553375</c:v>
                </c:pt>
                <c:pt idx="54">
                  <c:v>0.18469707269843233</c:v>
                </c:pt>
                <c:pt idx="55">
                  <c:v>0.19329790171176145</c:v>
                </c:pt>
                <c:pt idx="56">
                  <c:v>0.19216555031405561</c:v>
                </c:pt>
                <c:pt idx="57">
                  <c:v>0.2001598648231622</c:v>
                </c:pt>
                <c:pt idx="58">
                  <c:v>0.20046882819290437</c:v>
                </c:pt>
                <c:pt idx="59">
                  <c:v>0.2007150153217569</c:v>
                </c:pt>
                <c:pt idx="60">
                  <c:v>0.21408985555233642</c:v>
                </c:pt>
                <c:pt idx="61">
                  <c:v>0.21565368408155003</c:v>
                </c:pt>
                <c:pt idx="62">
                  <c:v>0.22320071478453765</c:v>
                </c:pt>
                <c:pt idx="63">
                  <c:v>0.22111908516504147</c:v>
                </c:pt>
                <c:pt idx="64">
                  <c:v>0.2296302042927334</c:v>
                </c:pt>
                <c:pt idx="65">
                  <c:v>0.23050222309367729</c:v>
                </c:pt>
                <c:pt idx="66">
                  <c:v>0.2374912635246057</c:v>
                </c:pt>
                <c:pt idx="67">
                  <c:v>0.24540849474690599</c:v>
                </c:pt>
                <c:pt idx="68">
                  <c:v>0.24138637294615631</c:v>
                </c:pt>
                <c:pt idx="69">
                  <c:v>0.2496501647255859</c:v>
                </c:pt>
                <c:pt idx="70">
                  <c:v>0.25217766183233109</c:v>
                </c:pt>
                <c:pt idx="71">
                  <c:v>0.25524944567627494</c:v>
                </c:pt>
                <c:pt idx="72">
                  <c:v>0.25859749385694747</c:v>
                </c:pt>
                <c:pt idx="73">
                  <c:v>0.26014154629278202</c:v>
                </c:pt>
                <c:pt idx="74">
                  <c:v>0.26209124347081253</c:v>
                </c:pt>
                <c:pt idx="75">
                  <c:v>0.26449537730924033</c:v>
                </c:pt>
                <c:pt idx="76">
                  <c:v>0.26727067453786657</c:v>
                </c:pt>
                <c:pt idx="77">
                  <c:v>0.27153749922165554</c:v>
                </c:pt>
                <c:pt idx="78">
                  <c:v>0.27512883659415333</c:v>
                </c:pt>
                <c:pt idx="79">
                  <c:v>0.27802914022588254</c:v>
                </c:pt>
                <c:pt idx="80">
                  <c:v>0.28060921889845392</c:v>
                </c:pt>
                <c:pt idx="81">
                  <c:v>0.2837865183480669</c:v>
                </c:pt>
                <c:pt idx="82">
                  <c:v>0.2880494027600603</c:v>
                </c:pt>
                <c:pt idx="83">
                  <c:v>0.29214220580462674</c:v>
                </c:pt>
                <c:pt idx="84">
                  <c:v>0.29195235106776074</c:v>
                </c:pt>
                <c:pt idx="85">
                  <c:v>0.29569272072156938</c:v>
                </c:pt>
                <c:pt idx="86">
                  <c:v>0.29782736138992022</c:v>
                </c:pt>
                <c:pt idx="87">
                  <c:v>0.3002181653895768</c:v>
                </c:pt>
                <c:pt idx="88">
                  <c:v>0.30424121658304348</c:v>
                </c:pt>
                <c:pt idx="89">
                  <c:v>0.30741719235815318</c:v>
                </c:pt>
                <c:pt idx="90">
                  <c:v>0.31098678557049197</c:v>
                </c:pt>
                <c:pt idx="91">
                  <c:v>0.31490186401198939</c:v>
                </c:pt>
                <c:pt idx="92">
                  <c:v>0.32117829793382457</c:v>
                </c:pt>
                <c:pt idx="93">
                  <c:v>0.32660668147135175</c:v>
                </c:pt>
                <c:pt idx="94">
                  <c:v>0.3307089965103413</c:v>
                </c:pt>
                <c:pt idx="95">
                  <c:v>0.33507521387325534</c:v>
                </c:pt>
                <c:pt idx="96">
                  <c:v>0.33136272033876685</c:v>
                </c:pt>
                <c:pt idx="97">
                  <c:v>0.33958344890499703</c:v>
                </c:pt>
                <c:pt idx="98">
                  <c:v>0.34351395527378092</c:v>
                </c:pt>
                <c:pt idx="99">
                  <c:v>0.34651564480453312</c:v>
                </c:pt>
                <c:pt idx="100">
                  <c:v>0.34934808228317732</c:v>
                </c:pt>
                <c:pt idx="101">
                  <c:v>0.35296987284928921</c:v>
                </c:pt>
                <c:pt idx="102">
                  <c:v>0.35147581634847735</c:v>
                </c:pt>
                <c:pt idx="103">
                  <c:v>0.35601895856346494</c:v>
                </c:pt>
                <c:pt idx="104">
                  <c:v>0.36175914747839938</c:v>
                </c:pt>
                <c:pt idx="105">
                  <c:v>0.36254840983002412</c:v>
                </c:pt>
                <c:pt idx="106">
                  <c:v>0.3681267776273251</c:v>
                </c:pt>
                <c:pt idx="107">
                  <c:v>0.37509894038044173</c:v>
                </c:pt>
                <c:pt idx="108">
                  <c:v>0.37328555377527206</c:v>
                </c:pt>
                <c:pt idx="109">
                  <c:v>0.38172063712089127</c:v>
                </c:pt>
                <c:pt idx="110">
                  <c:v>0.38439295190499495</c:v>
                </c:pt>
                <c:pt idx="111">
                  <c:v>0.3848878782302374</c:v>
                </c:pt>
                <c:pt idx="112">
                  <c:v>0.38561270872919423</c:v>
                </c:pt>
                <c:pt idx="113">
                  <c:v>0.39403064330212018</c:v>
                </c:pt>
                <c:pt idx="114">
                  <c:v>0.39372932927635929</c:v>
                </c:pt>
                <c:pt idx="115">
                  <c:v>0.39973703223958706</c:v>
                </c:pt>
                <c:pt idx="116">
                  <c:v>0.40061357450404944</c:v>
                </c:pt>
                <c:pt idx="117">
                  <c:v>0.40402268178785855</c:v>
                </c:pt>
                <c:pt idx="118">
                  <c:v>0.41103537854982714</c:v>
                </c:pt>
                <c:pt idx="119">
                  <c:v>0.40676909587840016</c:v>
                </c:pt>
                <c:pt idx="120">
                  <c:v>0.40968063529169102</c:v>
                </c:pt>
                <c:pt idx="121">
                  <c:v>0.41625264235031167</c:v>
                </c:pt>
                <c:pt idx="122">
                  <c:v>0.42083919611330872</c:v>
                </c:pt>
                <c:pt idx="123">
                  <c:v>0.42350063646724029</c:v>
                </c:pt>
                <c:pt idx="124">
                  <c:v>0.42835618904126027</c:v>
                </c:pt>
                <c:pt idx="125">
                  <c:v>0.43921419569087961</c:v>
                </c:pt>
                <c:pt idx="126">
                  <c:v>0.44893541684760463</c:v>
                </c:pt>
                <c:pt idx="127">
                  <c:v>0.45091074803307912</c:v>
                </c:pt>
                <c:pt idx="128">
                  <c:v>0.45331031981625003</c:v>
                </c:pt>
                <c:pt idx="129">
                  <c:v>0.45266378324229561</c:v>
                </c:pt>
                <c:pt idx="130">
                  <c:v>0.45494742116560472</c:v>
                </c:pt>
                <c:pt idx="131">
                  <c:v>0.45673980128183389</c:v>
                </c:pt>
                <c:pt idx="132">
                  <c:v>0.4617777867762683</c:v>
                </c:pt>
                <c:pt idx="133">
                  <c:v>0.46431403379170594</c:v>
                </c:pt>
                <c:pt idx="134">
                  <c:v>0.46698209267279417</c:v>
                </c:pt>
                <c:pt idx="135">
                  <c:v>0.47021001835111809</c:v>
                </c:pt>
                <c:pt idx="136">
                  <c:v>0.47191806940131831</c:v>
                </c:pt>
                <c:pt idx="137">
                  <c:v>0.47432271814418625</c:v>
                </c:pt>
                <c:pt idx="138">
                  <c:v>0.47563547715569188</c:v>
                </c:pt>
                <c:pt idx="139">
                  <c:v>0.4765547742006373</c:v>
                </c:pt>
                <c:pt idx="140">
                  <c:v>0.47841979183875766</c:v>
                </c:pt>
                <c:pt idx="141">
                  <c:v>0.48171686912548783</c:v>
                </c:pt>
                <c:pt idx="142">
                  <c:v>0.48325217139747767</c:v>
                </c:pt>
                <c:pt idx="143">
                  <c:v>0.4826799606173644</c:v>
                </c:pt>
                <c:pt idx="144">
                  <c:v>0.48533063228456674</c:v>
                </c:pt>
                <c:pt idx="145">
                  <c:v>0.4834982562590377</c:v>
                </c:pt>
                <c:pt idx="146">
                  <c:v>0.48605891838517878</c:v>
                </c:pt>
                <c:pt idx="147">
                  <c:v>0.49112954423368055</c:v>
                </c:pt>
                <c:pt idx="148">
                  <c:v>0.4925877327675256</c:v>
                </c:pt>
                <c:pt idx="149">
                  <c:v>0.49324102011242799</c:v>
                </c:pt>
                <c:pt idx="150">
                  <c:v>0.49478307850993214</c:v>
                </c:pt>
                <c:pt idx="151">
                  <c:v>0.49615495563951567</c:v>
                </c:pt>
                <c:pt idx="152">
                  <c:v>0.49768626289132489</c:v>
                </c:pt>
                <c:pt idx="153">
                  <c:v>0.49937153993898997</c:v>
                </c:pt>
                <c:pt idx="154">
                  <c:v>0.50047744007242945</c:v>
                </c:pt>
                <c:pt idx="155">
                  <c:v>0.50181810449316355</c:v>
                </c:pt>
                <c:pt idx="156">
                  <c:v>0.50281836123297985</c:v>
                </c:pt>
                <c:pt idx="157">
                  <c:v>0.5043920480813685</c:v>
                </c:pt>
                <c:pt idx="158">
                  <c:v>0.50589628530458786</c:v>
                </c:pt>
                <c:pt idx="159">
                  <c:v>0.50824927002348774</c:v>
                </c:pt>
                <c:pt idx="160">
                  <c:v>0.51143119082066779</c:v>
                </c:pt>
                <c:pt idx="161">
                  <c:v>0.51878905345984727</c:v>
                </c:pt>
                <c:pt idx="162">
                  <c:v>0.52191480718451677</c:v>
                </c:pt>
                <c:pt idx="163">
                  <c:v>0.5230533085025898</c:v>
                </c:pt>
                <c:pt idx="164">
                  <c:v>0.52555074428844273</c:v>
                </c:pt>
                <c:pt idx="165">
                  <c:v>0.53602299294339706</c:v>
                </c:pt>
                <c:pt idx="166">
                  <c:v>0.53838883598376086</c:v>
                </c:pt>
                <c:pt idx="167">
                  <c:v>0.54139448359746722</c:v>
                </c:pt>
                <c:pt idx="168">
                  <c:v>0.54305997306513076</c:v>
                </c:pt>
                <c:pt idx="169">
                  <c:v>0.54519824673414774</c:v>
                </c:pt>
                <c:pt idx="170">
                  <c:v>0.54669806917647401</c:v>
                </c:pt>
                <c:pt idx="171">
                  <c:v>0.54768027313784384</c:v>
                </c:pt>
                <c:pt idx="172">
                  <c:v>0.55033156403285433</c:v>
                </c:pt>
                <c:pt idx="173">
                  <c:v>0.55196972427464408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618664"/>
        <c:axId val="372619056"/>
      </c:lineChart>
      <c:dateAx>
        <c:axId val="372618664"/>
        <c:scaling>
          <c:orientation val="minMax"/>
          <c:max val="42705"/>
          <c:min val="3725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19056"/>
        <c:crosses val="autoZero"/>
        <c:auto val="1"/>
        <c:lblOffset val="0"/>
        <c:baseTimeUnit val="months"/>
        <c:majorUnit val="6"/>
        <c:majorTimeUnit val="months"/>
      </c:dateAx>
      <c:valAx>
        <c:axId val="372619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18664"/>
        <c:crosses val="autoZero"/>
        <c:crossBetween val="between"/>
      </c:valAx>
      <c:spPr>
        <a:solidFill>
          <a:srgbClr val="4F81BD">
            <a:lumMod val="20000"/>
            <a:lumOff val="80000"/>
            <a:alpha val="64000"/>
          </a:srgbClr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2500884197991"/>
          <c:y val="0.88624560818786569"/>
          <c:w val="0.72531366556418964"/>
          <c:h val="0.10883361801996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 of Energy sold by Affiliate Status of REP</a:t>
            </a:r>
          </a:p>
        </c:rich>
      </c:tx>
      <c:layout>
        <c:manualLayout>
          <c:xMode val="edge"/>
          <c:yMode val="edge"/>
          <c:x val="0.14028795860949161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230226567968212"/>
          <c:y val="0.1614730878186969"/>
          <c:w val="0.77338197415093002"/>
          <c:h val="0.515580736543909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Chart'!$B$7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CC"/>
                </a:gs>
                <a:gs pos="100000">
                  <a:srgbClr val="CCFFCC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339966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Chart'!$C$7:$I$7</c:f>
              <c:numCache>
                <c:formatCode>0.00%</c:formatCode>
                <c:ptCount val="7"/>
                <c:pt idx="0">
                  <c:v>0.3623817878862885</c:v>
                </c:pt>
                <c:pt idx="1">
                  <c:v>0.33320193901970524</c:v>
                </c:pt>
                <c:pt idx="2">
                  <c:v>0.19725189490104256</c:v>
                </c:pt>
                <c:pt idx="3">
                  <c:v>0.20134916537601102</c:v>
                </c:pt>
                <c:pt idx="4">
                  <c:v>0.14223728126309088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Chart'!$B$8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FFFF99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Chart'!$C$8:$I$8</c:f>
              <c:numCache>
                <c:formatCode>0.00%</c:formatCode>
                <c:ptCount val="7"/>
                <c:pt idx="0">
                  <c:v>0.6376182121137115</c:v>
                </c:pt>
                <c:pt idx="1">
                  <c:v>0.66679806098029459</c:v>
                </c:pt>
                <c:pt idx="2">
                  <c:v>0.80274810509895744</c:v>
                </c:pt>
                <c:pt idx="3">
                  <c:v>0.798650834623989</c:v>
                </c:pt>
                <c:pt idx="4">
                  <c:v>0.85776271873690912</c:v>
                </c:pt>
                <c:pt idx="5" formatCode="0%">
                  <c:v>1</c:v>
                </c:pt>
                <c:pt idx="6" formatCode="0%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38098080"/>
        <c:axId val="338098472"/>
        <c:axId val="0"/>
      </c:bar3DChart>
      <c:catAx>
        <c:axId val="33809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98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8098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980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510829131970529"/>
          <c:y val="0.91218130311614731"/>
          <c:w val="0.26978436148718882"/>
          <c:h val="6.7988668555240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Primary Voltage Customers not with Affiliate</a:t>
            </a:r>
          </a:p>
        </c:rich>
      </c:tx>
      <c:layout>
        <c:manualLayout>
          <c:xMode val="edge"/>
          <c:yMode val="edge"/>
          <c:x val="0.12014806836760952"/>
          <c:y val="3.0660377358490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7757929613417"/>
          <c:y val="0.17924548943918095"/>
          <c:w val="0.8316727010242535"/>
          <c:h val="0.59434030708780206"/>
        </c:manualLayout>
      </c:layout>
      <c:lineChart>
        <c:grouping val="standard"/>
        <c:varyColors val="0"/>
        <c:ser>
          <c:idx val="0"/>
          <c:order val="0"/>
          <c:tx>
            <c:strRef>
              <c:f>'Prim&amp;Trans'!$A$5</c:f>
              <c:strCache>
                <c:ptCount val="1"/>
                <c:pt idx="0">
                  <c:v># of Customers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'Prim&amp;Trans'!$B$4:$FS$4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'Prim&amp;Trans'!$B$5:$FS$5</c:f>
              <c:numCache>
                <c:formatCode>0.00%</c:formatCode>
                <c:ptCount val="174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  <c:pt idx="168">
                  <c:v>0.80177653108929403</c:v>
                </c:pt>
                <c:pt idx="169">
                  <c:v>0.80624019200590791</c:v>
                </c:pt>
                <c:pt idx="170">
                  <c:v>0.80773490862100794</c:v>
                </c:pt>
                <c:pt idx="171">
                  <c:v>0.80871580899397311</c:v>
                </c:pt>
                <c:pt idx="172">
                  <c:v>0.81098961683359372</c:v>
                </c:pt>
                <c:pt idx="173">
                  <c:v>0.81588513267902585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091808"/>
        <c:axId val="338098864"/>
      </c:lineChart>
      <c:lineChart>
        <c:grouping val="standard"/>
        <c:varyColors val="0"/>
        <c:ser>
          <c:idx val="1"/>
          <c:order val="1"/>
          <c:tx>
            <c:strRef>
              <c:f>'Prim&amp;Trans'!$A$6</c:f>
              <c:strCache>
                <c:ptCount val="1"/>
                <c:pt idx="0">
                  <c:v>MWh Sold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'Prim&amp;Trans'!$B$4:$FS$4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'Prim&amp;Trans'!$B$6:$FU$6</c:f>
              <c:numCache>
                <c:formatCode>0.00%</c:formatCode>
                <c:ptCount val="176"/>
                <c:pt idx="0">
                  <c:v>6.0504918538742604E-2</c:v>
                </c:pt>
                <c:pt idx="1">
                  <c:v>0.41944622741680132</c:v>
                </c:pt>
                <c:pt idx="2">
                  <c:v>0.59359673883815656</c:v>
                </c:pt>
                <c:pt idx="3">
                  <c:v>0.43603767059104837</c:v>
                </c:pt>
                <c:pt idx="4">
                  <c:v>0.42695194923891772</c:v>
                </c:pt>
                <c:pt idx="5">
                  <c:v>0.54339319713669565</c:v>
                </c:pt>
                <c:pt idx="6">
                  <c:v>0.56003466615059938</c:v>
                </c:pt>
                <c:pt idx="7">
                  <c:v>0.51914485324352377</c:v>
                </c:pt>
                <c:pt idx="8">
                  <c:v>0.46835482951803376</c:v>
                </c:pt>
                <c:pt idx="9">
                  <c:v>0.55412232550406559</c:v>
                </c:pt>
                <c:pt idx="10">
                  <c:v>0.60821871266133709</c:v>
                </c:pt>
                <c:pt idx="11">
                  <c:v>0.54519029816501785</c:v>
                </c:pt>
                <c:pt idx="12">
                  <c:v>0.48961671214786273</c:v>
                </c:pt>
                <c:pt idx="13">
                  <c:v>0.52597372141658172</c:v>
                </c:pt>
                <c:pt idx="14">
                  <c:v>0.54608856717868415</c:v>
                </c:pt>
                <c:pt idx="15">
                  <c:v>0.57465808191680123</c:v>
                </c:pt>
                <c:pt idx="16">
                  <c:v>0.59578447955492309</c:v>
                </c:pt>
                <c:pt idx="17">
                  <c:v>0.58794247785405807</c:v>
                </c:pt>
                <c:pt idx="18">
                  <c:v>0.58249133874848336</c:v>
                </c:pt>
                <c:pt idx="19">
                  <c:v>0.59743719345969348</c:v>
                </c:pt>
                <c:pt idx="20">
                  <c:v>0.59083997538659427</c:v>
                </c:pt>
                <c:pt idx="21">
                  <c:v>0.59821610169148931</c:v>
                </c:pt>
                <c:pt idx="22">
                  <c:v>0.60531356674881232</c:v>
                </c:pt>
                <c:pt idx="23">
                  <c:v>0.6340089717910945</c:v>
                </c:pt>
                <c:pt idx="24">
                  <c:v>0.6242429696448798</c:v>
                </c:pt>
                <c:pt idx="25">
                  <c:v>0.65110238524901276</c:v>
                </c:pt>
                <c:pt idx="26">
                  <c:v>0.63904898530982046</c:v>
                </c:pt>
                <c:pt idx="27">
                  <c:v>0.64240591533082536</c:v>
                </c:pt>
                <c:pt idx="28">
                  <c:v>0.65333892734138965</c:v>
                </c:pt>
                <c:pt idx="29">
                  <c:v>0.68436655573144878</c:v>
                </c:pt>
                <c:pt idx="30">
                  <c:v>0.6794656642164979</c:v>
                </c:pt>
                <c:pt idx="31">
                  <c:v>0.69080696681506482</c:v>
                </c:pt>
                <c:pt idx="32">
                  <c:v>0.69105914827046233</c:v>
                </c:pt>
                <c:pt idx="33">
                  <c:v>0.70434912793384452</c:v>
                </c:pt>
                <c:pt idx="34">
                  <c:v>0.69124207843973273</c:v>
                </c:pt>
                <c:pt idx="35">
                  <c:v>0.71929909935120429</c:v>
                </c:pt>
                <c:pt idx="36">
                  <c:v>0.69717083236625621</c:v>
                </c:pt>
                <c:pt idx="37">
                  <c:v>0.68863411486987036</c:v>
                </c:pt>
                <c:pt idx="38">
                  <c:v>0.73360046461676665</c:v>
                </c:pt>
                <c:pt idx="39">
                  <c:v>0.70588939679986173</c:v>
                </c:pt>
                <c:pt idx="40">
                  <c:v>0.69882361547844363</c:v>
                </c:pt>
                <c:pt idx="41">
                  <c:v>0.73851190901014385</c:v>
                </c:pt>
                <c:pt idx="42">
                  <c:v>0.72711703547630147</c:v>
                </c:pt>
                <c:pt idx="43">
                  <c:v>0.73136140241906156</c:v>
                </c:pt>
                <c:pt idx="44">
                  <c:v>0.73322904794872645</c:v>
                </c:pt>
                <c:pt idx="45">
                  <c:v>0.74547408044827668</c:v>
                </c:pt>
                <c:pt idx="46">
                  <c:v>0.73910963664933726</c:v>
                </c:pt>
                <c:pt idx="47">
                  <c:v>0.75093007656805122</c:v>
                </c:pt>
                <c:pt idx="48">
                  <c:v>0.73113436988320046</c:v>
                </c:pt>
                <c:pt idx="49">
                  <c:v>0.70514486081622696</c:v>
                </c:pt>
                <c:pt idx="50">
                  <c:v>0.7564396699696958</c:v>
                </c:pt>
                <c:pt idx="51">
                  <c:v>0.74448108969008875</c:v>
                </c:pt>
                <c:pt idx="52">
                  <c:v>0.7621176735162839</c:v>
                </c:pt>
                <c:pt idx="53">
                  <c:v>0.7530368852176067</c:v>
                </c:pt>
                <c:pt idx="54">
                  <c:v>0.73545464840491515</c:v>
                </c:pt>
                <c:pt idx="55">
                  <c:v>0.74283008343001888</c:v>
                </c:pt>
                <c:pt idx="56">
                  <c:v>0.73434757151789687</c:v>
                </c:pt>
                <c:pt idx="57">
                  <c:v>0.74533343086961457</c:v>
                </c:pt>
                <c:pt idx="58">
                  <c:v>0.72842647910894209</c:v>
                </c:pt>
                <c:pt idx="59">
                  <c:v>0.72801133618677605</c:v>
                </c:pt>
                <c:pt idx="60">
                  <c:v>0.72035276627566669</c:v>
                </c:pt>
                <c:pt idx="61">
                  <c:v>0.72361565062022903</c:v>
                </c:pt>
                <c:pt idx="62">
                  <c:v>0.73024472879484648</c:v>
                </c:pt>
                <c:pt idx="63">
                  <c:v>0.72690509403889125</c:v>
                </c:pt>
                <c:pt idx="64">
                  <c:v>0.74692358177060281</c:v>
                </c:pt>
                <c:pt idx="65">
                  <c:v>0.73092004670841881</c:v>
                </c:pt>
                <c:pt idx="66">
                  <c:v>0.73141372233969082</c:v>
                </c:pt>
                <c:pt idx="67">
                  <c:v>0.72801294999333832</c:v>
                </c:pt>
                <c:pt idx="68">
                  <c:v>0.72057481242493571</c:v>
                </c:pt>
                <c:pt idx="69">
                  <c:v>0.72604167524234509</c:v>
                </c:pt>
                <c:pt idx="70">
                  <c:v>0.73253154283549926</c:v>
                </c:pt>
                <c:pt idx="71">
                  <c:v>0.72668604324239638</c:v>
                </c:pt>
                <c:pt idx="72">
                  <c:v>0.72421235743175727</c:v>
                </c:pt>
                <c:pt idx="73">
                  <c:v>0.70375943477129477</c:v>
                </c:pt>
                <c:pt idx="74">
                  <c:v>0.70920429429280019</c:v>
                </c:pt>
                <c:pt idx="75">
                  <c:v>0.72752729492089752</c:v>
                </c:pt>
                <c:pt idx="76">
                  <c:v>0.73043071760276812</c:v>
                </c:pt>
                <c:pt idx="77">
                  <c:v>0.68315779997370085</c:v>
                </c:pt>
                <c:pt idx="78">
                  <c:v>0.72412324739923872</c:v>
                </c:pt>
                <c:pt idx="79">
                  <c:v>0.7550580423740888</c:v>
                </c:pt>
                <c:pt idx="80">
                  <c:v>0.73598065915728372</c:v>
                </c:pt>
                <c:pt idx="81">
                  <c:v>0.76366967632838278</c:v>
                </c:pt>
                <c:pt idx="82">
                  <c:v>0.77364424914194985</c:v>
                </c:pt>
                <c:pt idx="83">
                  <c:v>0.78145430765077739</c:v>
                </c:pt>
                <c:pt idx="84">
                  <c:v>0.77128524605781534</c:v>
                </c:pt>
                <c:pt idx="85">
                  <c:v>0.76077594258500902</c:v>
                </c:pt>
                <c:pt idx="86">
                  <c:v>0.76261360297989955</c:v>
                </c:pt>
                <c:pt idx="87">
                  <c:v>0.76064601329978054</c:v>
                </c:pt>
                <c:pt idx="88">
                  <c:v>0.75352859071476952</c:v>
                </c:pt>
                <c:pt idx="89">
                  <c:v>0.75371302588281641</c:v>
                </c:pt>
                <c:pt idx="90">
                  <c:v>0.77264265407858057</c:v>
                </c:pt>
                <c:pt idx="91">
                  <c:v>0.76032580794139892</c:v>
                </c:pt>
                <c:pt idx="92">
                  <c:v>0.76131192984148222</c:v>
                </c:pt>
                <c:pt idx="93">
                  <c:v>0.76144788357089765</c:v>
                </c:pt>
                <c:pt idx="94">
                  <c:v>0.77395340259580103</c:v>
                </c:pt>
                <c:pt idx="95">
                  <c:v>0.78437020294250015</c:v>
                </c:pt>
                <c:pt idx="96">
                  <c:v>0.76144488308861313</c:v>
                </c:pt>
                <c:pt idx="97">
                  <c:v>0.77826696056509859</c:v>
                </c:pt>
                <c:pt idx="98">
                  <c:v>0.78353237359754835</c:v>
                </c:pt>
                <c:pt idx="99">
                  <c:v>0.78482049493692263</c:v>
                </c:pt>
                <c:pt idx="100">
                  <c:v>0.79855675138736359</c:v>
                </c:pt>
                <c:pt idx="101">
                  <c:v>0.78698056390691939</c:v>
                </c:pt>
                <c:pt idx="102">
                  <c:v>0.78162916270892091</c:v>
                </c:pt>
                <c:pt idx="103">
                  <c:v>0.78970183424691864</c:v>
                </c:pt>
                <c:pt idx="104">
                  <c:v>0.78341595596651525</c:v>
                </c:pt>
                <c:pt idx="105">
                  <c:v>0.7669091924285969</c:v>
                </c:pt>
                <c:pt idx="106">
                  <c:v>0.79403789722106144</c:v>
                </c:pt>
                <c:pt idx="107">
                  <c:v>0.80155848688884268</c:v>
                </c:pt>
                <c:pt idx="108">
                  <c:v>0.79304448940815009</c:v>
                </c:pt>
                <c:pt idx="109">
                  <c:v>0.78873283047081089</c:v>
                </c:pt>
                <c:pt idx="110">
                  <c:v>0.78334951995251256</c:v>
                </c:pt>
                <c:pt idx="111">
                  <c:v>0.80736638692891294</c:v>
                </c:pt>
                <c:pt idx="112">
                  <c:v>0.81071297055706792</c:v>
                </c:pt>
                <c:pt idx="113">
                  <c:v>0.80947775699326319</c:v>
                </c:pt>
                <c:pt idx="114">
                  <c:v>0.80369659158255125</c:v>
                </c:pt>
                <c:pt idx="115">
                  <c:v>0.80041166167631927</c:v>
                </c:pt>
                <c:pt idx="116">
                  <c:v>0.80216561881562387</c:v>
                </c:pt>
                <c:pt idx="117">
                  <c:v>0.81185103155477845</c:v>
                </c:pt>
                <c:pt idx="118">
                  <c:v>0.81458853964858724</c:v>
                </c:pt>
                <c:pt idx="119">
                  <c:v>0.81396099261632515</c:v>
                </c:pt>
                <c:pt idx="120">
                  <c:v>0.82125147392590292</c:v>
                </c:pt>
                <c:pt idx="121">
                  <c:v>0.83703181146713979</c:v>
                </c:pt>
                <c:pt idx="122">
                  <c:v>0.83379669113865962</c:v>
                </c:pt>
                <c:pt idx="123">
                  <c:v>0.83743002726585059</c:v>
                </c:pt>
                <c:pt idx="124">
                  <c:v>0.83750912718070225</c:v>
                </c:pt>
                <c:pt idx="125">
                  <c:v>0.8358036028938528</c:v>
                </c:pt>
                <c:pt idx="126">
                  <c:v>0.831678308940628</c:v>
                </c:pt>
                <c:pt idx="127">
                  <c:v>0.83755591949628083</c:v>
                </c:pt>
                <c:pt idx="128">
                  <c:v>0.83522607665235293</c:v>
                </c:pt>
                <c:pt idx="129">
                  <c:v>0.83704227251903585</c:v>
                </c:pt>
                <c:pt idx="130">
                  <c:v>0.83896493035883979</c:v>
                </c:pt>
                <c:pt idx="131">
                  <c:v>0.83873290321906746</c:v>
                </c:pt>
                <c:pt idx="132">
                  <c:v>0.84458181088129103</c:v>
                </c:pt>
                <c:pt idx="133">
                  <c:v>0.8536201092380179</c:v>
                </c:pt>
                <c:pt idx="134">
                  <c:v>0.85560358313950979</c:v>
                </c:pt>
                <c:pt idx="135">
                  <c:v>0.85894254059611341</c:v>
                </c:pt>
                <c:pt idx="136">
                  <c:v>0.85822505264934534</c:v>
                </c:pt>
                <c:pt idx="137">
                  <c:v>0.86824734769284817</c:v>
                </c:pt>
                <c:pt idx="138">
                  <c:v>0.86405245391115337</c:v>
                </c:pt>
                <c:pt idx="139">
                  <c:v>0.86232468086275182</c:v>
                </c:pt>
                <c:pt idx="140">
                  <c:v>0.85908007996498792</c:v>
                </c:pt>
                <c:pt idx="141">
                  <c:v>0.85496848621274368</c:v>
                </c:pt>
                <c:pt idx="142">
                  <c:v>0.8600554807679075</c:v>
                </c:pt>
                <c:pt idx="143">
                  <c:v>0.86565160856375645</c:v>
                </c:pt>
                <c:pt idx="144">
                  <c:v>0.86562818442839118</c:v>
                </c:pt>
                <c:pt idx="145">
                  <c:v>0.8611422504630788</c:v>
                </c:pt>
                <c:pt idx="146">
                  <c:v>0.85710142131855938</c:v>
                </c:pt>
                <c:pt idx="147">
                  <c:v>0.86523144513262895</c:v>
                </c:pt>
                <c:pt idx="148">
                  <c:v>0.85641323412028736</c:v>
                </c:pt>
                <c:pt idx="149">
                  <c:v>0.86058196107488316</c:v>
                </c:pt>
                <c:pt idx="150">
                  <c:v>0.86726649982512705</c:v>
                </c:pt>
                <c:pt idx="151">
                  <c:v>0.87070322496570873</c:v>
                </c:pt>
                <c:pt idx="152">
                  <c:v>0.87600573363069179</c:v>
                </c:pt>
                <c:pt idx="153">
                  <c:v>0.88005612178347559</c:v>
                </c:pt>
                <c:pt idx="154">
                  <c:v>0.87005054827485606</c:v>
                </c:pt>
                <c:pt idx="155">
                  <c:v>0.88744959242113575</c:v>
                </c:pt>
                <c:pt idx="156">
                  <c:v>0.87784342245980407</c:v>
                </c:pt>
                <c:pt idx="157">
                  <c:v>0.86497751069453244</c:v>
                </c:pt>
                <c:pt idx="158">
                  <c:v>0.86793731302431798</c:v>
                </c:pt>
                <c:pt idx="159">
                  <c:v>0.87305280763353665</c:v>
                </c:pt>
                <c:pt idx="160">
                  <c:v>0.87163344482425886</c:v>
                </c:pt>
                <c:pt idx="161">
                  <c:v>0.87335425846084991</c:v>
                </c:pt>
                <c:pt idx="162">
                  <c:v>0.87335559315976241</c:v>
                </c:pt>
                <c:pt idx="163">
                  <c:v>0.87004579822415962</c:v>
                </c:pt>
                <c:pt idx="164">
                  <c:v>0.86784491444539014</c:v>
                </c:pt>
                <c:pt idx="165">
                  <c:v>0.87417142941030934</c:v>
                </c:pt>
                <c:pt idx="166">
                  <c:v>0.87621042929989945</c:v>
                </c:pt>
                <c:pt idx="167">
                  <c:v>0.87656522805827808</c:v>
                </c:pt>
                <c:pt idx="168">
                  <c:v>0.87652174380974945</c:v>
                </c:pt>
                <c:pt idx="169">
                  <c:v>0.88146789177336204</c:v>
                </c:pt>
                <c:pt idx="170">
                  <c:v>0.88550751282349527</c:v>
                </c:pt>
                <c:pt idx="171">
                  <c:v>0.8814643426950256</c:v>
                </c:pt>
                <c:pt idx="172">
                  <c:v>0.88106802181440269</c:v>
                </c:pt>
                <c:pt idx="173">
                  <c:v>0.8710073725710652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094552"/>
        <c:axId val="338092592"/>
      </c:lineChart>
      <c:dateAx>
        <c:axId val="338091808"/>
        <c:scaling>
          <c:orientation val="minMax"/>
          <c:max val="42614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98864"/>
        <c:crosses val="autoZero"/>
        <c:auto val="1"/>
        <c:lblOffset val="100"/>
        <c:baseTimeUnit val="months"/>
        <c:minorUnit val="6"/>
        <c:minorTimeUnit val="months"/>
      </c:dateAx>
      <c:valAx>
        <c:axId val="3380988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91808"/>
        <c:crosses val="autoZero"/>
        <c:crossBetween val="between"/>
      </c:valAx>
      <c:valAx>
        <c:axId val="33809259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338094552"/>
        <c:crosses val="max"/>
        <c:crossBetween val="between"/>
      </c:valAx>
      <c:dateAx>
        <c:axId val="33809455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38092592"/>
        <c:crosses val="autoZero"/>
        <c:auto val="1"/>
        <c:lblOffset val="100"/>
        <c:baseTimeUnit val="month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77838260051361"/>
          <c:y val="0.92217080176298716"/>
          <c:w val="0.4565623104875296"/>
          <c:h val="6.13207547169811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Customers with Competitive REP</a:t>
            </a:r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29811180274926"/>
          <c:y val="0.19576770153279552"/>
          <c:w val="0.83688088167816665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'res # of cust'!$A$5</c:f>
              <c:strCache>
                <c:ptCount val="1"/>
                <c:pt idx="0">
                  <c:v>Oncor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# of cust'!$B$5:$FS$5</c:f>
              <c:numCache>
                <c:formatCode>0.00%</c:formatCode>
                <c:ptCount val="174"/>
                <c:pt idx="0">
                  <c:v>1.8736647161809082E-2</c:v>
                </c:pt>
                <c:pt idx="1">
                  <c:v>2.3108553909515769E-2</c:v>
                </c:pt>
                <c:pt idx="2">
                  <c:v>2.1475351554636066E-2</c:v>
                </c:pt>
                <c:pt idx="3">
                  <c:v>2.2481311822540227E-2</c:v>
                </c:pt>
                <c:pt idx="4">
                  <c:v>2.7701764168139201E-2</c:v>
                </c:pt>
                <c:pt idx="5">
                  <c:v>3.3876866828072949E-2</c:v>
                </c:pt>
                <c:pt idx="6">
                  <c:v>2.7705235390473759E-2</c:v>
                </c:pt>
                <c:pt idx="7">
                  <c:v>5.8495268682398599E-2</c:v>
                </c:pt>
                <c:pt idx="8">
                  <c:v>6.1048190621846264E-2</c:v>
                </c:pt>
                <c:pt idx="9">
                  <c:v>6.2979580601778343E-2</c:v>
                </c:pt>
                <c:pt idx="10">
                  <c:v>6.6157176472143184E-2</c:v>
                </c:pt>
                <c:pt idx="11">
                  <c:v>7.004039118889116E-2</c:v>
                </c:pt>
                <c:pt idx="12">
                  <c:v>6.9588874880321547E-2</c:v>
                </c:pt>
                <c:pt idx="13">
                  <c:v>7.339150370070259E-2</c:v>
                </c:pt>
                <c:pt idx="14">
                  <c:v>7.9825609793263752E-2</c:v>
                </c:pt>
                <c:pt idx="15">
                  <c:v>8.636163395414527E-2</c:v>
                </c:pt>
                <c:pt idx="16">
                  <c:v>9.1180232186952301E-2</c:v>
                </c:pt>
                <c:pt idx="17">
                  <c:v>9.7934360131715262E-2</c:v>
                </c:pt>
                <c:pt idx="18">
                  <c:v>0.10352813024381784</c:v>
                </c:pt>
                <c:pt idx="19">
                  <c:v>0.10984972295097402</c:v>
                </c:pt>
                <c:pt idx="20">
                  <c:v>0.11905482614572471</c:v>
                </c:pt>
                <c:pt idx="21">
                  <c:v>0.12681156595218349</c:v>
                </c:pt>
                <c:pt idx="22">
                  <c:v>0.13149272593343792</c:v>
                </c:pt>
                <c:pt idx="23">
                  <c:v>0.13580775473001239</c:v>
                </c:pt>
                <c:pt idx="24">
                  <c:v>0.13634664695004414</c:v>
                </c:pt>
                <c:pt idx="25">
                  <c:v>0.13803524826259186</c:v>
                </c:pt>
                <c:pt idx="26">
                  <c:v>0.13963374448575283</c:v>
                </c:pt>
                <c:pt idx="27">
                  <c:v>0.14167397680718252</c:v>
                </c:pt>
                <c:pt idx="28">
                  <c:v>0.14436827459800364</c:v>
                </c:pt>
                <c:pt idx="29">
                  <c:v>0.14801689207543375</c:v>
                </c:pt>
                <c:pt idx="30">
                  <c:v>0.15328980912226534</c:v>
                </c:pt>
                <c:pt idx="31">
                  <c:v>0.16044905232044859</c:v>
                </c:pt>
                <c:pt idx="32">
                  <c:v>0.16827621204787344</c:v>
                </c:pt>
                <c:pt idx="33">
                  <c:v>0.17570078146626411</c:v>
                </c:pt>
                <c:pt idx="34">
                  <c:v>0.18304306895740174</c:v>
                </c:pt>
                <c:pt idx="35">
                  <c:v>0.18839436048117408</c:v>
                </c:pt>
                <c:pt idx="36">
                  <c:v>0.19343619719951918</c:v>
                </c:pt>
                <c:pt idx="37">
                  <c:v>0.19839443330804746</c:v>
                </c:pt>
                <c:pt idx="38">
                  <c:v>0.20522687510231724</c:v>
                </c:pt>
                <c:pt idx="39">
                  <c:v>0.212470565854953</c:v>
                </c:pt>
                <c:pt idx="40">
                  <c:v>0.22193425697587832</c:v>
                </c:pt>
                <c:pt idx="41">
                  <c:v>0.23399631007181584</c:v>
                </c:pt>
                <c:pt idx="42">
                  <c:v>0.24386835923544301</c:v>
                </c:pt>
                <c:pt idx="43">
                  <c:v>0.25319793915439909</c:v>
                </c:pt>
                <c:pt idx="44">
                  <c:v>0.26289901562542101</c:v>
                </c:pt>
                <c:pt idx="45">
                  <c:v>0.2694460184917894</c:v>
                </c:pt>
                <c:pt idx="46">
                  <c:v>0.27531852794993189</c:v>
                </c:pt>
                <c:pt idx="47">
                  <c:v>0.27908347332110589</c:v>
                </c:pt>
                <c:pt idx="48">
                  <c:v>0.28248422535556444</c:v>
                </c:pt>
                <c:pt idx="49">
                  <c:v>0.28642635904978403</c:v>
                </c:pt>
                <c:pt idx="50">
                  <c:v>0.29063999458285633</c:v>
                </c:pt>
                <c:pt idx="51">
                  <c:v>0.29552340536597022</c:v>
                </c:pt>
                <c:pt idx="52">
                  <c:v>0.30086511450483538</c:v>
                </c:pt>
                <c:pt idx="53">
                  <c:v>0.30718965261186676</c:v>
                </c:pt>
                <c:pt idx="54">
                  <c:v>0.31301596763991779</c:v>
                </c:pt>
                <c:pt idx="55">
                  <c:v>0.32073097700696218</c:v>
                </c:pt>
                <c:pt idx="56">
                  <c:v>0.32911422999122497</c:v>
                </c:pt>
                <c:pt idx="57">
                  <c:v>0.33582789877683472</c:v>
                </c:pt>
                <c:pt idx="58">
                  <c:v>0.34264442844653498</c:v>
                </c:pt>
                <c:pt idx="59">
                  <c:v>0.34845884151795087</c:v>
                </c:pt>
                <c:pt idx="60">
                  <c:v>0.3523621879112816</c:v>
                </c:pt>
                <c:pt idx="61">
                  <c:v>0.35675070887489285</c:v>
                </c:pt>
                <c:pt idx="62">
                  <c:v>0.36242395564984692</c:v>
                </c:pt>
                <c:pt idx="63">
                  <c:v>0.36935102485026955</c:v>
                </c:pt>
                <c:pt idx="64">
                  <c:v>0.37488032417370554</c:v>
                </c:pt>
                <c:pt idx="65">
                  <c:v>0.37887917966251805</c:v>
                </c:pt>
                <c:pt idx="66">
                  <c:v>0.38197455781375622</c:v>
                </c:pt>
                <c:pt idx="67">
                  <c:v>0.38460406467016722</c:v>
                </c:pt>
                <c:pt idx="68">
                  <c:v>0.38648705372541842</c:v>
                </c:pt>
                <c:pt idx="69">
                  <c:v>0.38767751395341349</c:v>
                </c:pt>
                <c:pt idx="70">
                  <c:v>0.38910985396134307</c:v>
                </c:pt>
                <c:pt idx="71">
                  <c:v>0.39042544928177286</c:v>
                </c:pt>
                <c:pt idx="72">
                  <c:v>0.3911857699353658</c:v>
                </c:pt>
                <c:pt idx="73">
                  <c:v>0.39310856240386982</c:v>
                </c:pt>
                <c:pt idx="74">
                  <c:v>0.39484691482591139</c:v>
                </c:pt>
                <c:pt idx="75">
                  <c:v>0.39699052629572446</c:v>
                </c:pt>
                <c:pt idx="76">
                  <c:v>0.40565380986569333</c:v>
                </c:pt>
                <c:pt idx="77">
                  <c:v>0.39843221198277662</c:v>
                </c:pt>
                <c:pt idx="78">
                  <c:v>0.40045492564649976</c:v>
                </c:pt>
                <c:pt idx="79">
                  <c:v>0.40035371993570107</c:v>
                </c:pt>
                <c:pt idx="80">
                  <c:v>0.39947449639237603</c:v>
                </c:pt>
                <c:pt idx="81">
                  <c:v>0.39985621097743579</c:v>
                </c:pt>
                <c:pt idx="82">
                  <c:v>0.40011874520601232</c:v>
                </c:pt>
                <c:pt idx="83">
                  <c:v>0.40016595961271556</c:v>
                </c:pt>
                <c:pt idx="84">
                  <c:v>0.40067222114518697</c:v>
                </c:pt>
                <c:pt idx="85">
                  <c:v>0.40090322907035436</c:v>
                </c:pt>
                <c:pt idx="86">
                  <c:v>0.4006860170045683</c:v>
                </c:pt>
                <c:pt idx="87">
                  <c:v>0.40142127682967838</c:v>
                </c:pt>
                <c:pt idx="88">
                  <c:v>0.40325817299533445</c:v>
                </c:pt>
                <c:pt idx="89">
                  <c:v>0.40596109616222958</c:v>
                </c:pt>
                <c:pt idx="90">
                  <c:v>0.40957645448919056</c:v>
                </c:pt>
                <c:pt idx="91">
                  <c:v>0.41372152988611954</c:v>
                </c:pt>
                <c:pt idx="92">
                  <c:v>0.41889843999681908</c:v>
                </c:pt>
                <c:pt idx="93">
                  <c:v>0.42230860768345407</c:v>
                </c:pt>
                <c:pt idx="94">
                  <c:v>0.42538904528554983</c:v>
                </c:pt>
                <c:pt idx="95">
                  <c:v>0.42871184251172456</c:v>
                </c:pt>
                <c:pt idx="96">
                  <c:v>0.43112778732146723</c:v>
                </c:pt>
                <c:pt idx="97">
                  <c:v>0.43537522635198062</c:v>
                </c:pt>
                <c:pt idx="98">
                  <c:v>0.4390350441997235</c:v>
                </c:pt>
                <c:pt idx="99">
                  <c:v>0.4418519035189345</c:v>
                </c:pt>
                <c:pt idx="100">
                  <c:v>0.4448909012987497</c:v>
                </c:pt>
                <c:pt idx="101">
                  <c:v>0.44844789501450705</c:v>
                </c:pt>
                <c:pt idx="102">
                  <c:v>0.4524461286441841</c:v>
                </c:pt>
                <c:pt idx="103">
                  <c:v>0.45745147718176321</c:v>
                </c:pt>
                <c:pt idx="104">
                  <c:v>0.46232964581479086</c:v>
                </c:pt>
                <c:pt idx="105">
                  <c:v>0.46726768660554957</c:v>
                </c:pt>
                <c:pt idx="106">
                  <c:v>0.47128408088205281</c:v>
                </c:pt>
                <c:pt idx="107">
                  <c:v>0.47509081329483649</c:v>
                </c:pt>
                <c:pt idx="108">
                  <c:v>0.47915682088554995</c:v>
                </c:pt>
                <c:pt idx="109">
                  <c:v>0.48368944269842956</c:v>
                </c:pt>
                <c:pt idx="110">
                  <c:v>0.48846368727469436</c:v>
                </c:pt>
                <c:pt idx="111">
                  <c:v>0.49290424674472605</c:v>
                </c:pt>
                <c:pt idx="112">
                  <c:v>0.49648136194009884</c:v>
                </c:pt>
                <c:pt idx="113">
                  <c:v>0.50023848617167532</c:v>
                </c:pt>
                <c:pt idx="114">
                  <c:v>0.50526461230663233</c:v>
                </c:pt>
                <c:pt idx="115">
                  <c:v>0.51113798967701207</c:v>
                </c:pt>
                <c:pt idx="116">
                  <c:v>0.51548897230811364</c:v>
                </c:pt>
                <c:pt idx="117">
                  <c:v>0.51972335811043813</c:v>
                </c:pt>
                <c:pt idx="118">
                  <c:v>0.52316729748186019</c:v>
                </c:pt>
                <c:pt idx="119">
                  <c:v>0.5261203385381773</c:v>
                </c:pt>
                <c:pt idx="120">
                  <c:v>0.52904074214007202</c:v>
                </c:pt>
                <c:pt idx="121">
                  <c:v>0.53225843079368684</c:v>
                </c:pt>
                <c:pt idx="122">
                  <c:v>0.53537556939089159</c:v>
                </c:pt>
                <c:pt idx="123">
                  <c:v>0.53900285387627156</c:v>
                </c:pt>
                <c:pt idx="124">
                  <c:v>0.5413558429742984</c:v>
                </c:pt>
                <c:pt idx="125">
                  <c:v>0.54404660995312448</c:v>
                </c:pt>
                <c:pt idx="126">
                  <c:v>0.54649860178838394</c:v>
                </c:pt>
                <c:pt idx="127">
                  <c:v>0.54916189109138136</c:v>
                </c:pt>
                <c:pt idx="128">
                  <c:v>0.55174644502230319</c:v>
                </c:pt>
                <c:pt idx="129">
                  <c:v>0.5539881854980826</c:v>
                </c:pt>
                <c:pt idx="130">
                  <c:v>0.55618088151948031</c:v>
                </c:pt>
                <c:pt idx="131">
                  <c:v>0.55768740052159804</c:v>
                </c:pt>
                <c:pt idx="132">
                  <c:v>0.55939232682021733</c:v>
                </c:pt>
                <c:pt idx="133">
                  <c:v>0.56178784757384659</c:v>
                </c:pt>
                <c:pt idx="134">
                  <c:v>0.56446575001591404</c:v>
                </c:pt>
                <c:pt idx="135">
                  <c:v>0.56719175123071208</c:v>
                </c:pt>
                <c:pt idx="136">
                  <c:v>0.56919780408501375</c:v>
                </c:pt>
                <c:pt idx="137">
                  <c:v>0.57112434642336629</c:v>
                </c:pt>
                <c:pt idx="138">
                  <c:v>0.57367326481703385</c:v>
                </c:pt>
                <c:pt idx="139">
                  <c:v>0.57580613966784511</c:v>
                </c:pt>
                <c:pt idx="140">
                  <c:v>0.57736139206168413</c:v>
                </c:pt>
                <c:pt idx="141">
                  <c:v>0.57936292260234412</c:v>
                </c:pt>
                <c:pt idx="142">
                  <c:v>0.58129581064538827</c:v>
                </c:pt>
                <c:pt idx="143">
                  <c:v>0.58220640314407168</c:v>
                </c:pt>
                <c:pt idx="144">
                  <c:v>0.58331809389521827</c:v>
                </c:pt>
                <c:pt idx="145">
                  <c:v>0.5858090915588593</c:v>
                </c:pt>
                <c:pt idx="146">
                  <c:v>0.58821190218493247</c:v>
                </c:pt>
                <c:pt idx="147">
                  <c:v>0.59009802174300485</c:v>
                </c:pt>
                <c:pt idx="148">
                  <c:v>0.5916698971685852</c:v>
                </c:pt>
                <c:pt idx="149">
                  <c:v>0.5934481434332084</c:v>
                </c:pt>
                <c:pt idx="150">
                  <c:v>0.59576525553500559</c:v>
                </c:pt>
                <c:pt idx="151">
                  <c:v>0.59841277216194178</c:v>
                </c:pt>
                <c:pt idx="152">
                  <c:v>0.60043192182179594</c:v>
                </c:pt>
                <c:pt idx="153">
                  <c:v>0.60214793453131787</c:v>
                </c:pt>
                <c:pt idx="154">
                  <c:v>0.60365412042903577</c:v>
                </c:pt>
                <c:pt idx="155">
                  <c:v>0.60499014448053834</c:v>
                </c:pt>
                <c:pt idx="156">
                  <c:v>0.60582109835211218</c:v>
                </c:pt>
                <c:pt idx="157">
                  <c:v>0.60708274228349979</c:v>
                </c:pt>
                <c:pt idx="158">
                  <c:v>0.60833467518230977</c:v>
                </c:pt>
                <c:pt idx="159">
                  <c:v>0.61029427514112966</c:v>
                </c:pt>
                <c:pt idx="160">
                  <c:v>0.61194776352095726</c:v>
                </c:pt>
                <c:pt idx="161">
                  <c:v>0.61354976605118638</c:v>
                </c:pt>
                <c:pt idx="162">
                  <c:v>0.61525700283933882</c:v>
                </c:pt>
                <c:pt idx="163">
                  <c:v>0.61691640309674567</c:v>
                </c:pt>
                <c:pt idx="164">
                  <c:v>0.61855136464890226</c:v>
                </c:pt>
                <c:pt idx="165">
                  <c:v>0.6205346980649763</c:v>
                </c:pt>
                <c:pt idx="166">
                  <c:v>0.62201319340141881</c:v>
                </c:pt>
                <c:pt idx="167">
                  <c:v>0.62333244304223601</c:v>
                </c:pt>
                <c:pt idx="168">
                  <c:v>0.62459243808272447</c:v>
                </c:pt>
                <c:pt idx="169">
                  <c:v>0.62628120592738323</c:v>
                </c:pt>
                <c:pt idx="170">
                  <c:v>0.62802919536178614</c:v>
                </c:pt>
                <c:pt idx="171">
                  <c:v>0.62963504593429698</c:v>
                </c:pt>
                <c:pt idx="172">
                  <c:v>0.63086476270967595</c:v>
                </c:pt>
                <c:pt idx="173">
                  <c:v>0.6321881606218599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# of cust'!$B$6:$FS$6</c:f>
              <c:numCache>
                <c:formatCode>0.00%</c:formatCode>
                <c:ptCount val="174"/>
                <c:pt idx="0">
                  <c:v>2.5476174800844732E-2</c:v>
                </c:pt>
                <c:pt idx="1">
                  <c:v>3.6822083740020523E-2</c:v>
                </c:pt>
                <c:pt idx="2">
                  <c:v>3.1134607617037357E-2</c:v>
                </c:pt>
                <c:pt idx="3">
                  <c:v>3.2713781287052601E-2</c:v>
                </c:pt>
                <c:pt idx="4">
                  <c:v>4.3144861344472242E-2</c:v>
                </c:pt>
                <c:pt idx="5">
                  <c:v>5.761502435017081E-2</c:v>
                </c:pt>
                <c:pt idx="6">
                  <c:v>5.3754459179672948E-2</c:v>
                </c:pt>
                <c:pt idx="7">
                  <c:v>8.8922230622160189E-2</c:v>
                </c:pt>
                <c:pt idx="8">
                  <c:v>9.357333514964665E-2</c:v>
                </c:pt>
                <c:pt idx="9">
                  <c:v>9.5617641890704624E-2</c:v>
                </c:pt>
                <c:pt idx="10">
                  <c:v>9.5826989027595011E-2</c:v>
                </c:pt>
                <c:pt idx="11">
                  <c:v>9.6813723928296042E-2</c:v>
                </c:pt>
                <c:pt idx="12">
                  <c:v>9.9579763897689855E-2</c:v>
                </c:pt>
                <c:pt idx="13">
                  <c:v>0.10100326120236351</c:v>
                </c:pt>
                <c:pt idx="14">
                  <c:v>0.10286332608790626</c:v>
                </c:pt>
                <c:pt idx="15">
                  <c:v>0.10456797300103449</c:v>
                </c:pt>
                <c:pt idx="16">
                  <c:v>0.10565814048317837</c:v>
                </c:pt>
                <c:pt idx="17">
                  <c:v>0.10624425127688363</c:v>
                </c:pt>
                <c:pt idx="18">
                  <c:v>0.10915927225901628</c:v>
                </c:pt>
                <c:pt idx="19">
                  <c:v>0.11211963979496942</c:v>
                </c:pt>
                <c:pt idx="20">
                  <c:v>0.11710390604928143</c:v>
                </c:pt>
                <c:pt idx="21">
                  <c:v>0.12297888611968409</c:v>
                </c:pt>
                <c:pt idx="22">
                  <c:v>0.12786780408850912</c:v>
                </c:pt>
                <c:pt idx="23">
                  <c:v>0.13282026002834432</c:v>
                </c:pt>
                <c:pt idx="24">
                  <c:v>0.13584130847454709</c:v>
                </c:pt>
                <c:pt idx="25">
                  <c:v>0.13774066424591613</c:v>
                </c:pt>
                <c:pt idx="26">
                  <c:v>0.14191078447709696</c:v>
                </c:pt>
                <c:pt idx="27">
                  <c:v>0.14527981772488582</c:v>
                </c:pt>
                <c:pt idx="28">
                  <c:v>0.14888146946107858</c:v>
                </c:pt>
                <c:pt idx="29">
                  <c:v>0.1548438364114397</c:v>
                </c:pt>
                <c:pt idx="30">
                  <c:v>0.16188329531236273</c:v>
                </c:pt>
                <c:pt idx="31">
                  <c:v>0.16894018253777898</c:v>
                </c:pt>
                <c:pt idx="32">
                  <c:v>0.1767406628927346</c:v>
                </c:pt>
                <c:pt idx="33">
                  <c:v>0.18267942330500217</c:v>
                </c:pt>
                <c:pt idx="34">
                  <c:v>0.18841038993153525</c:v>
                </c:pt>
                <c:pt idx="35">
                  <c:v>0.19464412936341641</c:v>
                </c:pt>
                <c:pt idx="36">
                  <c:v>0.20059929543264782</c:v>
                </c:pt>
                <c:pt idx="37">
                  <c:v>0.20785414398447313</c:v>
                </c:pt>
                <c:pt idx="38">
                  <c:v>0.21393303157712812</c:v>
                </c:pt>
                <c:pt idx="39">
                  <c:v>0.21978056607127885</c:v>
                </c:pt>
                <c:pt idx="40">
                  <c:v>0.22692770595273157</c:v>
                </c:pt>
                <c:pt idx="41">
                  <c:v>0.23505565443774407</c:v>
                </c:pt>
                <c:pt idx="42">
                  <c:v>0.24400816615093968</c:v>
                </c:pt>
                <c:pt idx="43">
                  <c:v>0.25574502977209917</c:v>
                </c:pt>
                <c:pt idx="44">
                  <c:v>0.26794226423449502</c:v>
                </c:pt>
                <c:pt idx="45">
                  <c:v>0.27834983401822144</c:v>
                </c:pt>
                <c:pt idx="46">
                  <c:v>0.28585502896181419</c:v>
                </c:pt>
                <c:pt idx="47">
                  <c:v>0.28970905469632346</c:v>
                </c:pt>
                <c:pt idx="48">
                  <c:v>0.29208864623034803</c:v>
                </c:pt>
                <c:pt idx="49">
                  <c:v>0.29426850047561437</c:v>
                </c:pt>
                <c:pt idx="50">
                  <c:v>0.29611717387230241</c:v>
                </c:pt>
                <c:pt idx="51">
                  <c:v>0.30006096018035011</c:v>
                </c:pt>
                <c:pt idx="52">
                  <c:v>0.30557360889026436</c:v>
                </c:pt>
                <c:pt idx="53">
                  <c:v>0.31392891143311896</c:v>
                </c:pt>
                <c:pt idx="54">
                  <c:v>0.32643844971828584</c:v>
                </c:pt>
                <c:pt idx="55">
                  <c:v>0.33507642410990113</c:v>
                </c:pt>
                <c:pt idx="56">
                  <c:v>0.34475930859443077</c:v>
                </c:pt>
                <c:pt idx="57">
                  <c:v>0.35372982979099887</c:v>
                </c:pt>
                <c:pt idx="58">
                  <c:v>0.36123166341406765</c:v>
                </c:pt>
                <c:pt idx="59">
                  <c:v>0.36852027675456017</c:v>
                </c:pt>
                <c:pt idx="60">
                  <c:v>0.3754235334073156</c:v>
                </c:pt>
                <c:pt idx="61">
                  <c:v>0.38050183406281912</c:v>
                </c:pt>
                <c:pt idx="62">
                  <c:v>0.38660567883651781</c:v>
                </c:pt>
                <c:pt idx="63">
                  <c:v>0.39070070931560325</c:v>
                </c:pt>
                <c:pt idx="64">
                  <c:v>0.39441589176545222</c:v>
                </c:pt>
                <c:pt idx="65">
                  <c:v>0.39919264834556528</c:v>
                </c:pt>
                <c:pt idx="66">
                  <c:v>0.40372356645084323</c:v>
                </c:pt>
                <c:pt idx="67">
                  <c:v>0.40786591689687296</c:v>
                </c:pt>
                <c:pt idx="68">
                  <c:v>0.41416386263032895</c:v>
                </c:pt>
                <c:pt idx="69">
                  <c:v>0.41961727508698293</c:v>
                </c:pt>
                <c:pt idx="70">
                  <c:v>0.42521608231118063</c:v>
                </c:pt>
                <c:pt idx="71">
                  <c:v>0.4313240725853521</c:v>
                </c:pt>
                <c:pt idx="72">
                  <c:v>0.43626560242207391</c:v>
                </c:pt>
                <c:pt idx="73">
                  <c:v>0.44041369045656109</c:v>
                </c:pt>
                <c:pt idx="74">
                  <c:v>0.44571366548698182</c:v>
                </c:pt>
                <c:pt idx="75">
                  <c:v>0.45146433825978965</c:v>
                </c:pt>
                <c:pt idx="76">
                  <c:v>0.45641974273326574</c:v>
                </c:pt>
                <c:pt idx="77">
                  <c:v>0.46019940452449276</c:v>
                </c:pt>
                <c:pt idx="78">
                  <c:v>0.45479316096612182</c:v>
                </c:pt>
                <c:pt idx="79">
                  <c:v>0.4538149859752878</c:v>
                </c:pt>
                <c:pt idx="80">
                  <c:v>0.45537845437891361</c:v>
                </c:pt>
                <c:pt idx="81">
                  <c:v>0.4558253151338853</c:v>
                </c:pt>
                <c:pt idx="82">
                  <c:v>0.45846662896877605</c:v>
                </c:pt>
                <c:pt idx="83">
                  <c:v>0.46208009228651264</c:v>
                </c:pt>
                <c:pt idx="84">
                  <c:v>0.46291292576409754</c:v>
                </c:pt>
                <c:pt idx="85">
                  <c:v>0.46601084195761783</c:v>
                </c:pt>
                <c:pt idx="86">
                  <c:v>0.47067019142547223</c:v>
                </c:pt>
                <c:pt idx="87">
                  <c:v>0.47599969238993123</c:v>
                </c:pt>
                <c:pt idx="88">
                  <c:v>0.48100200747073174</c:v>
                </c:pt>
                <c:pt idx="89">
                  <c:v>0.48610793912278405</c:v>
                </c:pt>
                <c:pt idx="90">
                  <c:v>0.49025328375803678</c:v>
                </c:pt>
                <c:pt idx="91">
                  <c:v>0.49609005945241114</c:v>
                </c:pt>
                <c:pt idx="92">
                  <c:v>0.5031965401655899</c:v>
                </c:pt>
                <c:pt idx="93">
                  <c:v>0.50932383821048455</c:v>
                </c:pt>
                <c:pt idx="94">
                  <c:v>0.5125053598953897</c:v>
                </c:pt>
                <c:pt idx="95">
                  <c:v>0.51627821028099163</c:v>
                </c:pt>
                <c:pt idx="96">
                  <c:v>0.51917778368323142</c:v>
                </c:pt>
                <c:pt idx="97">
                  <c:v>0.52236281274489194</c:v>
                </c:pt>
                <c:pt idx="98">
                  <c:v>0.52500001325093726</c:v>
                </c:pt>
                <c:pt idx="99">
                  <c:v>0.52806309582091582</c:v>
                </c:pt>
                <c:pt idx="100">
                  <c:v>0.5311345415325972</c:v>
                </c:pt>
                <c:pt idx="101">
                  <c:v>0.53534000543138827</c:v>
                </c:pt>
                <c:pt idx="102">
                  <c:v>0.54009663965669097</c:v>
                </c:pt>
                <c:pt idx="103">
                  <c:v>0.54471093531377834</c:v>
                </c:pt>
                <c:pt idx="104">
                  <c:v>0.54799796976033521</c:v>
                </c:pt>
                <c:pt idx="105">
                  <c:v>0.54998010869719038</c:v>
                </c:pt>
                <c:pt idx="106">
                  <c:v>0.55211851332545514</c:v>
                </c:pt>
                <c:pt idx="107">
                  <c:v>0.55437433677685088</c:v>
                </c:pt>
                <c:pt idx="108">
                  <c:v>0.55662154365375571</c:v>
                </c:pt>
                <c:pt idx="109">
                  <c:v>0.55728141530725583</c:v>
                </c:pt>
                <c:pt idx="110">
                  <c:v>0.55933981229753238</c:v>
                </c:pt>
                <c:pt idx="111">
                  <c:v>0.56202987802661708</c:v>
                </c:pt>
                <c:pt idx="112">
                  <c:v>0.5637231662038108</c:v>
                </c:pt>
                <c:pt idx="113">
                  <c:v>0.56574592993274497</c:v>
                </c:pt>
                <c:pt idx="114">
                  <c:v>0.56764223350943233</c:v>
                </c:pt>
                <c:pt idx="115">
                  <c:v>0.56933104022214176</c:v>
                </c:pt>
                <c:pt idx="116">
                  <c:v>0.5690975959444915</c:v>
                </c:pt>
                <c:pt idx="117">
                  <c:v>0.56991363159693176</c:v>
                </c:pt>
                <c:pt idx="118">
                  <c:v>0.57080078200263584</c:v>
                </c:pt>
                <c:pt idx="119">
                  <c:v>0.57217492140708559</c:v>
                </c:pt>
                <c:pt idx="120">
                  <c:v>0.57378523725058395</c:v>
                </c:pt>
                <c:pt idx="121">
                  <c:v>0.57538902669180303</c:v>
                </c:pt>
                <c:pt idx="122">
                  <c:v>0.57775529835040706</c:v>
                </c:pt>
                <c:pt idx="123">
                  <c:v>0.5803093291905469</c:v>
                </c:pt>
                <c:pt idx="124">
                  <c:v>0.58300218658743597</c:v>
                </c:pt>
                <c:pt idx="125">
                  <c:v>0.58559456978284008</c:v>
                </c:pt>
                <c:pt idx="126">
                  <c:v>0.58945407002689143</c:v>
                </c:pt>
                <c:pt idx="127">
                  <c:v>0.59191737664404998</c:v>
                </c:pt>
                <c:pt idx="128">
                  <c:v>0.5917697155784577</c:v>
                </c:pt>
                <c:pt idx="129">
                  <c:v>0.59234112444725207</c:v>
                </c:pt>
                <c:pt idx="130">
                  <c:v>0.59458968928731581</c:v>
                </c:pt>
                <c:pt idx="131">
                  <c:v>0.59619694884640484</c:v>
                </c:pt>
                <c:pt idx="132">
                  <c:v>0.59914087182613862</c:v>
                </c:pt>
                <c:pt idx="133">
                  <c:v>0.6004750440565052</c:v>
                </c:pt>
                <c:pt idx="134">
                  <c:v>0.6029725240066246</c:v>
                </c:pt>
                <c:pt idx="135">
                  <c:v>0.6055432069264538</c:v>
                </c:pt>
                <c:pt idx="136">
                  <c:v>0.60709492829114664</c:v>
                </c:pt>
                <c:pt idx="137">
                  <c:v>0.60956085231230872</c:v>
                </c:pt>
                <c:pt idx="138">
                  <c:v>0.61170287347295504</c:v>
                </c:pt>
                <c:pt idx="139">
                  <c:v>0.6128330512348501</c:v>
                </c:pt>
                <c:pt idx="140">
                  <c:v>0.61344288974226135</c:v>
                </c:pt>
                <c:pt idx="141">
                  <c:v>0.61356092770758741</c:v>
                </c:pt>
                <c:pt idx="142">
                  <c:v>0.61503532559640539</c:v>
                </c:pt>
                <c:pt idx="143">
                  <c:v>0.61513312670191089</c:v>
                </c:pt>
                <c:pt idx="144">
                  <c:v>0.61548404471509499</c:v>
                </c:pt>
                <c:pt idx="145">
                  <c:v>0.61655803866166081</c:v>
                </c:pt>
                <c:pt idx="146">
                  <c:v>0.61794841782330334</c:v>
                </c:pt>
                <c:pt idx="147">
                  <c:v>0.62029870154031141</c:v>
                </c:pt>
                <c:pt idx="148">
                  <c:v>0.62134734245243384</c:v>
                </c:pt>
                <c:pt idx="149">
                  <c:v>0.62381249863268096</c:v>
                </c:pt>
                <c:pt idx="150">
                  <c:v>0.62636135130769999</c:v>
                </c:pt>
                <c:pt idx="151">
                  <c:v>0.62688554713178035</c:v>
                </c:pt>
                <c:pt idx="152">
                  <c:v>0.62726247792320911</c:v>
                </c:pt>
                <c:pt idx="153">
                  <c:v>0.62817343027200689</c:v>
                </c:pt>
                <c:pt idx="154">
                  <c:v>0.62930427532651789</c:v>
                </c:pt>
                <c:pt idx="155">
                  <c:v>0.6308736935596243</c:v>
                </c:pt>
                <c:pt idx="156">
                  <c:v>0.63217461444555412</c:v>
                </c:pt>
                <c:pt idx="157">
                  <c:v>0.63395239388702984</c:v>
                </c:pt>
                <c:pt idx="158">
                  <c:v>0.63576325714968229</c:v>
                </c:pt>
                <c:pt idx="159">
                  <c:v>0.63705424064390404</c:v>
                </c:pt>
                <c:pt idx="160">
                  <c:v>0.63824940494789051</c:v>
                </c:pt>
                <c:pt idx="161">
                  <c:v>0.63992039918307431</c:v>
                </c:pt>
                <c:pt idx="162">
                  <c:v>0.64187605086792809</c:v>
                </c:pt>
                <c:pt idx="163">
                  <c:v>0.64349154605305159</c:v>
                </c:pt>
                <c:pt idx="164">
                  <c:v>0.6449863602077256</c:v>
                </c:pt>
                <c:pt idx="165">
                  <c:v>0.6457921286088717</c:v>
                </c:pt>
                <c:pt idx="166">
                  <c:v>0.64622483161894395</c:v>
                </c:pt>
                <c:pt idx="167">
                  <c:v>0.64656263200020414</c:v>
                </c:pt>
                <c:pt idx="168">
                  <c:v>0.64667393829303521</c:v>
                </c:pt>
                <c:pt idx="169">
                  <c:v>0.64710484544026914</c:v>
                </c:pt>
                <c:pt idx="170">
                  <c:v>0.64861197717650698</c:v>
                </c:pt>
                <c:pt idx="171">
                  <c:v>0.6504085021525442</c:v>
                </c:pt>
                <c:pt idx="172">
                  <c:v>0.6515394280366793</c:v>
                </c:pt>
                <c:pt idx="173">
                  <c:v>0.65223892240482628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# of cust'!$B$7:$FS$7</c:f>
              <c:numCache>
                <c:formatCode>0.00%</c:formatCode>
                <c:ptCount val="174"/>
                <c:pt idx="0">
                  <c:v>1.3526583841621191E-3</c:v>
                </c:pt>
                <c:pt idx="1">
                  <c:v>2.4077853490230387E-3</c:v>
                </c:pt>
                <c:pt idx="2">
                  <c:v>3.4613019107924128E-3</c:v>
                </c:pt>
                <c:pt idx="3">
                  <c:v>4.2142930562596801E-3</c:v>
                </c:pt>
                <c:pt idx="4">
                  <c:v>5.2366380679461167E-3</c:v>
                </c:pt>
                <c:pt idx="5">
                  <c:v>6.7349370542421471E-3</c:v>
                </c:pt>
                <c:pt idx="6">
                  <c:v>9.1371881328004313E-3</c:v>
                </c:pt>
                <c:pt idx="7">
                  <c:v>1.8789953952805843E-2</c:v>
                </c:pt>
                <c:pt idx="8">
                  <c:v>2.7012911007786754E-2</c:v>
                </c:pt>
                <c:pt idx="9">
                  <c:v>3.3038169929706387E-2</c:v>
                </c:pt>
                <c:pt idx="10">
                  <c:v>3.5174422593970002E-2</c:v>
                </c:pt>
                <c:pt idx="11">
                  <c:v>3.9179737320561181E-2</c:v>
                </c:pt>
                <c:pt idx="12">
                  <c:v>5.0484848196244075E-2</c:v>
                </c:pt>
                <c:pt idx="13">
                  <c:v>5.8555721880968359E-2</c:v>
                </c:pt>
                <c:pt idx="14">
                  <c:v>6.2770032924127639E-2</c:v>
                </c:pt>
                <c:pt idx="15">
                  <c:v>7.7104028538364913E-2</c:v>
                </c:pt>
                <c:pt idx="16">
                  <c:v>8.9631913060240639E-2</c:v>
                </c:pt>
                <c:pt idx="17">
                  <c:v>0.10048744215428704</c:v>
                </c:pt>
                <c:pt idx="18">
                  <c:v>0.11316409925341601</c:v>
                </c:pt>
                <c:pt idx="19">
                  <c:v>0.12582374175440433</c:v>
                </c:pt>
                <c:pt idx="20">
                  <c:v>0.13739368909058261</c:v>
                </c:pt>
                <c:pt idx="21">
                  <c:v>0.15363177809639486</c:v>
                </c:pt>
                <c:pt idx="22">
                  <c:v>0.16306189752401967</c:v>
                </c:pt>
                <c:pt idx="23">
                  <c:v>0.17165195552440213</c:v>
                </c:pt>
                <c:pt idx="24">
                  <c:v>0.17191439103021861</c:v>
                </c:pt>
                <c:pt idx="25">
                  <c:v>0.17340897672780561</c:v>
                </c:pt>
                <c:pt idx="26">
                  <c:v>0.17784993682829742</c:v>
                </c:pt>
                <c:pt idx="27">
                  <c:v>0.18106074035873718</c:v>
                </c:pt>
                <c:pt idx="28">
                  <c:v>0.18797642209342202</c:v>
                </c:pt>
                <c:pt idx="29">
                  <c:v>0.19180199985816609</c:v>
                </c:pt>
                <c:pt idx="30">
                  <c:v>0.20088194341959204</c:v>
                </c:pt>
                <c:pt idx="31">
                  <c:v>0.20704973132666823</c:v>
                </c:pt>
                <c:pt idx="32">
                  <c:v>0.2138155958803335</c:v>
                </c:pt>
                <c:pt idx="33">
                  <c:v>0.22177465423196571</c:v>
                </c:pt>
                <c:pt idx="34">
                  <c:v>0.22773117643769983</c:v>
                </c:pt>
                <c:pt idx="35">
                  <c:v>0.23436463764820586</c:v>
                </c:pt>
                <c:pt idx="36">
                  <c:v>0.23868540024590593</c:v>
                </c:pt>
                <c:pt idx="37">
                  <c:v>0.24347507331378299</c:v>
                </c:pt>
                <c:pt idx="38">
                  <c:v>0.24563101069790649</c:v>
                </c:pt>
                <c:pt idx="39">
                  <c:v>0.24800431535491457</c:v>
                </c:pt>
                <c:pt idx="40">
                  <c:v>0.25090819735277903</c:v>
                </c:pt>
                <c:pt idx="41">
                  <c:v>0.25188307883995564</c:v>
                </c:pt>
                <c:pt idx="42">
                  <c:v>0.25763155687214317</c:v>
                </c:pt>
                <c:pt idx="43">
                  <c:v>0.2636130110759563</c:v>
                </c:pt>
                <c:pt idx="44">
                  <c:v>0.26949334015913695</c:v>
                </c:pt>
                <c:pt idx="45">
                  <c:v>0.27800929547505376</c:v>
                </c:pt>
                <c:pt idx="46">
                  <c:v>0.28285868461360569</c:v>
                </c:pt>
                <c:pt idx="47">
                  <c:v>0.28951504600845562</c:v>
                </c:pt>
                <c:pt idx="48">
                  <c:v>0.295167362208128</c:v>
                </c:pt>
                <c:pt idx="49">
                  <c:v>0.29922701753052183</c:v>
                </c:pt>
                <c:pt idx="50">
                  <c:v>0.30006020555897994</c:v>
                </c:pt>
                <c:pt idx="51">
                  <c:v>0.30640605843003005</c:v>
                </c:pt>
                <c:pt idx="52">
                  <c:v>0.31212116212198709</c:v>
                </c:pt>
                <c:pt idx="53">
                  <c:v>0.32276413395966363</c:v>
                </c:pt>
                <c:pt idx="54">
                  <c:v>0.33079775930099148</c:v>
                </c:pt>
                <c:pt idx="55">
                  <c:v>0.34040477232453531</c:v>
                </c:pt>
                <c:pt idx="56">
                  <c:v>0.34576160454708782</c:v>
                </c:pt>
                <c:pt idx="57">
                  <c:v>0.35705341740527036</c:v>
                </c:pt>
                <c:pt idx="58">
                  <c:v>0.36224642078160618</c:v>
                </c:pt>
                <c:pt idx="59">
                  <c:v>0.36990023591922017</c:v>
                </c:pt>
                <c:pt idx="60">
                  <c:v>0.37713522993590043</c:v>
                </c:pt>
                <c:pt idx="61">
                  <c:v>0.37989105853488697</c:v>
                </c:pt>
                <c:pt idx="62">
                  <c:v>0.38070706534246818</c:v>
                </c:pt>
                <c:pt idx="63">
                  <c:v>0.38720227066406243</c:v>
                </c:pt>
                <c:pt idx="64">
                  <c:v>0.39391193280093667</c:v>
                </c:pt>
                <c:pt idx="65">
                  <c:v>0.40109790358264896</c:v>
                </c:pt>
                <c:pt idx="66">
                  <c:v>0.40770536309997818</c:v>
                </c:pt>
                <c:pt idx="67">
                  <c:v>0.41661246060172918</c:v>
                </c:pt>
                <c:pt idx="68">
                  <c:v>0.42157564464604186</c:v>
                </c:pt>
                <c:pt idx="69">
                  <c:v>0.43441266947704227</c:v>
                </c:pt>
                <c:pt idx="70">
                  <c:v>0.44064803323309593</c:v>
                </c:pt>
                <c:pt idx="71">
                  <c:v>0.44748924264585394</c:v>
                </c:pt>
                <c:pt idx="72">
                  <c:v>0.45304126676556966</c:v>
                </c:pt>
                <c:pt idx="73">
                  <c:v>0.45925166890191527</c:v>
                </c:pt>
                <c:pt idx="74">
                  <c:v>0.46470369012340484</c:v>
                </c:pt>
                <c:pt idx="75">
                  <c:v>0.47318216136784264</c:v>
                </c:pt>
                <c:pt idx="76">
                  <c:v>0.48240709554283145</c:v>
                </c:pt>
                <c:pt idx="77">
                  <c:v>0.49052165324873553</c:v>
                </c:pt>
                <c:pt idx="78">
                  <c:v>0.50016002727941655</c:v>
                </c:pt>
                <c:pt idx="79">
                  <c:v>0.50734641186171281</c:v>
                </c:pt>
                <c:pt idx="80">
                  <c:v>0.51608110365897319</c:v>
                </c:pt>
                <c:pt idx="81">
                  <c:v>0.52574349928621078</c:v>
                </c:pt>
                <c:pt idx="82">
                  <c:v>0.54115279243175185</c:v>
                </c:pt>
                <c:pt idx="83">
                  <c:v>0.54672422701194912</c:v>
                </c:pt>
                <c:pt idx="84">
                  <c:v>0.5493703878966919</c:v>
                </c:pt>
                <c:pt idx="85">
                  <c:v>0.55840390113270366</c:v>
                </c:pt>
                <c:pt idx="86">
                  <c:v>0.56718617733404575</c:v>
                </c:pt>
                <c:pt idx="87">
                  <c:v>0.57556780151933995</c:v>
                </c:pt>
                <c:pt idx="88">
                  <c:v>0.58233651206754644</c:v>
                </c:pt>
                <c:pt idx="89">
                  <c:v>0.58865510267579335</c:v>
                </c:pt>
                <c:pt idx="90">
                  <c:v>0.59468435059291314</c:v>
                </c:pt>
                <c:pt idx="91">
                  <c:v>0.60056447397894419</c:v>
                </c:pt>
                <c:pt idx="92">
                  <c:v>0.60730753150570382</c:v>
                </c:pt>
                <c:pt idx="93">
                  <c:v>0.61514349056843853</c:v>
                </c:pt>
                <c:pt idx="94">
                  <c:v>0.62110465368629486</c:v>
                </c:pt>
                <c:pt idx="95">
                  <c:v>0.62585758558580218</c:v>
                </c:pt>
                <c:pt idx="96">
                  <c:v>0.6292673901117628</c:v>
                </c:pt>
                <c:pt idx="97">
                  <c:v>0.63313826279038121</c:v>
                </c:pt>
                <c:pt idx="98">
                  <c:v>0.63769770363493028</c:v>
                </c:pt>
                <c:pt idx="99">
                  <c:v>0.642869381120595</c:v>
                </c:pt>
                <c:pt idx="100">
                  <c:v>0.64718393864844526</c:v>
                </c:pt>
                <c:pt idx="101">
                  <c:v>0.65168055433864136</c:v>
                </c:pt>
                <c:pt idx="102">
                  <c:v>0.65589959376633244</c:v>
                </c:pt>
                <c:pt idx="103">
                  <c:v>0.66090417890373476</c:v>
                </c:pt>
                <c:pt idx="104">
                  <c:v>0.66354494932209696</c:v>
                </c:pt>
                <c:pt idx="105">
                  <c:v>0.66541588979064392</c:v>
                </c:pt>
                <c:pt idx="106">
                  <c:v>0.66812690436320887</c:v>
                </c:pt>
                <c:pt idx="107">
                  <c:v>0.66945261046060367</c:v>
                </c:pt>
                <c:pt idx="108">
                  <c:v>0.67247513215113408</c:v>
                </c:pt>
                <c:pt idx="109">
                  <c:v>0.67343336800765519</c:v>
                </c:pt>
                <c:pt idx="110">
                  <c:v>0.67548459143450901</c:v>
                </c:pt>
                <c:pt idx="111">
                  <c:v>0.6769191885723268</c:v>
                </c:pt>
                <c:pt idx="112">
                  <c:v>0.67952565555550148</c:v>
                </c:pt>
                <c:pt idx="113">
                  <c:v>0.68081286600563939</c:v>
                </c:pt>
                <c:pt idx="114">
                  <c:v>0.68282557606547778</c:v>
                </c:pt>
                <c:pt idx="115">
                  <c:v>0.6843266686549534</c:v>
                </c:pt>
                <c:pt idx="116">
                  <c:v>0.68612987923378077</c:v>
                </c:pt>
                <c:pt idx="117">
                  <c:v>0.68632497672189841</c:v>
                </c:pt>
                <c:pt idx="118">
                  <c:v>0.6903771460090552</c:v>
                </c:pt>
                <c:pt idx="119">
                  <c:v>0.68936789949943222</c:v>
                </c:pt>
                <c:pt idx="120">
                  <c:v>0.69117513027599808</c:v>
                </c:pt>
                <c:pt idx="121">
                  <c:v>0.69193944942330599</c:v>
                </c:pt>
                <c:pt idx="122">
                  <c:v>0.69577086245086073</c:v>
                </c:pt>
                <c:pt idx="123">
                  <c:v>0.69814488557075072</c:v>
                </c:pt>
                <c:pt idx="124">
                  <c:v>0.70124660917094406</c:v>
                </c:pt>
                <c:pt idx="125">
                  <c:v>0.70284093407801573</c:v>
                </c:pt>
                <c:pt idx="126">
                  <c:v>0.70619831433535929</c:v>
                </c:pt>
                <c:pt idx="127">
                  <c:v>0.70787617385283386</c:v>
                </c:pt>
                <c:pt idx="128">
                  <c:v>0.70840077227219123</c:v>
                </c:pt>
                <c:pt idx="129">
                  <c:v>0.71015582679252676</c:v>
                </c:pt>
                <c:pt idx="130">
                  <c:v>0.71119268588788331</c:v>
                </c:pt>
                <c:pt idx="131">
                  <c:v>0.71210293178578177</c:v>
                </c:pt>
                <c:pt idx="132">
                  <c:v>0.71514085012856798</c:v>
                </c:pt>
                <c:pt idx="133">
                  <c:v>0.71605448326692311</c:v>
                </c:pt>
                <c:pt idx="134">
                  <c:v>0.71791829856671485</c:v>
                </c:pt>
                <c:pt idx="135">
                  <c:v>0.71959879091607493</c:v>
                </c:pt>
                <c:pt idx="136">
                  <c:v>0.72087301291087558</c:v>
                </c:pt>
                <c:pt idx="137">
                  <c:v>0.7227214414248937</c:v>
                </c:pt>
                <c:pt idx="138">
                  <c:v>0.72352096922383347</c:v>
                </c:pt>
                <c:pt idx="139">
                  <c:v>0.72462401590808911</c:v>
                </c:pt>
                <c:pt idx="140">
                  <c:v>0.72500378395204523</c:v>
                </c:pt>
                <c:pt idx="141">
                  <c:v>0.72525672696895527</c:v>
                </c:pt>
                <c:pt idx="142">
                  <c:v>0.72552970874064115</c:v>
                </c:pt>
                <c:pt idx="143">
                  <c:v>0.72545839281264268</c:v>
                </c:pt>
                <c:pt idx="144">
                  <c:v>0.72682668812205731</c:v>
                </c:pt>
                <c:pt idx="145">
                  <c:v>0.72868230872642736</c:v>
                </c:pt>
                <c:pt idx="146">
                  <c:v>0.72949621977692936</c:v>
                </c:pt>
                <c:pt idx="147">
                  <c:v>0.73229579281772661</c:v>
                </c:pt>
                <c:pt idx="148">
                  <c:v>0.73367032250288899</c:v>
                </c:pt>
                <c:pt idx="149">
                  <c:v>0.73431340702799086</c:v>
                </c:pt>
                <c:pt idx="150">
                  <c:v>0.73495285054365123</c:v>
                </c:pt>
                <c:pt idx="151">
                  <c:v>0.73630437791076986</c:v>
                </c:pt>
                <c:pt idx="152">
                  <c:v>0.73841861181683188</c:v>
                </c:pt>
                <c:pt idx="153">
                  <c:v>0.73983912833939747</c:v>
                </c:pt>
                <c:pt idx="154">
                  <c:v>0.74152225610530142</c:v>
                </c:pt>
                <c:pt idx="155">
                  <c:v>0.74320165709166852</c:v>
                </c:pt>
                <c:pt idx="156">
                  <c:v>0.74462456472497385</c:v>
                </c:pt>
                <c:pt idx="157">
                  <c:v>0.74698271802102856</c:v>
                </c:pt>
                <c:pt idx="158">
                  <c:v>0.74974801122706902</c:v>
                </c:pt>
                <c:pt idx="159">
                  <c:v>0.75307495321027917</c:v>
                </c:pt>
                <c:pt idx="160">
                  <c:v>0.75602693762673301</c:v>
                </c:pt>
                <c:pt idx="161">
                  <c:v>0.75814907427186429</c:v>
                </c:pt>
                <c:pt idx="162">
                  <c:v>0.76062944658815945</c:v>
                </c:pt>
                <c:pt idx="163">
                  <c:v>0.76229624379872429</c:v>
                </c:pt>
                <c:pt idx="164">
                  <c:v>0.76336109263297935</c:v>
                </c:pt>
                <c:pt idx="165">
                  <c:v>0.76602771327111829</c:v>
                </c:pt>
                <c:pt idx="166">
                  <c:v>0.76840899674542473</c:v>
                </c:pt>
                <c:pt idx="167">
                  <c:v>0.76970314278087637</c:v>
                </c:pt>
                <c:pt idx="168">
                  <c:v>0.77221768340123009</c:v>
                </c:pt>
                <c:pt idx="169">
                  <c:v>0.7747093265255155</c:v>
                </c:pt>
                <c:pt idx="170">
                  <c:v>0.77673668552680963</c:v>
                </c:pt>
                <c:pt idx="171">
                  <c:v>0.77915424610051998</c:v>
                </c:pt>
                <c:pt idx="172">
                  <c:v>0.78121440789228458</c:v>
                </c:pt>
                <c:pt idx="173">
                  <c:v>0.78273665258638603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# of cust'!$B$8:$FS$8</c:f>
              <c:numCache>
                <c:formatCode>0.00%</c:formatCode>
                <c:ptCount val="174"/>
                <c:pt idx="0">
                  <c:v>1.9432019728799666E-3</c:v>
                </c:pt>
                <c:pt idx="1">
                  <c:v>4.6780445634289859E-3</c:v>
                </c:pt>
                <c:pt idx="2">
                  <c:v>7.0781779221676918E-3</c:v>
                </c:pt>
                <c:pt idx="3">
                  <c:v>9.0287844274176843E-3</c:v>
                </c:pt>
                <c:pt idx="4">
                  <c:v>1.0509302245606795E-2</c:v>
                </c:pt>
                <c:pt idx="5">
                  <c:v>1.2887056793437324E-2</c:v>
                </c:pt>
                <c:pt idx="6">
                  <c:v>1.7839753300151483E-2</c:v>
                </c:pt>
                <c:pt idx="7">
                  <c:v>2.5669216381639371E-2</c:v>
                </c:pt>
                <c:pt idx="8">
                  <c:v>2.9418749024689765E-2</c:v>
                </c:pt>
                <c:pt idx="9">
                  <c:v>4.0847550982938824E-2</c:v>
                </c:pt>
                <c:pt idx="10">
                  <c:v>4.5556828410113735E-2</c:v>
                </c:pt>
                <c:pt idx="11">
                  <c:v>5.0443275020148864E-2</c:v>
                </c:pt>
                <c:pt idx="12">
                  <c:v>6.1800061310878771E-2</c:v>
                </c:pt>
                <c:pt idx="13">
                  <c:v>6.8234423410415107E-2</c:v>
                </c:pt>
                <c:pt idx="14">
                  <c:v>7.4818936945046849E-2</c:v>
                </c:pt>
                <c:pt idx="15">
                  <c:v>7.8175156893340023E-2</c:v>
                </c:pt>
                <c:pt idx="16">
                  <c:v>8.7529632960026152E-2</c:v>
                </c:pt>
                <c:pt idx="17">
                  <c:v>0.10338203739654644</c:v>
                </c:pt>
                <c:pt idx="18">
                  <c:v>0.11943135315451602</c:v>
                </c:pt>
                <c:pt idx="19">
                  <c:v>0.13197414694420684</c:v>
                </c:pt>
                <c:pt idx="20">
                  <c:v>0.143884011451965</c:v>
                </c:pt>
                <c:pt idx="21">
                  <c:v>0.16397935122044485</c:v>
                </c:pt>
                <c:pt idx="22">
                  <c:v>0.1900521248960049</c:v>
                </c:pt>
                <c:pt idx="23">
                  <c:v>0.19758754480223642</c:v>
                </c:pt>
                <c:pt idx="24">
                  <c:v>0.20034888140747176</c:v>
                </c:pt>
                <c:pt idx="25">
                  <c:v>0.20483303543563991</c:v>
                </c:pt>
                <c:pt idx="26">
                  <c:v>0.21130902732726609</c:v>
                </c:pt>
                <c:pt idx="27">
                  <c:v>0.21554309557960621</c:v>
                </c:pt>
                <c:pt idx="28">
                  <c:v>0.22371151283936774</c:v>
                </c:pt>
                <c:pt idx="29">
                  <c:v>0.23131516634178886</c:v>
                </c:pt>
                <c:pt idx="30">
                  <c:v>0.2410328284941288</c:v>
                </c:pt>
                <c:pt idx="31">
                  <c:v>0.25448748687774597</c:v>
                </c:pt>
                <c:pt idx="32">
                  <c:v>0.2660817309341364</c:v>
                </c:pt>
                <c:pt idx="33">
                  <c:v>0.27311578117544549</c:v>
                </c:pt>
                <c:pt idx="34">
                  <c:v>0.27763064778538965</c:v>
                </c:pt>
                <c:pt idx="35">
                  <c:v>0.28562750666003101</c:v>
                </c:pt>
                <c:pt idx="36">
                  <c:v>0.28900681079514479</c:v>
                </c:pt>
                <c:pt idx="37">
                  <c:v>0.29537979995010094</c:v>
                </c:pt>
                <c:pt idx="38">
                  <c:v>0.29564631614036796</c:v>
                </c:pt>
                <c:pt idx="39">
                  <c:v>0.30081348222876636</c:v>
                </c:pt>
                <c:pt idx="40">
                  <c:v>0.3013152538566275</c:v>
                </c:pt>
                <c:pt idx="41">
                  <c:v>0.30535930629858021</c:v>
                </c:pt>
                <c:pt idx="42">
                  <c:v>0.31568512528852904</c:v>
                </c:pt>
                <c:pt idx="43">
                  <c:v>0.31805972993073101</c:v>
                </c:pt>
                <c:pt idx="44">
                  <c:v>0.33169346040633169</c:v>
                </c:pt>
                <c:pt idx="45">
                  <c:v>0.34021790357905241</c:v>
                </c:pt>
                <c:pt idx="46">
                  <c:v>0.34739694353119693</c:v>
                </c:pt>
                <c:pt idx="47">
                  <c:v>0.35496058177371098</c:v>
                </c:pt>
                <c:pt idx="48">
                  <c:v>0.36045040918320603</c:v>
                </c:pt>
                <c:pt idx="49">
                  <c:v>0.36790465471964912</c:v>
                </c:pt>
                <c:pt idx="50">
                  <c:v>0.37082806692612846</c:v>
                </c:pt>
                <c:pt idx="51">
                  <c:v>0.38215037933723484</c:v>
                </c:pt>
                <c:pt idx="52">
                  <c:v>0.38659295452038439</c:v>
                </c:pt>
                <c:pt idx="53">
                  <c:v>0.40246163454094808</c:v>
                </c:pt>
                <c:pt idx="54">
                  <c:v>0.41687972192697709</c:v>
                </c:pt>
                <c:pt idx="55">
                  <c:v>0.42793153588328076</c:v>
                </c:pt>
                <c:pt idx="56">
                  <c:v>0.44401942882712531</c:v>
                </c:pt>
                <c:pt idx="57">
                  <c:v>0.45152466689733062</c:v>
                </c:pt>
                <c:pt idx="58">
                  <c:v>0.46248979115622446</c:v>
                </c:pt>
                <c:pt idx="59">
                  <c:v>0.4678315027305639</c:v>
                </c:pt>
                <c:pt idx="60">
                  <c:v>0.46587537091988129</c:v>
                </c:pt>
                <c:pt idx="61">
                  <c:v>0.47272872043952546</c:v>
                </c:pt>
                <c:pt idx="62">
                  <c:v>0.47217968351199591</c:v>
                </c:pt>
                <c:pt idx="63">
                  <c:v>0.48349376062710742</c:v>
                </c:pt>
                <c:pt idx="64">
                  <c:v>0.4917510494806458</c:v>
                </c:pt>
                <c:pt idx="65">
                  <c:v>0.4989123393228545</c:v>
                </c:pt>
                <c:pt idx="66">
                  <c:v>0.5093831581537116</c:v>
                </c:pt>
                <c:pt idx="67">
                  <c:v>0.51223317976329241</c:v>
                </c:pt>
                <c:pt idx="68">
                  <c:v>0.52216440571925593</c:v>
                </c:pt>
                <c:pt idx="69">
                  <c:v>0.53032255439205689</c:v>
                </c:pt>
                <c:pt idx="70">
                  <c:v>0.53531167333649865</c:v>
                </c:pt>
                <c:pt idx="71">
                  <c:v>0.541365141042912</c:v>
                </c:pt>
                <c:pt idx="72">
                  <c:v>0.54515184256484484</c:v>
                </c:pt>
                <c:pt idx="73">
                  <c:v>0.54847239738009035</c:v>
                </c:pt>
                <c:pt idx="74">
                  <c:v>0.5535369492715464</c:v>
                </c:pt>
                <c:pt idx="75">
                  <c:v>0.5600947266152102</c:v>
                </c:pt>
                <c:pt idx="76">
                  <c:v>0.56930274391881008</c:v>
                </c:pt>
                <c:pt idx="77">
                  <c:v>0.57509972280440813</c:v>
                </c:pt>
                <c:pt idx="78">
                  <c:v>0.580911997307757</c:v>
                </c:pt>
                <c:pt idx="79">
                  <c:v>0.58600187894242384</c:v>
                </c:pt>
                <c:pt idx="80">
                  <c:v>0.58909395973154366</c:v>
                </c:pt>
                <c:pt idx="81">
                  <c:v>0.5912972229934248</c:v>
                </c:pt>
                <c:pt idx="82">
                  <c:v>0.60092685902195819</c:v>
                </c:pt>
                <c:pt idx="83">
                  <c:v>0.59804033882999874</c:v>
                </c:pt>
                <c:pt idx="84">
                  <c:v>0.59579515484379675</c:v>
                </c:pt>
                <c:pt idx="85">
                  <c:v>0.59853608191422902</c:v>
                </c:pt>
                <c:pt idx="86">
                  <c:v>0.59976138343377372</c:v>
                </c:pt>
                <c:pt idx="87">
                  <c:v>0.60330421701034775</c:v>
                </c:pt>
                <c:pt idx="88">
                  <c:v>0.60605978810985894</c:v>
                </c:pt>
                <c:pt idx="89">
                  <c:v>0.60982532013379731</c:v>
                </c:pt>
                <c:pt idx="90">
                  <c:v>0.612622768233825</c:v>
                </c:pt>
                <c:pt idx="91">
                  <c:v>0.6180219868507385</c:v>
                </c:pt>
                <c:pt idx="92">
                  <c:v>0.62082575604499224</c:v>
                </c:pt>
                <c:pt idx="93">
                  <c:v>0.62337521810287688</c:v>
                </c:pt>
                <c:pt idx="94">
                  <c:v>0.6284331862814857</c:v>
                </c:pt>
                <c:pt idx="95">
                  <c:v>0.63112695179904954</c:v>
                </c:pt>
                <c:pt idx="96">
                  <c:v>0.63624996278543566</c:v>
                </c:pt>
                <c:pt idx="97">
                  <c:v>0.63801002824667863</c:v>
                </c:pt>
                <c:pt idx="98">
                  <c:v>0.64128615019037072</c:v>
                </c:pt>
                <c:pt idx="99">
                  <c:v>0.6435070194384449</c:v>
                </c:pt>
                <c:pt idx="100">
                  <c:v>0.64466608788117397</c:v>
                </c:pt>
                <c:pt idx="101">
                  <c:v>0.64582743607370563</c:v>
                </c:pt>
                <c:pt idx="102">
                  <c:v>0.64774251832075991</c:v>
                </c:pt>
                <c:pt idx="103">
                  <c:v>0.64910006266070308</c:v>
                </c:pt>
                <c:pt idx="104">
                  <c:v>0.65288103149622223</c:v>
                </c:pt>
                <c:pt idx="105">
                  <c:v>0.65464564929016966</c:v>
                </c:pt>
                <c:pt idx="106">
                  <c:v>0.65667935653766885</c:v>
                </c:pt>
                <c:pt idx="107">
                  <c:v>0.66013728101628932</c:v>
                </c:pt>
                <c:pt idx="108">
                  <c:v>0.65878111117872573</c:v>
                </c:pt>
                <c:pt idx="109">
                  <c:v>0.66553512621634958</c:v>
                </c:pt>
                <c:pt idx="110">
                  <c:v>0.66615979346606657</c:v>
                </c:pt>
                <c:pt idx="111">
                  <c:v>0.6678815136476427</c:v>
                </c:pt>
                <c:pt idx="112">
                  <c:v>0.67001391191096382</c:v>
                </c:pt>
                <c:pt idx="113">
                  <c:v>0.66945314284946311</c:v>
                </c:pt>
                <c:pt idx="114">
                  <c:v>0.66950403463885066</c:v>
                </c:pt>
                <c:pt idx="115">
                  <c:v>0.66989475100036988</c:v>
                </c:pt>
                <c:pt idx="116">
                  <c:v>0.67209975287085211</c:v>
                </c:pt>
                <c:pt idx="117">
                  <c:v>0.67275980532493562</c:v>
                </c:pt>
                <c:pt idx="118">
                  <c:v>0.67269559730309947</c:v>
                </c:pt>
                <c:pt idx="119">
                  <c:v>0.6741966419557639</c:v>
                </c:pt>
                <c:pt idx="120">
                  <c:v>0.67404407972225</c:v>
                </c:pt>
                <c:pt idx="121">
                  <c:v>0.6757497238977147</c:v>
                </c:pt>
                <c:pt idx="122">
                  <c:v>0.67659277454513733</c:v>
                </c:pt>
                <c:pt idx="123">
                  <c:v>0.67595105045403259</c:v>
                </c:pt>
                <c:pt idx="124">
                  <c:v>0.67607417882539023</c:v>
                </c:pt>
                <c:pt idx="125">
                  <c:v>0.67454436890173564</c:v>
                </c:pt>
                <c:pt idx="126">
                  <c:v>0.67768081466830599</c:v>
                </c:pt>
                <c:pt idx="127">
                  <c:v>0.67812433269271832</c:v>
                </c:pt>
                <c:pt idx="128">
                  <c:v>0.67916825613534915</c:v>
                </c:pt>
                <c:pt idx="129">
                  <c:v>0.67861823628533979</c:v>
                </c:pt>
                <c:pt idx="130">
                  <c:v>0.68050805080508048</c:v>
                </c:pt>
                <c:pt idx="131">
                  <c:v>0.68320631136232735</c:v>
                </c:pt>
                <c:pt idx="132">
                  <c:v>0.68353643870760838</c:v>
                </c:pt>
                <c:pt idx="133">
                  <c:v>0.68455797358064452</c:v>
                </c:pt>
                <c:pt idx="134">
                  <c:v>0.68727460072127766</c:v>
                </c:pt>
                <c:pt idx="135">
                  <c:v>0.68995583964353446</c:v>
                </c:pt>
                <c:pt idx="136">
                  <c:v>0.68919071347528083</c:v>
                </c:pt>
                <c:pt idx="137">
                  <c:v>0.69091114643116025</c:v>
                </c:pt>
                <c:pt idx="138">
                  <c:v>0.69327667123405556</c:v>
                </c:pt>
                <c:pt idx="139">
                  <c:v>0.69418778337365006</c:v>
                </c:pt>
                <c:pt idx="140">
                  <c:v>0.69650153895139033</c:v>
                </c:pt>
                <c:pt idx="141">
                  <c:v>0.69915800955053942</c:v>
                </c:pt>
                <c:pt idx="142">
                  <c:v>0.70114208555331614</c:v>
                </c:pt>
                <c:pt idx="143">
                  <c:v>0.70268514363408641</c:v>
                </c:pt>
                <c:pt idx="144">
                  <c:v>0.70250111222333445</c:v>
                </c:pt>
                <c:pt idx="145">
                  <c:v>0.70594751077102902</c:v>
                </c:pt>
                <c:pt idx="146">
                  <c:v>0.70721689810287502</c:v>
                </c:pt>
                <c:pt idx="147">
                  <c:v>0.70913638565087878</c:v>
                </c:pt>
                <c:pt idx="148">
                  <c:v>0.71112389187473968</c:v>
                </c:pt>
                <c:pt idx="149">
                  <c:v>0.7113790155285884</c:v>
                </c:pt>
                <c:pt idx="150">
                  <c:v>0.71512593366898003</c:v>
                </c:pt>
                <c:pt idx="151">
                  <c:v>0.71748468697796519</c:v>
                </c:pt>
                <c:pt idx="152">
                  <c:v>0.71510291330008202</c:v>
                </c:pt>
                <c:pt idx="153">
                  <c:v>0.7233480349947744</c:v>
                </c:pt>
                <c:pt idx="154">
                  <c:v>0.72556549461841469</c:v>
                </c:pt>
                <c:pt idx="155">
                  <c:v>0.72539974585693867</c:v>
                </c:pt>
                <c:pt idx="156">
                  <c:v>0.72595791394976661</c:v>
                </c:pt>
                <c:pt idx="157">
                  <c:v>0.72860588837854812</c:v>
                </c:pt>
                <c:pt idx="158">
                  <c:v>0.73196471979065658</c:v>
                </c:pt>
                <c:pt idx="159">
                  <c:v>0.73531917704170935</c:v>
                </c:pt>
                <c:pt idx="160">
                  <c:v>0.73712538468650524</c:v>
                </c:pt>
                <c:pt idx="161">
                  <c:v>0.7394671909430377</c:v>
                </c:pt>
                <c:pt idx="162">
                  <c:v>0.74244681131528301</c:v>
                </c:pt>
                <c:pt idx="163">
                  <c:v>0.74367612254181303</c:v>
                </c:pt>
                <c:pt idx="164">
                  <c:v>0.74710639708319526</c:v>
                </c:pt>
                <c:pt idx="165">
                  <c:v>0.75034275469310274</c:v>
                </c:pt>
                <c:pt idx="166">
                  <c:v>0.75237307208578807</c:v>
                </c:pt>
                <c:pt idx="167">
                  <c:v>0.75338603460687337</c:v>
                </c:pt>
                <c:pt idx="168">
                  <c:v>0.75601959097226823</c:v>
                </c:pt>
                <c:pt idx="169">
                  <c:v>0.7575717515169943</c:v>
                </c:pt>
                <c:pt idx="170">
                  <c:v>0.75926073342885947</c:v>
                </c:pt>
                <c:pt idx="171">
                  <c:v>0.76307767587333286</c:v>
                </c:pt>
                <c:pt idx="172">
                  <c:v>0.76577317687938873</c:v>
                </c:pt>
                <c:pt idx="173">
                  <c:v>0.76746234650488143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# of cust'!$B$9:$FS$9</c:f>
              <c:numCache>
                <c:formatCode>0.00%</c:formatCode>
                <c:ptCount val="174"/>
                <c:pt idx="0">
                  <c:v>8.1400453647472015E-3</c:v>
                </c:pt>
                <c:pt idx="1">
                  <c:v>1.2996705316999473E-2</c:v>
                </c:pt>
                <c:pt idx="2">
                  <c:v>1.5656522430215071E-2</c:v>
                </c:pt>
                <c:pt idx="3">
                  <c:v>2.1551153924787434E-2</c:v>
                </c:pt>
                <c:pt idx="4">
                  <c:v>2.4339151520971887E-2</c:v>
                </c:pt>
                <c:pt idx="5">
                  <c:v>2.0623286926912905E-2</c:v>
                </c:pt>
                <c:pt idx="6">
                  <c:v>3.0065562787136294E-2</c:v>
                </c:pt>
                <c:pt idx="7">
                  <c:v>3.5659768848489024E-2</c:v>
                </c:pt>
                <c:pt idx="8">
                  <c:v>3.7734348821227559E-2</c:v>
                </c:pt>
                <c:pt idx="9">
                  <c:v>4.1697072549851506E-2</c:v>
                </c:pt>
                <c:pt idx="10">
                  <c:v>4.4664857791850997E-2</c:v>
                </c:pt>
                <c:pt idx="11">
                  <c:v>4.8377554271150959E-2</c:v>
                </c:pt>
                <c:pt idx="12">
                  <c:v>5.4701606005891856E-2</c:v>
                </c:pt>
                <c:pt idx="13">
                  <c:v>5.5948541596137054E-2</c:v>
                </c:pt>
                <c:pt idx="14">
                  <c:v>5.7447363120416116E-2</c:v>
                </c:pt>
                <c:pt idx="15">
                  <c:v>5.9342606538495615E-2</c:v>
                </c:pt>
                <c:pt idx="16">
                  <c:v>5.9993998835067987E-2</c:v>
                </c:pt>
                <c:pt idx="17">
                  <c:v>6.6713656387665202E-2</c:v>
                </c:pt>
                <c:pt idx="18">
                  <c:v>8.5665992115944736E-2</c:v>
                </c:pt>
                <c:pt idx="19">
                  <c:v>9.4668962096232961E-2</c:v>
                </c:pt>
                <c:pt idx="20">
                  <c:v>0.10378716781402832</c:v>
                </c:pt>
                <c:pt idx="21">
                  <c:v>0.11372232324934203</c:v>
                </c:pt>
                <c:pt idx="22">
                  <c:v>0.12252595740711592</c:v>
                </c:pt>
                <c:pt idx="23">
                  <c:v>0.13085652807662942</c:v>
                </c:pt>
                <c:pt idx="24">
                  <c:v>0.13979826272142779</c:v>
                </c:pt>
                <c:pt idx="25">
                  <c:v>0.14336169622419015</c:v>
                </c:pt>
                <c:pt idx="26">
                  <c:v>0.14678412777063971</c:v>
                </c:pt>
                <c:pt idx="27">
                  <c:v>0.15291153222187706</c:v>
                </c:pt>
                <c:pt idx="28">
                  <c:v>0.16082556085548083</c:v>
                </c:pt>
                <c:pt idx="29">
                  <c:v>0.17214583558511154</c:v>
                </c:pt>
                <c:pt idx="30">
                  <c:v>0.17653422954744258</c:v>
                </c:pt>
                <c:pt idx="31">
                  <c:v>0.18421249791086752</c:v>
                </c:pt>
                <c:pt idx="32">
                  <c:v>0.19437585970728227</c:v>
                </c:pt>
                <c:pt idx="33">
                  <c:v>0.20030416941662602</c:v>
                </c:pt>
                <c:pt idx="34">
                  <c:v>0.20552712619202987</c:v>
                </c:pt>
                <c:pt idx="35">
                  <c:v>0.21155949538158475</c:v>
                </c:pt>
                <c:pt idx="36">
                  <c:v>0.21586368910507395</c:v>
                </c:pt>
                <c:pt idx="37">
                  <c:v>0.21965215603873561</c:v>
                </c:pt>
                <c:pt idx="38">
                  <c:v>0.22309908984564467</c:v>
                </c:pt>
                <c:pt idx="39">
                  <c:v>0.22697359081953064</c:v>
                </c:pt>
                <c:pt idx="40">
                  <c:v>0.23189293757906859</c:v>
                </c:pt>
                <c:pt idx="41">
                  <c:v>0.23756199189293237</c:v>
                </c:pt>
                <c:pt idx="42">
                  <c:v>0.24387522794459107</c:v>
                </c:pt>
                <c:pt idx="43">
                  <c:v>0.25073659565564083</c:v>
                </c:pt>
                <c:pt idx="44">
                  <c:v>0.25799006487320236</c:v>
                </c:pt>
                <c:pt idx="45">
                  <c:v>0.26528260967785661</c:v>
                </c:pt>
                <c:pt idx="46">
                  <c:v>0.27219629464512451</c:v>
                </c:pt>
                <c:pt idx="47">
                  <c:v>0.27768666282304605</c:v>
                </c:pt>
                <c:pt idx="48">
                  <c:v>0.28606340485058906</c:v>
                </c:pt>
                <c:pt idx="49">
                  <c:v>0.29170854976835603</c:v>
                </c:pt>
                <c:pt idx="50">
                  <c:v>0.29596922956159977</c:v>
                </c:pt>
                <c:pt idx="51">
                  <c:v>0.30180909121346383</c:v>
                </c:pt>
                <c:pt idx="52">
                  <c:v>0.30683797909407667</c:v>
                </c:pt>
                <c:pt idx="53">
                  <c:v>0.31329704553431648</c:v>
                </c:pt>
                <c:pt idx="54">
                  <c:v>0.32166450542906594</c:v>
                </c:pt>
                <c:pt idx="55">
                  <c:v>0.32749256469411014</c:v>
                </c:pt>
                <c:pt idx="56">
                  <c:v>0.33241756717006055</c:v>
                </c:pt>
                <c:pt idx="57">
                  <c:v>0.33628214002329782</c:v>
                </c:pt>
                <c:pt idx="58">
                  <c:v>0.34215345894989946</c:v>
                </c:pt>
                <c:pt idx="59">
                  <c:v>0.34743440184417196</c:v>
                </c:pt>
                <c:pt idx="60">
                  <c:v>0.35282937413448007</c:v>
                </c:pt>
                <c:pt idx="61">
                  <c:v>0.35762483887238694</c:v>
                </c:pt>
                <c:pt idx="62">
                  <c:v>0.36372219832282071</c:v>
                </c:pt>
                <c:pt idx="63">
                  <c:v>0.37054421047344244</c:v>
                </c:pt>
                <c:pt idx="64">
                  <c:v>0.37834707061706391</c:v>
                </c:pt>
                <c:pt idx="65">
                  <c:v>0.38507986192045995</c:v>
                </c:pt>
                <c:pt idx="66">
                  <c:v>0.39355993839070746</c:v>
                </c:pt>
                <c:pt idx="67">
                  <c:v>0.40155078315658693</c:v>
                </c:pt>
                <c:pt idx="68">
                  <c:v>0.4093344043431294</c:v>
                </c:pt>
                <c:pt idx="69">
                  <c:v>0.41824285776978104</c:v>
                </c:pt>
                <c:pt idx="70">
                  <c:v>0.42667010179302634</c:v>
                </c:pt>
                <c:pt idx="71">
                  <c:v>0.43607180824830399</c:v>
                </c:pt>
                <c:pt idx="72">
                  <c:v>0.44658627949580293</c:v>
                </c:pt>
                <c:pt idx="73">
                  <c:v>0.4544610071690855</c:v>
                </c:pt>
                <c:pt idx="74">
                  <c:v>0.46446571617349142</c:v>
                </c:pt>
                <c:pt idx="75">
                  <c:v>0.47564785984817609</c:v>
                </c:pt>
                <c:pt idx="76">
                  <c:v>0.4861498550944871</c:v>
                </c:pt>
                <c:pt idx="77">
                  <c:v>0.49431688650056993</c:v>
                </c:pt>
                <c:pt idx="78">
                  <c:v>0.50560710792128971</c:v>
                </c:pt>
                <c:pt idx="79">
                  <c:v>0.52577514358509303</c:v>
                </c:pt>
                <c:pt idx="80">
                  <c:v>0.55587994042351108</c:v>
                </c:pt>
                <c:pt idx="81">
                  <c:v>0.58540045198837132</c:v>
                </c:pt>
                <c:pt idx="82">
                  <c:v>0.6055887773139268</c:v>
                </c:pt>
                <c:pt idx="83">
                  <c:v>0.61422027698216031</c:v>
                </c:pt>
                <c:pt idx="84">
                  <c:v>0.61837285262994168</c:v>
                </c:pt>
                <c:pt idx="85">
                  <c:v>0.62169358943448794</c:v>
                </c:pt>
                <c:pt idx="86">
                  <c:v>0.62453652925282899</c:v>
                </c:pt>
                <c:pt idx="87">
                  <c:v>0.62723895555496167</c:v>
                </c:pt>
                <c:pt idx="88">
                  <c:v>0.63030665733353997</c:v>
                </c:pt>
                <c:pt idx="89">
                  <c:v>0.63388740175570768</c:v>
                </c:pt>
                <c:pt idx="90">
                  <c:v>0.63779031931123509</c:v>
                </c:pt>
                <c:pt idx="91">
                  <c:v>0.64180401270761822</c:v>
                </c:pt>
                <c:pt idx="92">
                  <c:v>0.64691373808724739</c:v>
                </c:pt>
                <c:pt idx="93">
                  <c:v>0.65196459988271049</c:v>
                </c:pt>
                <c:pt idx="94">
                  <c:v>0.65595057723906869</c:v>
                </c:pt>
                <c:pt idx="95">
                  <c:v>0.65937221454229089</c:v>
                </c:pt>
                <c:pt idx="96">
                  <c:v>0.66233246756017305</c:v>
                </c:pt>
                <c:pt idx="97">
                  <c:v>0.66546158399053001</c:v>
                </c:pt>
                <c:pt idx="98">
                  <c:v>0.66993178891809346</c:v>
                </c:pt>
                <c:pt idx="99">
                  <c:v>0.67375366568914952</c:v>
                </c:pt>
                <c:pt idx="100">
                  <c:v>0.67838295118833569</c:v>
                </c:pt>
                <c:pt idx="101">
                  <c:v>0.68265686565267125</c:v>
                </c:pt>
                <c:pt idx="102">
                  <c:v>0.68709955610579387</c:v>
                </c:pt>
                <c:pt idx="103">
                  <c:v>0.69179613780416249</c:v>
                </c:pt>
                <c:pt idx="104">
                  <c:v>0.6960335198482519</c:v>
                </c:pt>
                <c:pt idx="105">
                  <c:v>0.70023779327837665</c:v>
                </c:pt>
                <c:pt idx="106">
                  <c:v>0.70471512459177266</c:v>
                </c:pt>
                <c:pt idx="107">
                  <c:v>0.70808923948177405</c:v>
                </c:pt>
                <c:pt idx="108">
                  <c:v>0.71090269513107041</c:v>
                </c:pt>
                <c:pt idx="109">
                  <c:v>0.71358398678889046</c:v>
                </c:pt>
                <c:pt idx="110">
                  <c:v>0.71703241921434047</c:v>
                </c:pt>
                <c:pt idx="111">
                  <c:v>0.72060327332413876</c:v>
                </c:pt>
                <c:pt idx="112">
                  <c:v>0.72323215389612427</c:v>
                </c:pt>
                <c:pt idx="113">
                  <c:v>0.72578897502604178</c:v>
                </c:pt>
                <c:pt idx="114">
                  <c:v>0.72796818744741887</c:v>
                </c:pt>
                <c:pt idx="115">
                  <c:v>0.72860282181241154</c:v>
                </c:pt>
                <c:pt idx="116">
                  <c:v>0.7286884390651085</c:v>
                </c:pt>
                <c:pt idx="117">
                  <c:v>0.73511202522394603</c:v>
                </c:pt>
                <c:pt idx="118">
                  <c:v>0.73784370628640628</c:v>
                </c:pt>
                <c:pt idx="119">
                  <c:v>0.73968222505059777</c:v>
                </c:pt>
                <c:pt idx="120">
                  <c:v>0.74100892065313784</c:v>
                </c:pt>
                <c:pt idx="121">
                  <c:v>0.74315234690948939</c:v>
                </c:pt>
                <c:pt idx="122">
                  <c:v>0.74555358052411103</c:v>
                </c:pt>
                <c:pt idx="123">
                  <c:v>0.74747710708278825</c:v>
                </c:pt>
                <c:pt idx="124">
                  <c:v>0.74998444919032115</c:v>
                </c:pt>
                <c:pt idx="125">
                  <c:v>0.7532028691073428</c:v>
                </c:pt>
                <c:pt idx="126">
                  <c:v>0.75580805466404388</c:v>
                </c:pt>
                <c:pt idx="127">
                  <c:v>0.75804899749632726</c:v>
                </c:pt>
                <c:pt idx="128">
                  <c:v>0.7601379831089643</c:v>
                </c:pt>
                <c:pt idx="129">
                  <c:v>0.76254448352624593</c:v>
                </c:pt>
                <c:pt idx="130">
                  <c:v>0.7643568651144057</c:v>
                </c:pt>
                <c:pt idx="131">
                  <c:v>0.7659486586398464</c:v>
                </c:pt>
                <c:pt idx="132">
                  <c:v>0.76779351208141222</c:v>
                </c:pt>
                <c:pt idx="133">
                  <c:v>0.77023491985178105</c:v>
                </c:pt>
                <c:pt idx="134">
                  <c:v>0.77209304712396531</c:v>
                </c:pt>
                <c:pt idx="135">
                  <c:v>0.77375435718679519</c:v>
                </c:pt>
                <c:pt idx="136">
                  <c:v>0.77545267100193915</c:v>
                </c:pt>
                <c:pt idx="137">
                  <c:v>0.77746998131032541</c:v>
                </c:pt>
                <c:pt idx="138">
                  <c:v>0.77880151381277551</c:v>
                </c:pt>
                <c:pt idx="139">
                  <c:v>0.78038066601210931</c:v>
                </c:pt>
                <c:pt idx="140">
                  <c:v>0.7823240756343286</c:v>
                </c:pt>
                <c:pt idx="141">
                  <c:v>0.78345031024310852</c:v>
                </c:pt>
                <c:pt idx="142">
                  <c:v>0.78543773623454893</c:v>
                </c:pt>
                <c:pt idx="143">
                  <c:v>0.78607033569075513</c:v>
                </c:pt>
                <c:pt idx="144">
                  <c:v>0.78731017585053975</c:v>
                </c:pt>
                <c:pt idx="145">
                  <c:v>0.78911384408465202</c:v>
                </c:pt>
                <c:pt idx="146">
                  <c:v>0.79070074698917625</c:v>
                </c:pt>
                <c:pt idx="147">
                  <c:v>0.79200284162987766</c:v>
                </c:pt>
                <c:pt idx="148">
                  <c:v>0.79339698257931635</c:v>
                </c:pt>
                <c:pt idx="149">
                  <c:v>0.79571561469856611</c:v>
                </c:pt>
                <c:pt idx="150">
                  <c:v>0.79770460693664957</c:v>
                </c:pt>
                <c:pt idx="151">
                  <c:v>0.80012385584388124</c:v>
                </c:pt>
                <c:pt idx="152">
                  <c:v>0.80213112029851796</c:v>
                </c:pt>
                <c:pt idx="153">
                  <c:v>0.80351099830795258</c:v>
                </c:pt>
                <c:pt idx="154">
                  <c:v>0.80522740994163811</c:v>
                </c:pt>
                <c:pt idx="155">
                  <c:v>0.80665021535801695</c:v>
                </c:pt>
                <c:pt idx="156">
                  <c:v>0.80916804739669634</c:v>
                </c:pt>
                <c:pt idx="157">
                  <c:v>0.80969990115453505</c:v>
                </c:pt>
                <c:pt idx="158">
                  <c:v>0.8115073299085328</c:v>
                </c:pt>
                <c:pt idx="159">
                  <c:v>0.81326263400077103</c:v>
                </c:pt>
                <c:pt idx="160">
                  <c:v>0.81428064014247625</c:v>
                </c:pt>
                <c:pt idx="161">
                  <c:v>0.81529667257432414</c:v>
                </c:pt>
                <c:pt idx="162">
                  <c:v>0.81746864264798735</c:v>
                </c:pt>
                <c:pt idx="163">
                  <c:v>0.81903910170417848</c:v>
                </c:pt>
                <c:pt idx="164">
                  <c:v>0.82079495518756673</c:v>
                </c:pt>
                <c:pt idx="165">
                  <c:v>0.82326761624391642</c:v>
                </c:pt>
                <c:pt idx="166">
                  <c:v>0.82468143714948183</c:v>
                </c:pt>
                <c:pt idx="167">
                  <c:v>0.8260949248585836</c:v>
                </c:pt>
                <c:pt idx="168">
                  <c:v>0.82747896084888406</c:v>
                </c:pt>
                <c:pt idx="169">
                  <c:v>0.8284625912183361</c:v>
                </c:pt>
                <c:pt idx="170">
                  <c:v>0.82939918930794942</c:v>
                </c:pt>
                <c:pt idx="171">
                  <c:v>0.83066710036075464</c:v>
                </c:pt>
                <c:pt idx="172">
                  <c:v>0.83187308650239711</c:v>
                </c:pt>
                <c:pt idx="173">
                  <c:v>0.83301273694205158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# of cust'!$B$12:$FS$12</c:f>
              <c:numCache>
                <c:formatCode>0.00%</c:formatCode>
                <c:ptCount val="174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0.65658399383811572</c:v>
                </c:pt>
                <c:pt idx="166">
                  <c:v>0.65780789950974361</c:v>
                </c:pt>
                <c:pt idx="167">
                  <c:v>0.65863801063537109</c:v>
                </c:pt>
                <c:pt idx="168">
                  <c:v>0.65980737607096795</c:v>
                </c:pt>
                <c:pt idx="169">
                  <c:v>0.66113620548420138</c:v>
                </c:pt>
                <c:pt idx="170">
                  <c:v>0.66272674372236318</c:v>
                </c:pt>
                <c:pt idx="171">
                  <c:v>0.6645511863825172</c:v>
                </c:pt>
                <c:pt idx="172">
                  <c:v>0.66592128450761656</c:v>
                </c:pt>
                <c:pt idx="173">
                  <c:v>0.66695606128379625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# of cust'!$A$10</c:f>
              <c:strCache>
                <c:ptCount val="1"/>
                <c:pt idx="0">
                  <c:v>Sharyland Utilities LP </c:v>
                </c:pt>
              </c:strCache>
            </c:strRef>
          </c:tx>
          <c:cat>
            <c:numRef>
              <c:f>'res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# of cust'!$B$10:$FS$10</c:f>
              <c:numCache>
                <c:formatCode>0.00%</c:formatCode>
                <c:ptCount val="174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# of cust'!$B$11:$FS$11</c:f>
              <c:numCache>
                <c:formatCode>0.00%</c:formatCode>
                <c:ptCount val="174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092200"/>
        <c:axId val="338095728"/>
      </c:lineChart>
      <c:dateAx>
        <c:axId val="338092200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95728"/>
        <c:crosses val="autoZero"/>
        <c:auto val="1"/>
        <c:lblOffset val="0"/>
        <c:baseTimeUnit val="months"/>
        <c:majorUnit val="6"/>
        <c:majorTimeUnit val="months"/>
      </c:dateAx>
      <c:valAx>
        <c:axId val="338095728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92200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7727779058702622E-3"/>
          <c:y val="0.88624560818786569"/>
          <c:w val="0.87033609923277855"/>
          <c:h val="0.113754366506310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Megawatt-hours switched to Competitive REP</a:t>
            </a:r>
          </a:p>
        </c:rich>
      </c:tx>
      <c:layout>
        <c:manualLayout>
          <c:xMode val="edge"/>
          <c:yMode val="edge"/>
          <c:x val="0.10161290322580646"/>
          <c:y val="1.4778325123152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9677419354838"/>
          <c:y val="0.21182291485014199"/>
          <c:w val="0.8403225806451613"/>
          <c:h val="0.44088722974622585"/>
        </c:manualLayout>
      </c:layout>
      <c:lineChart>
        <c:grouping val="standard"/>
        <c:varyColors val="0"/>
        <c:ser>
          <c:idx val="0"/>
          <c:order val="0"/>
          <c:tx>
            <c:strRef>
              <c:f>'res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MWH'!$B$5:$FS$5</c:f>
              <c:numCache>
                <c:formatCode>0.00%</c:formatCode>
                <c:ptCount val="174"/>
                <c:pt idx="0">
                  <c:v>4.5333427888743007E-5</c:v>
                </c:pt>
                <c:pt idx="1">
                  <c:v>2.3912389247110529E-2</c:v>
                </c:pt>
                <c:pt idx="2">
                  <c:v>2.4833978689815243E-2</c:v>
                </c:pt>
                <c:pt idx="3">
                  <c:v>2.6445468992959888E-2</c:v>
                </c:pt>
                <c:pt idx="4">
                  <c:v>3.1134766156631067E-2</c:v>
                </c:pt>
                <c:pt idx="5">
                  <c:v>3.7188415205577439E-2</c:v>
                </c:pt>
                <c:pt idx="6">
                  <c:v>4.5375175811400159E-2</c:v>
                </c:pt>
                <c:pt idx="7">
                  <c:v>5.1768974429800475E-2</c:v>
                </c:pt>
                <c:pt idx="8">
                  <c:v>5.957521340335379E-2</c:v>
                </c:pt>
                <c:pt idx="9">
                  <c:v>6.1795657257865892E-2</c:v>
                </c:pt>
                <c:pt idx="10">
                  <c:v>6.5929551470678846E-2</c:v>
                </c:pt>
                <c:pt idx="11">
                  <c:v>6.8359837052767575E-2</c:v>
                </c:pt>
                <c:pt idx="12">
                  <c:v>7.3417195343520383E-2</c:v>
                </c:pt>
                <c:pt idx="13">
                  <c:v>7.3201121942192124E-2</c:v>
                </c:pt>
                <c:pt idx="14">
                  <c:v>7.6660498239112571E-2</c:v>
                </c:pt>
                <c:pt idx="15">
                  <c:v>8.2107830591458611E-2</c:v>
                </c:pt>
                <c:pt idx="16">
                  <c:v>9.1379919739041679E-2</c:v>
                </c:pt>
                <c:pt idx="17">
                  <c:v>9.5644797357453293E-2</c:v>
                </c:pt>
                <c:pt idx="18">
                  <c:v>0.10282167701590177</c:v>
                </c:pt>
                <c:pt idx="19">
                  <c:v>0.1116538258619203</c:v>
                </c:pt>
                <c:pt idx="20">
                  <c:v>0.1179210532073732</c:v>
                </c:pt>
                <c:pt idx="21">
                  <c:v>0.1275697035227159</c:v>
                </c:pt>
                <c:pt idx="22">
                  <c:v>0.13673048957297124</c:v>
                </c:pt>
                <c:pt idx="23">
                  <c:v>0.14106119754696061</c:v>
                </c:pt>
                <c:pt idx="24">
                  <c:v>0.14361409313577503</c:v>
                </c:pt>
                <c:pt idx="25">
                  <c:v>0.14435098473498462</c:v>
                </c:pt>
                <c:pt idx="26">
                  <c:v>0.14555750578317989</c:v>
                </c:pt>
                <c:pt idx="27">
                  <c:v>0.14791710610949224</c:v>
                </c:pt>
                <c:pt idx="28">
                  <c:v>0.15007728986528371</c:v>
                </c:pt>
                <c:pt idx="29">
                  <c:v>0.15339545317851092</c:v>
                </c:pt>
                <c:pt idx="30">
                  <c:v>0.15485400678857758</c:v>
                </c:pt>
                <c:pt idx="31">
                  <c:v>0.16211736818147851</c:v>
                </c:pt>
                <c:pt idx="32">
                  <c:v>0.17025451537828479</c:v>
                </c:pt>
                <c:pt idx="33">
                  <c:v>0.17859066306051349</c:v>
                </c:pt>
                <c:pt idx="34">
                  <c:v>0.18559941324147741</c:v>
                </c:pt>
                <c:pt idx="35">
                  <c:v>0.19299245808496535</c:v>
                </c:pt>
                <c:pt idx="36">
                  <c:v>0.19825439457601923</c:v>
                </c:pt>
                <c:pt idx="37">
                  <c:v>0.20406778752321084</c:v>
                </c:pt>
                <c:pt idx="38">
                  <c:v>0.2078613481168437</c:v>
                </c:pt>
                <c:pt idx="39">
                  <c:v>0.21439921967160999</c:v>
                </c:pt>
                <c:pt idx="40">
                  <c:v>0.22122107168143035</c:v>
                </c:pt>
                <c:pt idx="41">
                  <c:v>0.23105602522533439</c:v>
                </c:pt>
                <c:pt idx="42">
                  <c:v>0.24212112200449251</c:v>
                </c:pt>
                <c:pt idx="43">
                  <c:v>0.25222069030744942</c:v>
                </c:pt>
                <c:pt idx="44">
                  <c:v>0.26169913599532418</c:v>
                </c:pt>
                <c:pt idx="45">
                  <c:v>0.27198767904718452</c:v>
                </c:pt>
                <c:pt idx="46">
                  <c:v>0.28069387224177722</c:v>
                </c:pt>
                <c:pt idx="47">
                  <c:v>0.28765490468629135</c:v>
                </c:pt>
                <c:pt idx="48">
                  <c:v>0.29032957307006418</c:v>
                </c:pt>
                <c:pt idx="49">
                  <c:v>0.29460688310455796</c:v>
                </c:pt>
                <c:pt idx="50">
                  <c:v>0.2992737008542839</c:v>
                </c:pt>
                <c:pt idx="51">
                  <c:v>0.30213025771905511</c:v>
                </c:pt>
                <c:pt idx="52">
                  <c:v>0.30565481923872806</c:v>
                </c:pt>
                <c:pt idx="53">
                  <c:v>0.31005580890461615</c:v>
                </c:pt>
                <c:pt idx="54">
                  <c:v>0.31533830842152816</c:v>
                </c:pt>
                <c:pt idx="55">
                  <c:v>0.32066813429575081</c:v>
                </c:pt>
                <c:pt idx="56">
                  <c:v>0.32777516984532751</c:v>
                </c:pt>
                <c:pt idx="57">
                  <c:v>0.33707165334248784</c:v>
                </c:pt>
                <c:pt idx="58">
                  <c:v>0.34622979810893034</c:v>
                </c:pt>
                <c:pt idx="59">
                  <c:v>0.35471855480640574</c:v>
                </c:pt>
                <c:pt idx="60">
                  <c:v>0.36090830678355473</c:v>
                </c:pt>
                <c:pt idx="61">
                  <c:v>0.36738713933683692</c:v>
                </c:pt>
                <c:pt idx="62">
                  <c:v>0.36786989444708096</c:v>
                </c:pt>
                <c:pt idx="63">
                  <c:v>0.37124329931337036</c:v>
                </c:pt>
                <c:pt idx="64">
                  <c:v>0.37902232835535615</c:v>
                </c:pt>
                <c:pt idx="65">
                  <c:v>0.38364376784963811</c:v>
                </c:pt>
                <c:pt idx="66">
                  <c:v>0.38698764002143782</c:v>
                </c:pt>
                <c:pt idx="67">
                  <c:v>0.38892504884082535</c:v>
                </c:pt>
                <c:pt idx="68">
                  <c:v>0.38993026023273503</c:v>
                </c:pt>
                <c:pt idx="69">
                  <c:v>0.39269920575648248</c:v>
                </c:pt>
                <c:pt idx="70">
                  <c:v>0.39399953737116183</c:v>
                </c:pt>
                <c:pt idx="71">
                  <c:v>0.39944959987943579</c:v>
                </c:pt>
                <c:pt idx="72">
                  <c:v>0.40209827723412883</c:v>
                </c:pt>
                <c:pt idx="73">
                  <c:v>0.4022444984080199</c:v>
                </c:pt>
                <c:pt idx="74">
                  <c:v>0.40228926307328405</c:v>
                </c:pt>
                <c:pt idx="75">
                  <c:v>0.40060940679939561</c:v>
                </c:pt>
                <c:pt idx="76">
                  <c:v>0.40354668681211109</c:v>
                </c:pt>
                <c:pt idx="77">
                  <c:v>0.40163612374672181</c:v>
                </c:pt>
                <c:pt idx="78">
                  <c:v>0.40108725867944744</c:v>
                </c:pt>
                <c:pt idx="79">
                  <c:v>0.4025098322920117</c:v>
                </c:pt>
                <c:pt idx="80">
                  <c:v>0.40130046581412859</c:v>
                </c:pt>
                <c:pt idx="81">
                  <c:v>0.40099353418154804</c:v>
                </c:pt>
                <c:pt idx="82">
                  <c:v>0.40204837176329533</c:v>
                </c:pt>
                <c:pt idx="83">
                  <c:v>0.40486218317018247</c:v>
                </c:pt>
                <c:pt idx="84">
                  <c:v>0.40594992371892669</c:v>
                </c:pt>
                <c:pt idx="85">
                  <c:v>0.40468137710321428</c:v>
                </c:pt>
                <c:pt idx="86">
                  <c:v>0.40221610858131301</c:v>
                </c:pt>
                <c:pt idx="87">
                  <c:v>0.4008424854215562</c:v>
                </c:pt>
                <c:pt idx="88">
                  <c:v>0.40143980710814542</c:v>
                </c:pt>
                <c:pt idx="89">
                  <c:v>0.4016614833166412</c:v>
                </c:pt>
                <c:pt idx="90">
                  <c:v>0.40203792900067903</c:v>
                </c:pt>
                <c:pt idx="91">
                  <c:v>0.40586497912035263</c:v>
                </c:pt>
                <c:pt idx="92">
                  <c:v>0.41137382100780473</c:v>
                </c:pt>
                <c:pt idx="93">
                  <c:v>0.41902298579679431</c:v>
                </c:pt>
                <c:pt idx="94">
                  <c:v>0.42455968868520283</c:v>
                </c:pt>
                <c:pt idx="95">
                  <c:v>0.42959167314693658</c:v>
                </c:pt>
                <c:pt idx="96">
                  <c:v>0.43338817988588874</c:v>
                </c:pt>
                <c:pt idx="97">
                  <c:v>0.4371259808938458</c:v>
                </c:pt>
                <c:pt idx="98">
                  <c:v>0.43857216997581028</c:v>
                </c:pt>
                <c:pt idx="99">
                  <c:v>0.43897040652563557</c:v>
                </c:pt>
                <c:pt idx="100">
                  <c:v>0.44395522529009096</c:v>
                </c:pt>
                <c:pt idx="101">
                  <c:v>0.44332556710797355</c:v>
                </c:pt>
                <c:pt idx="102">
                  <c:v>0.44513212982678313</c:v>
                </c:pt>
                <c:pt idx="103">
                  <c:v>0.44887124328488909</c:v>
                </c:pt>
                <c:pt idx="104">
                  <c:v>0.45425353544971137</c:v>
                </c:pt>
                <c:pt idx="105">
                  <c:v>0.46276569511614363</c:v>
                </c:pt>
                <c:pt idx="106">
                  <c:v>0.47165863740458658</c:v>
                </c:pt>
                <c:pt idx="107">
                  <c:v>0.47766732015070357</c:v>
                </c:pt>
                <c:pt idx="108">
                  <c:v>0.4824454321553181</c:v>
                </c:pt>
                <c:pt idx="109">
                  <c:v>0.49040597575894451</c:v>
                </c:pt>
                <c:pt idx="110">
                  <c:v>0.48778948818245543</c:v>
                </c:pt>
                <c:pt idx="111">
                  <c:v>0.49378381412689637</c:v>
                </c:pt>
                <c:pt idx="112">
                  <c:v>0.4963537501530309</c:v>
                </c:pt>
                <c:pt idx="113">
                  <c:v>0.49564498108793387</c:v>
                </c:pt>
                <c:pt idx="114">
                  <c:v>0.4963409317574447</c:v>
                </c:pt>
                <c:pt idx="115">
                  <c:v>0.50175485037342171</c:v>
                </c:pt>
                <c:pt idx="116">
                  <c:v>0.50881632016603118</c:v>
                </c:pt>
                <c:pt idx="117">
                  <c:v>0.51739973144335405</c:v>
                </c:pt>
                <c:pt idx="118">
                  <c:v>0.52623095587463453</c:v>
                </c:pt>
                <c:pt idx="119">
                  <c:v>0.53235499518883567</c:v>
                </c:pt>
                <c:pt idx="120">
                  <c:v>0.53289731912352178</c:v>
                </c:pt>
                <c:pt idx="121">
                  <c:v>0.53852042297636116</c:v>
                </c:pt>
                <c:pt idx="122">
                  <c:v>0.53906469054949668</c:v>
                </c:pt>
                <c:pt idx="123">
                  <c:v>0.54400535784306137</c:v>
                </c:pt>
                <c:pt idx="124">
                  <c:v>0.54578748317283765</c:v>
                </c:pt>
                <c:pt idx="125">
                  <c:v>0.54376231374131723</c:v>
                </c:pt>
                <c:pt idx="126">
                  <c:v>0.54332851218186207</c:v>
                </c:pt>
                <c:pt idx="127">
                  <c:v>0.54542345377552948</c:v>
                </c:pt>
                <c:pt idx="128">
                  <c:v>0.54939917517933712</c:v>
                </c:pt>
                <c:pt idx="129">
                  <c:v>0.55568564146629651</c:v>
                </c:pt>
                <c:pt idx="130">
                  <c:v>0.56210828961908366</c:v>
                </c:pt>
                <c:pt idx="131">
                  <c:v>0.56392698435865907</c:v>
                </c:pt>
                <c:pt idx="132">
                  <c:v>0.56739205686550165</c:v>
                </c:pt>
                <c:pt idx="133">
                  <c:v>0.56834638224070777</c:v>
                </c:pt>
                <c:pt idx="134">
                  <c:v>0.57102682850880249</c:v>
                </c:pt>
                <c:pt idx="135">
                  <c:v>0.5729961561110517</c:v>
                </c:pt>
                <c:pt idx="136">
                  <c:v>0.57579429505379975</c:v>
                </c:pt>
                <c:pt idx="137">
                  <c:v>0.57252763267154461</c:v>
                </c:pt>
                <c:pt idx="138">
                  <c:v>0.57145429996719721</c:v>
                </c:pt>
                <c:pt idx="139">
                  <c:v>0.57343530034137902</c:v>
                </c:pt>
                <c:pt idx="140">
                  <c:v>0.57579578772783202</c:v>
                </c:pt>
                <c:pt idx="141">
                  <c:v>0.58081837943394676</c:v>
                </c:pt>
                <c:pt idx="142">
                  <c:v>0.58653597234810473</c:v>
                </c:pt>
                <c:pt idx="143">
                  <c:v>0.59325524775970051</c:v>
                </c:pt>
                <c:pt idx="144">
                  <c:v>0.59337125317382933</c:v>
                </c:pt>
                <c:pt idx="145">
                  <c:v>0.59689654712977513</c:v>
                </c:pt>
                <c:pt idx="146">
                  <c:v>0.59667189792715813</c:v>
                </c:pt>
                <c:pt idx="147">
                  <c:v>0.59609359468145129</c:v>
                </c:pt>
                <c:pt idx="148">
                  <c:v>0.59853652055350559</c:v>
                </c:pt>
                <c:pt idx="149">
                  <c:v>0.59620265425955921</c:v>
                </c:pt>
                <c:pt idx="150">
                  <c:v>0.59539915880377059</c:v>
                </c:pt>
                <c:pt idx="151">
                  <c:v>0.59651584070562347</c:v>
                </c:pt>
                <c:pt idx="152">
                  <c:v>0.59970106942428281</c:v>
                </c:pt>
                <c:pt idx="153">
                  <c:v>0.60539877973176448</c:v>
                </c:pt>
                <c:pt idx="154">
                  <c:v>0.6116481137408869</c:v>
                </c:pt>
                <c:pt idx="155">
                  <c:v>0.6128074680815363</c:v>
                </c:pt>
                <c:pt idx="156">
                  <c:v>0.6161194708435237</c:v>
                </c:pt>
                <c:pt idx="157">
                  <c:v>0.61688895928449372</c:v>
                </c:pt>
                <c:pt idx="158">
                  <c:v>0.61940973879172823</c:v>
                </c:pt>
                <c:pt idx="159">
                  <c:v>0.61667824957519579</c:v>
                </c:pt>
                <c:pt idx="160">
                  <c:v>0.61895420026469927</c:v>
                </c:pt>
                <c:pt idx="161">
                  <c:v>0.61800998232030524</c:v>
                </c:pt>
                <c:pt idx="162">
                  <c:v>0.61537719537392854</c:v>
                </c:pt>
                <c:pt idx="163">
                  <c:v>0.61470043430517207</c:v>
                </c:pt>
                <c:pt idx="164">
                  <c:v>0.61748194182563243</c:v>
                </c:pt>
                <c:pt idx="165">
                  <c:v>0.62182289780382771</c:v>
                </c:pt>
                <c:pt idx="166">
                  <c:v>0.62785620231494754</c:v>
                </c:pt>
                <c:pt idx="167">
                  <c:v>0.63012359899726245</c:v>
                </c:pt>
                <c:pt idx="168">
                  <c:v>0.63323814467690243</c:v>
                </c:pt>
                <c:pt idx="169">
                  <c:v>0.63549845717086406</c:v>
                </c:pt>
                <c:pt idx="170">
                  <c:v>0.63475723088974301</c:v>
                </c:pt>
                <c:pt idx="171">
                  <c:v>0.636053701037815</c:v>
                </c:pt>
                <c:pt idx="172">
                  <c:v>0.63949493362518917</c:v>
                </c:pt>
                <c:pt idx="173">
                  <c:v>0.6376182121137115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MWH'!$B$6:$FS$6</c:f>
              <c:numCache>
                <c:formatCode>0.00%</c:formatCode>
                <c:ptCount val="174"/>
                <c:pt idx="0">
                  <c:v>3.4191421306644459E-2</c:v>
                </c:pt>
                <c:pt idx="1">
                  <c:v>3.5855830906976839E-2</c:v>
                </c:pt>
                <c:pt idx="2">
                  <c:v>3.6091869821353172E-2</c:v>
                </c:pt>
                <c:pt idx="3">
                  <c:v>3.8472076052314071E-2</c:v>
                </c:pt>
                <c:pt idx="4">
                  <c:v>4.3441396057014608E-2</c:v>
                </c:pt>
                <c:pt idx="5">
                  <c:v>5.7948192295404155E-2</c:v>
                </c:pt>
                <c:pt idx="6">
                  <c:v>6.7116011285120389E-2</c:v>
                </c:pt>
                <c:pt idx="7">
                  <c:v>7.491363870623613E-2</c:v>
                </c:pt>
                <c:pt idx="8">
                  <c:v>8.6116516991799549E-2</c:v>
                </c:pt>
                <c:pt idx="9">
                  <c:v>9.2547167070330408E-2</c:v>
                </c:pt>
                <c:pt idx="10">
                  <c:v>9.5538700254133663E-2</c:v>
                </c:pt>
                <c:pt idx="11">
                  <c:v>9.8163083860282274E-2</c:v>
                </c:pt>
                <c:pt idx="12">
                  <c:v>0.10220818298428377</c:v>
                </c:pt>
                <c:pt idx="13">
                  <c:v>0.10524251430167779</c:v>
                </c:pt>
                <c:pt idx="14">
                  <c:v>0.10866674454441864</c:v>
                </c:pt>
                <c:pt idx="15">
                  <c:v>0.10777653804451696</c:v>
                </c:pt>
                <c:pt idx="16">
                  <c:v>0.10795866530018938</c:v>
                </c:pt>
                <c:pt idx="17">
                  <c:v>0.10854805711687394</c:v>
                </c:pt>
                <c:pt idx="18">
                  <c:v>0.11147621651688691</c:v>
                </c:pt>
                <c:pt idx="19">
                  <c:v>0.11494510497870161</c:v>
                </c:pt>
                <c:pt idx="20">
                  <c:v>0.12060902879902112</c:v>
                </c:pt>
                <c:pt idx="21">
                  <c:v>0.12680281792565032</c:v>
                </c:pt>
                <c:pt idx="22">
                  <c:v>0.13436555607225109</c:v>
                </c:pt>
                <c:pt idx="23">
                  <c:v>0.13978060955502472</c:v>
                </c:pt>
                <c:pt idx="24">
                  <c:v>0.13728552203990069</c:v>
                </c:pt>
                <c:pt idx="25">
                  <c:v>0.1439824884851014</c:v>
                </c:pt>
                <c:pt idx="26">
                  <c:v>0.14753961965812454</c:v>
                </c:pt>
                <c:pt idx="27">
                  <c:v>0.15176570715198584</c:v>
                </c:pt>
                <c:pt idx="28">
                  <c:v>0.15561043656808557</c:v>
                </c:pt>
                <c:pt idx="29">
                  <c:v>0.16105670406694184</c:v>
                </c:pt>
                <c:pt idx="30">
                  <c:v>0.16736360587848256</c:v>
                </c:pt>
                <c:pt idx="31">
                  <c:v>0.17472838579460268</c:v>
                </c:pt>
                <c:pt idx="32">
                  <c:v>0.1834631649505119</c:v>
                </c:pt>
                <c:pt idx="33">
                  <c:v>0.19059276306781545</c:v>
                </c:pt>
                <c:pt idx="34">
                  <c:v>0.19727334548706907</c:v>
                </c:pt>
                <c:pt idx="35">
                  <c:v>0.20413866484133758</c:v>
                </c:pt>
                <c:pt idx="36">
                  <c:v>0.2099397932523667</c:v>
                </c:pt>
                <c:pt idx="37">
                  <c:v>0.21667015473124074</c:v>
                </c:pt>
                <c:pt idx="38">
                  <c:v>0.22262774236454988</c:v>
                </c:pt>
                <c:pt idx="39">
                  <c:v>0.22864956782461199</c:v>
                </c:pt>
                <c:pt idx="40">
                  <c:v>0.23551576557366957</c:v>
                </c:pt>
                <c:pt idx="41">
                  <c:v>0.24085877545473858</c:v>
                </c:pt>
                <c:pt idx="42">
                  <c:v>0.24743105048476799</c:v>
                </c:pt>
                <c:pt idx="43">
                  <c:v>0.25917143976597939</c:v>
                </c:pt>
                <c:pt idx="44">
                  <c:v>0.27297834909365831</c:v>
                </c:pt>
                <c:pt idx="45">
                  <c:v>0.28677174236576397</c:v>
                </c:pt>
                <c:pt idx="46">
                  <c:v>0.29987498997448919</c:v>
                </c:pt>
                <c:pt idx="47">
                  <c:v>0.30446862309074441</c:v>
                </c:pt>
                <c:pt idx="48">
                  <c:v>0.30738645694873112</c:v>
                </c:pt>
                <c:pt idx="49">
                  <c:v>0.30805679058113405</c:v>
                </c:pt>
                <c:pt idx="50">
                  <c:v>0.31089920777553454</c:v>
                </c:pt>
                <c:pt idx="51">
                  <c:v>0.31638393827684858</c:v>
                </c:pt>
                <c:pt idx="52">
                  <c:v>0.32090708647833399</c:v>
                </c:pt>
                <c:pt idx="53">
                  <c:v>0.32780940178492068</c:v>
                </c:pt>
                <c:pt idx="54">
                  <c:v>0.34072208351290878</c:v>
                </c:pt>
                <c:pt idx="55">
                  <c:v>0.34917751428538246</c:v>
                </c:pt>
                <c:pt idx="56">
                  <c:v>0.36043143439250303</c:v>
                </c:pt>
                <c:pt idx="57">
                  <c:v>0.37054401687234484</c:v>
                </c:pt>
                <c:pt idx="58">
                  <c:v>0.38027606552077897</c:v>
                </c:pt>
                <c:pt idx="59">
                  <c:v>0.38798887469903015</c:v>
                </c:pt>
                <c:pt idx="60">
                  <c:v>0.39445080169335278</c:v>
                </c:pt>
                <c:pt idx="61">
                  <c:v>0.39900400613538756</c:v>
                </c:pt>
                <c:pt idx="62">
                  <c:v>0.40566311407508981</c:v>
                </c:pt>
                <c:pt idx="63">
                  <c:v>0.4121009923777525</c:v>
                </c:pt>
                <c:pt idx="64">
                  <c:v>0.4158537651312067</c:v>
                </c:pt>
                <c:pt idx="65">
                  <c:v>0.41829333832486992</c:v>
                </c:pt>
                <c:pt idx="66">
                  <c:v>0.41980317269754969</c:v>
                </c:pt>
                <c:pt idx="67">
                  <c:v>0.42163291103612183</c:v>
                </c:pt>
                <c:pt idx="68">
                  <c:v>0.42714807191724985</c:v>
                </c:pt>
                <c:pt idx="69">
                  <c:v>0.43390868829798807</c:v>
                </c:pt>
                <c:pt idx="70">
                  <c:v>0.44118426092754232</c:v>
                </c:pt>
                <c:pt idx="71">
                  <c:v>0.45159551153498151</c:v>
                </c:pt>
                <c:pt idx="72">
                  <c:v>0.45490229237393137</c:v>
                </c:pt>
                <c:pt idx="73">
                  <c:v>0.45920397693906129</c:v>
                </c:pt>
                <c:pt idx="74">
                  <c:v>0.46443932226202733</c:v>
                </c:pt>
                <c:pt idx="75">
                  <c:v>0.47174291897788373</c:v>
                </c:pt>
                <c:pt idx="76">
                  <c:v>0.47623156785766563</c:v>
                </c:pt>
                <c:pt idx="77">
                  <c:v>0.47443990738097419</c:v>
                </c:pt>
                <c:pt idx="78">
                  <c:v>0.46485097907403106</c:v>
                </c:pt>
                <c:pt idx="79">
                  <c:v>0.46092551443321722</c:v>
                </c:pt>
                <c:pt idx="80">
                  <c:v>0.46095508365718113</c:v>
                </c:pt>
                <c:pt idx="81">
                  <c:v>0.47222766572068253</c:v>
                </c:pt>
                <c:pt idx="82">
                  <c:v>0.47030975840961775</c:v>
                </c:pt>
                <c:pt idx="83">
                  <c:v>0.4766190102131912</c:v>
                </c:pt>
                <c:pt idx="84">
                  <c:v>0.4802508200028498</c:v>
                </c:pt>
                <c:pt idx="85">
                  <c:v>0.48334674604363487</c:v>
                </c:pt>
                <c:pt idx="86">
                  <c:v>0.48771210527414255</c:v>
                </c:pt>
                <c:pt idx="87">
                  <c:v>0.49297366683424121</c:v>
                </c:pt>
                <c:pt idx="88">
                  <c:v>0.49765817068374862</c:v>
                </c:pt>
                <c:pt idx="89">
                  <c:v>0.49840792077936008</c:v>
                </c:pt>
                <c:pt idx="90">
                  <c:v>0.49867207413197018</c:v>
                </c:pt>
                <c:pt idx="91">
                  <c:v>0.50300224158983586</c:v>
                </c:pt>
                <c:pt idx="92">
                  <c:v>0.51066497935600041</c:v>
                </c:pt>
                <c:pt idx="93">
                  <c:v>0.52023729397576524</c:v>
                </c:pt>
                <c:pt idx="94">
                  <c:v>0.52867689531863415</c:v>
                </c:pt>
                <c:pt idx="95">
                  <c:v>0.53633377601529231</c:v>
                </c:pt>
                <c:pt idx="96">
                  <c:v>0.53891618000439012</c:v>
                </c:pt>
                <c:pt idx="97">
                  <c:v>0.54182745442069025</c:v>
                </c:pt>
                <c:pt idx="98">
                  <c:v>0.5445724065793236</c:v>
                </c:pt>
                <c:pt idx="99">
                  <c:v>0.5475189784400607</c:v>
                </c:pt>
                <c:pt idx="100">
                  <c:v>0.55032274623018107</c:v>
                </c:pt>
                <c:pt idx="101">
                  <c:v>0.54924803463146721</c:v>
                </c:pt>
                <c:pt idx="102">
                  <c:v>0.54950100107050892</c:v>
                </c:pt>
                <c:pt idx="103">
                  <c:v>0.55382877861268909</c:v>
                </c:pt>
                <c:pt idx="104">
                  <c:v>0.55767704448218092</c:v>
                </c:pt>
                <c:pt idx="105">
                  <c:v>0.56223642785628758</c:v>
                </c:pt>
                <c:pt idx="106">
                  <c:v>0.56907363263951216</c:v>
                </c:pt>
                <c:pt idx="107">
                  <c:v>0.57315996617863785</c:v>
                </c:pt>
                <c:pt idx="108">
                  <c:v>0.57486363013995079</c:v>
                </c:pt>
                <c:pt idx="109">
                  <c:v>0.57615708928304776</c:v>
                </c:pt>
                <c:pt idx="110">
                  <c:v>0.57760093260845746</c:v>
                </c:pt>
                <c:pt idx="111">
                  <c:v>0.57898926703122022</c:v>
                </c:pt>
                <c:pt idx="112">
                  <c:v>0.57907756257784748</c:v>
                </c:pt>
                <c:pt idx="113">
                  <c:v>0.57633696294057901</c:v>
                </c:pt>
                <c:pt idx="114">
                  <c:v>0.57338583591881409</c:v>
                </c:pt>
                <c:pt idx="115">
                  <c:v>0.57385403947990576</c:v>
                </c:pt>
                <c:pt idx="116">
                  <c:v>0.57494998854402479</c:v>
                </c:pt>
                <c:pt idx="117">
                  <c:v>0.57566268576428525</c:v>
                </c:pt>
                <c:pt idx="118">
                  <c:v>0.58157089291794473</c:v>
                </c:pt>
                <c:pt idx="119">
                  <c:v>0.58687944839561834</c:v>
                </c:pt>
                <c:pt idx="120">
                  <c:v>0.58755460605963483</c:v>
                </c:pt>
                <c:pt idx="121">
                  <c:v>0.58816636914509035</c:v>
                </c:pt>
                <c:pt idx="122">
                  <c:v>0.59170909878310884</c:v>
                </c:pt>
                <c:pt idx="123">
                  <c:v>0.59496519045693119</c:v>
                </c:pt>
                <c:pt idx="124">
                  <c:v>0.59582687450239824</c:v>
                </c:pt>
                <c:pt idx="125">
                  <c:v>0.59525277336730409</c:v>
                </c:pt>
                <c:pt idx="126">
                  <c:v>0.59563272019095492</c:v>
                </c:pt>
                <c:pt idx="127">
                  <c:v>0.59642911003897381</c:v>
                </c:pt>
                <c:pt idx="128">
                  <c:v>0.59590677355935751</c:v>
                </c:pt>
                <c:pt idx="129">
                  <c:v>0.59956453187443359</c:v>
                </c:pt>
                <c:pt idx="130">
                  <c:v>0.60542392217810059</c:v>
                </c:pt>
                <c:pt idx="131">
                  <c:v>0.61066909238441036</c:v>
                </c:pt>
                <c:pt idx="132">
                  <c:v>0.61349487990892759</c:v>
                </c:pt>
                <c:pt idx="133">
                  <c:v>0.61402984559537999</c:v>
                </c:pt>
                <c:pt idx="134">
                  <c:v>0.61653100565106844</c:v>
                </c:pt>
                <c:pt idx="135">
                  <c:v>0.62042837111207028</c:v>
                </c:pt>
                <c:pt idx="136">
                  <c:v>0.62274794686752399</c:v>
                </c:pt>
                <c:pt idx="137">
                  <c:v>0.62121361114380436</c:v>
                </c:pt>
                <c:pt idx="138">
                  <c:v>0.61787773786027567</c:v>
                </c:pt>
                <c:pt idx="139">
                  <c:v>0.6177987164581612</c:v>
                </c:pt>
                <c:pt idx="140">
                  <c:v>0.61865652936140569</c:v>
                </c:pt>
                <c:pt idx="141">
                  <c:v>0.62125302593292508</c:v>
                </c:pt>
                <c:pt idx="142">
                  <c:v>0.62672762313875274</c:v>
                </c:pt>
                <c:pt idx="143">
                  <c:v>0.63231141393658041</c:v>
                </c:pt>
                <c:pt idx="144">
                  <c:v>0.63227047466145603</c:v>
                </c:pt>
                <c:pt idx="145">
                  <c:v>0.63294995980101199</c:v>
                </c:pt>
                <c:pt idx="146">
                  <c:v>0.63511136992952788</c:v>
                </c:pt>
                <c:pt idx="147">
                  <c:v>0.63613293298328955</c:v>
                </c:pt>
                <c:pt idx="148">
                  <c:v>0.63843459645130129</c:v>
                </c:pt>
                <c:pt idx="149">
                  <c:v>0.63582089547116438</c:v>
                </c:pt>
                <c:pt idx="150">
                  <c:v>0.63399486625883905</c:v>
                </c:pt>
                <c:pt idx="151">
                  <c:v>0.6337463749988812</c:v>
                </c:pt>
                <c:pt idx="152">
                  <c:v>0.63516987024695215</c:v>
                </c:pt>
                <c:pt idx="153">
                  <c:v>0.63812820207523002</c:v>
                </c:pt>
                <c:pt idx="154">
                  <c:v>0.64366816321528397</c:v>
                </c:pt>
                <c:pt idx="155">
                  <c:v>0.64898362700568102</c:v>
                </c:pt>
                <c:pt idx="156">
                  <c:v>0.65045013547529318</c:v>
                </c:pt>
                <c:pt idx="157">
                  <c:v>0.65172296739321867</c:v>
                </c:pt>
                <c:pt idx="158">
                  <c:v>0.65466492976327229</c:v>
                </c:pt>
                <c:pt idx="159">
                  <c:v>0.65577691686873874</c:v>
                </c:pt>
                <c:pt idx="160">
                  <c:v>0.65622785060176725</c:v>
                </c:pt>
                <c:pt idx="161">
                  <c:v>0.65406451665827081</c:v>
                </c:pt>
                <c:pt idx="162">
                  <c:v>0.65155035321593269</c:v>
                </c:pt>
                <c:pt idx="163">
                  <c:v>0.65002112295395109</c:v>
                </c:pt>
                <c:pt idx="164">
                  <c:v>0.65233268183193271</c:v>
                </c:pt>
                <c:pt idx="165">
                  <c:v>0.65679109777153166</c:v>
                </c:pt>
                <c:pt idx="166">
                  <c:v>0.66121220273556347</c:v>
                </c:pt>
                <c:pt idx="167">
                  <c:v>0.66529488701937001</c:v>
                </c:pt>
                <c:pt idx="168">
                  <c:v>0.66619564897712857</c:v>
                </c:pt>
                <c:pt idx="169">
                  <c:v>0.66539934334800455</c:v>
                </c:pt>
                <c:pt idx="170">
                  <c:v>0.66794941581083977</c:v>
                </c:pt>
                <c:pt idx="171">
                  <c:v>0.66917252442072261</c:v>
                </c:pt>
                <c:pt idx="172">
                  <c:v>0.66960742001875695</c:v>
                </c:pt>
                <c:pt idx="173">
                  <c:v>0.66679806098029459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MWH'!$B$7:$FS$7</c:f>
              <c:numCache>
                <c:formatCode>0.00%</c:formatCode>
                <c:ptCount val="174"/>
                <c:pt idx="0">
                  <c:v>7.4329361833223792E-3</c:v>
                </c:pt>
                <c:pt idx="1">
                  <c:v>6.7603676511277608E-3</c:v>
                </c:pt>
                <c:pt idx="2">
                  <c:v>7.2441118827242523E-3</c:v>
                </c:pt>
                <c:pt idx="3">
                  <c:v>8.6568777190560199E-3</c:v>
                </c:pt>
                <c:pt idx="4">
                  <c:v>9.3339573589283145E-3</c:v>
                </c:pt>
                <c:pt idx="5">
                  <c:v>1.0736285602190873E-2</c:v>
                </c:pt>
                <c:pt idx="6">
                  <c:v>1.2865669494057071E-2</c:v>
                </c:pt>
                <c:pt idx="7">
                  <c:v>1.4920040406846517E-2</c:v>
                </c:pt>
                <c:pt idx="8">
                  <c:v>2.1778740977879931E-2</c:v>
                </c:pt>
                <c:pt idx="9">
                  <c:v>3.8518667299335702E-2</c:v>
                </c:pt>
                <c:pt idx="10">
                  <c:v>4.1563732848812499E-2</c:v>
                </c:pt>
                <c:pt idx="11">
                  <c:v>4.4074223192549965E-2</c:v>
                </c:pt>
                <c:pt idx="12">
                  <c:v>5.4924879188506213E-2</c:v>
                </c:pt>
                <c:pt idx="13">
                  <c:v>6.4706352661081851E-2</c:v>
                </c:pt>
                <c:pt idx="14">
                  <c:v>7.4630049880490726E-2</c:v>
                </c:pt>
                <c:pt idx="15">
                  <c:v>8.7129785464182777E-2</c:v>
                </c:pt>
                <c:pt idx="16">
                  <c:v>0.1017356813742302</c:v>
                </c:pt>
                <c:pt idx="17">
                  <c:v>0.11467971067284176</c:v>
                </c:pt>
                <c:pt idx="18">
                  <c:v>0.1310723098294089</c:v>
                </c:pt>
                <c:pt idx="19">
                  <c:v>0.14542680425174254</c:v>
                </c:pt>
                <c:pt idx="20">
                  <c:v>0.15848353014294592</c:v>
                </c:pt>
                <c:pt idx="21">
                  <c:v>0.17998112060601101</c:v>
                </c:pt>
                <c:pt idx="22">
                  <c:v>0.19119824407930577</c:v>
                </c:pt>
                <c:pt idx="23">
                  <c:v>0.20152112523570223</c:v>
                </c:pt>
                <c:pt idx="24">
                  <c:v>0.19975730584070178</c:v>
                </c:pt>
                <c:pt idx="25">
                  <c:v>0.20078041994389537</c:v>
                </c:pt>
                <c:pt idx="26">
                  <c:v>0.20820691463460314</c:v>
                </c:pt>
                <c:pt idx="27">
                  <c:v>0.21433393519110316</c:v>
                </c:pt>
                <c:pt idx="28">
                  <c:v>0.22259434424807464</c:v>
                </c:pt>
                <c:pt idx="29">
                  <c:v>0.22655029452527389</c:v>
                </c:pt>
                <c:pt idx="30">
                  <c:v>0.23593359063302566</c:v>
                </c:pt>
                <c:pt idx="31">
                  <c:v>0.24194819249823368</c:v>
                </c:pt>
                <c:pt idx="32">
                  <c:v>0.25354970990241643</c:v>
                </c:pt>
                <c:pt idx="33">
                  <c:v>0.26308297217373106</c:v>
                </c:pt>
                <c:pt idx="34">
                  <c:v>0.27040758835846246</c:v>
                </c:pt>
                <c:pt idx="35">
                  <c:v>0.27318395822164843</c:v>
                </c:pt>
                <c:pt idx="36">
                  <c:v>0.27702831944981859</c:v>
                </c:pt>
                <c:pt idx="37">
                  <c:v>0.2803609633751285</c:v>
                </c:pt>
                <c:pt idx="38">
                  <c:v>0.28553286214006546</c:v>
                </c:pt>
                <c:pt idx="39">
                  <c:v>0.28946810251313532</c:v>
                </c:pt>
                <c:pt idx="40">
                  <c:v>0.2953980984354147</c:v>
                </c:pt>
                <c:pt idx="41">
                  <c:v>0.29479703982732719</c:v>
                </c:pt>
                <c:pt idx="42">
                  <c:v>0.2963985263263223</c:v>
                </c:pt>
                <c:pt idx="43">
                  <c:v>0.30592075816840836</c:v>
                </c:pt>
                <c:pt idx="44">
                  <c:v>0.31323384965662926</c:v>
                </c:pt>
                <c:pt idx="45">
                  <c:v>0.32343704025488745</c:v>
                </c:pt>
                <c:pt idx="46">
                  <c:v>0.32832323341420983</c:v>
                </c:pt>
                <c:pt idx="47">
                  <c:v>0.33015321704464767</c:v>
                </c:pt>
                <c:pt idx="48">
                  <c:v>0.33571539136267481</c:v>
                </c:pt>
                <c:pt idx="49">
                  <c:v>0.3386141508115047</c:v>
                </c:pt>
                <c:pt idx="50">
                  <c:v>0.34254954906018431</c:v>
                </c:pt>
                <c:pt idx="51">
                  <c:v>0.35243693175520996</c:v>
                </c:pt>
                <c:pt idx="52">
                  <c:v>0.36025406036682411</c:v>
                </c:pt>
                <c:pt idx="53">
                  <c:v>0.36923843506050941</c:v>
                </c:pt>
                <c:pt idx="54">
                  <c:v>0.37855114450278821</c:v>
                </c:pt>
                <c:pt idx="55">
                  <c:v>0.38881764119528328</c:v>
                </c:pt>
                <c:pt idx="56">
                  <c:v>0.39521285725311217</c:v>
                </c:pt>
                <c:pt idx="57">
                  <c:v>0.40832169208989227</c:v>
                </c:pt>
                <c:pt idx="58">
                  <c:v>0.4138217199582892</c:v>
                </c:pt>
                <c:pt idx="59">
                  <c:v>0.41724830557924503</c:v>
                </c:pt>
                <c:pt idx="60">
                  <c:v>0.42123900813730175</c:v>
                </c:pt>
                <c:pt idx="61">
                  <c:v>0.42468161609720673</c:v>
                </c:pt>
                <c:pt idx="62">
                  <c:v>0.42835601946278401</c:v>
                </c:pt>
                <c:pt idx="63">
                  <c:v>0.43765284629846907</c:v>
                </c:pt>
                <c:pt idx="64">
                  <c:v>0.44679576026085771</c:v>
                </c:pt>
                <c:pt idx="65">
                  <c:v>0.45307474967589245</c:v>
                </c:pt>
                <c:pt idx="66">
                  <c:v>0.45815078321660535</c:v>
                </c:pt>
                <c:pt idx="67">
                  <c:v>0.46646415059676016</c:v>
                </c:pt>
                <c:pt idx="68">
                  <c:v>0.47296194047382639</c:v>
                </c:pt>
                <c:pt idx="69">
                  <c:v>0.48254057879653944</c:v>
                </c:pt>
                <c:pt idx="70">
                  <c:v>0.48928038696287157</c:v>
                </c:pt>
                <c:pt idx="71">
                  <c:v>0.49246758691597803</c:v>
                </c:pt>
                <c:pt idx="72">
                  <c:v>0.49527418756726932</c:v>
                </c:pt>
                <c:pt idx="73">
                  <c:v>0.50225822346267746</c:v>
                </c:pt>
                <c:pt idx="74">
                  <c:v>0.51103559844241575</c:v>
                </c:pt>
                <c:pt idx="75">
                  <c:v>0.52089874074355236</c:v>
                </c:pt>
                <c:pt idx="76">
                  <c:v>0.52985481306282911</c:v>
                </c:pt>
                <c:pt idx="77">
                  <c:v>0.5395724132979105</c:v>
                </c:pt>
                <c:pt idx="78">
                  <c:v>0.54810347632734968</c:v>
                </c:pt>
                <c:pt idx="79">
                  <c:v>0.55522193314102009</c:v>
                </c:pt>
                <c:pt idx="80">
                  <c:v>0.56257682698386957</c:v>
                </c:pt>
                <c:pt idx="81">
                  <c:v>0.57693258357856003</c:v>
                </c:pt>
                <c:pt idx="82">
                  <c:v>0.58793324620933163</c:v>
                </c:pt>
                <c:pt idx="83">
                  <c:v>0.5926590616048516</c:v>
                </c:pt>
                <c:pt idx="84">
                  <c:v>0.60220363435217783</c:v>
                </c:pt>
                <c:pt idx="85">
                  <c:v>0.61111078397311713</c:v>
                </c:pt>
                <c:pt idx="86">
                  <c:v>0.62285651405759979</c:v>
                </c:pt>
                <c:pt idx="87">
                  <c:v>0.63257908078503988</c:v>
                </c:pt>
                <c:pt idx="88">
                  <c:v>0.63861620969227673</c:v>
                </c:pt>
                <c:pt idx="89">
                  <c:v>0.64182495496970693</c:v>
                </c:pt>
                <c:pt idx="90">
                  <c:v>0.64377372854061543</c:v>
                </c:pt>
                <c:pt idx="91">
                  <c:v>0.64706278962024166</c:v>
                </c:pt>
                <c:pt idx="92">
                  <c:v>0.654324878901687</c:v>
                </c:pt>
                <c:pt idx="93">
                  <c:v>0.66317059896661523</c:v>
                </c:pt>
                <c:pt idx="94">
                  <c:v>0.67100392065412251</c:v>
                </c:pt>
                <c:pt idx="95">
                  <c:v>0.67234893906056603</c:v>
                </c:pt>
                <c:pt idx="96">
                  <c:v>0.67258440155831734</c:v>
                </c:pt>
                <c:pt idx="97">
                  <c:v>0.67597012006726898</c:v>
                </c:pt>
                <c:pt idx="98">
                  <c:v>0.68019783582335791</c:v>
                </c:pt>
                <c:pt idx="99">
                  <c:v>0.68803249195658878</c:v>
                </c:pt>
                <c:pt idx="100">
                  <c:v>0.69462245524138477</c:v>
                </c:pt>
                <c:pt idx="101">
                  <c:v>0.69502248914085762</c:v>
                </c:pt>
                <c:pt idx="102">
                  <c:v>0.69686940101247175</c:v>
                </c:pt>
                <c:pt idx="103">
                  <c:v>0.69916909889011336</c:v>
                </c:pt>
                <c:pt idx="104">
                  <c:v>0.70354716701733166</c:v>
                </c:pt>
                <c:pt idx="105">
                  <c:v>0.70770753696462885</c:v>
                </c:pt>
                <c:pt idx="106">
                  <c:v>0.71062071074082367</c:v>
                </c:pt>
                <c:pt idx="107">
                  <c:v>0.70811300643360331</c:v>
                </c:pt>
                <c:pt idx="108">
                  <c:v>0.70894362586944959</c:v>
                </c:pt>
                <c:pt idx="109">
                  <c:v>0.71009700059765912</c:v>
                </c:pt>
                <c:pt idx="110">
                  <c:v>0.7159203467156644</c:v>
                </c:pt>
                <c:pt idx="111">
                  <c:v>0.71784812990584268</c:v>
                </c:pt>
                <c:pt idx="112">
                  <c:v>0.71853039467793822</c:v>
                </c:pt>
                <c:pt idx="113">
                  <c:v>0.71758044498420659</c:v>
                </c:pt>
                <c:pt idx="114">
                  <c:v>0.71674677158320155</c:v>
                </c:pt>
                <c:pt idx="115">
                  <c:v>0.71754865087235242</c:v>
                </c:pt>
                <c:pt idx="116">
                  <c:v>0.72017914257033822</c:v>
                </c:pt>
                <c:pt idx="117">
                  <c:v>0.72190913262964662</c:v>
                </c:pt>
                <c:pt idx="118">
                  <c:v>0.72818379452887116</c:v>
                </c:pt>
                <c:pt idx="119">
                  <c:v>0.72583945797803129</c:v>
                </c:pt>
                <c:pt idx="120">
                  <c:v>0.7228847166496577</c:v>
                </c:pt>
                <c:pt idx="121">
                  <c:v>0.72447580229275621</c:v>
                </c:pt>
                <c:pt idx="122">
                  <c:v>0.72984051575384212</c:v>
                </c:pt>
                <c:pt idx="123">
                  <c:v>0.73468379370112158</c:v>
                </c:pt>
                <c:pt idx="124">
                  <c:v>0.73593259896216967</c:v>
                </c:pt>
                <c:pt idx="125">
                  <c:v>0.73509528409876823</c:v>
                </c:pt>
                <c:pt idx="126">
                  <c:v>0.7354681918444631</c:v>
                </c:pt>
                <c:pt idx="127">
                  <c:v>0.73564858333819438</c:v>
                </c:pt>
                <c:pt idx="128">
                  <c:v>0.73817869995984287</c:v>
                </c:pt>
                <c:pt idx="129">
                  <c:v>0.74251105109422222</c:v>
                </c:pt>
                <c:pt idx="130">
                  <c:v>0.74464659280573364</c:v>
                </c:pt>
                <c:pt idx="131">
                  <c:v>0.74488037860118206</c:v>
                </c:pt>
                <c:pt idx="132">
                  <c:v>0.74255450418563573</c:v>
                </c:pt>
                <c:pt idx="133">
                  <c:v>0.74662728745997053</c:v>
                </c:pt>
                <c:pt idx="134">
                  <c:v>0.74792101761923857</c:v>
                </c:pt>
                <c:pt idx="135">
                  <c:v>0.75122815173571844</c:v>
                </c:pt>
                <c:pt idx="136">
                  <c:v>0.75321692007118224</c:v>
                </c:pt>
                <c:pt idx="137">
                  <c:v>0.75203504971721347</c:v>
                </c:pt>
                <c:pt idx="138">
                  <c:v>0.75047821881808141</c:v>
                </c:pt>
                <c:pt idx="139">
                  <c:v>0.74995213810393779</c:v>
                </c:pt>
                <c:pt idx="140">
                  <c:v>0.75193710141684555</c:v>
                </c:pt>
                <c:pt idx="141">
                  <c:v>0.75478413962033064</c:v>
                </c:pt>
                <c:pt idx="142">
                  <c:v>0.75626449224304693</c:v>
                </c:pt>
                <c:pt idx="143">
                  <c:v>0.75131517180149199</c:v>
                </c:pt>
                <c:pt idx="144">
                  <c:v>0.74932833334514803</c:v>
                </c:pt>
                <c:pt idx="145">
                  <c:v>0.75301472841480099</c:v>
                </c:pt>
                <c:pt idx="146">
                  <c:v>0.75602062214586796</c:v>
                </c:pt>
                <c:pt idx="147">
                  <c:v>0.75966310312411189</c:v>
                </c:pt>
                <c:pt idx="148">
                  <c:v>0.76126316238547909</c:v>
                </c:pt>
                <c:pt idx="149">
                  <c:v>0.76012221761181853</c:v>
                </c:pt>
                <c:pt idx="150">
                  <c:v>0.75787401766998008</c:v>
                </c:pt>
                <c:pt idx="151">
                  <c:v>0.75796090017885842</c:v>
                </c:pt>
                <c:pt idx="152">
                  <c:v>0.75947302456296828</c:v>
                </c:pt>
                <c:pt idx="153">
                  <c:v>0.76611471412328935</c:v>
                </c:pt>
                <c:pt idx="154">
                  <c:v>0.76826560875091476</c:v>
                </c:pt>
                <c:pt idx="155">
                  <c:v>0.76633392554383972</c:v>
                </c:pt>
                <c:pt idx="156">
                  <c:v>0.76385999669803528</c:v>
                </c:pt>
                <c:pt idx="157">
                  <c:v>0.76685263872652309</c:v>
                </c:pt>
                <c:pt idx="158">
                  <c:v>0.77004132321182595</c:v>
                </c:pt>
                <c:pt idx="159">
                  <c:v>0.77879978582877596</c:v>
                </c:pt>
                <c:pt idx="160">
                  <c:v>0.78260895320802559</c:v>
                </c:pt>
                <c:pt idx="161">
                  <c:v>0.78175596539358116</c:v>
                </c:pt>
                <c:pt idx="162">
                  <c:v>0.7808765257007465</c:v>
                </c:pt>
                <c:pt idx="163">
                  <c:v>0.78074059907020543</c:v>
                </c:pt>
                <c:pt idx="164">
                  <c:v>0.78381769794388556</c:v>
                </c:pt>
                <c:pt idx="165">
                  <c:v>0.78813928399957267</c:v>
                </c:pt>
                <c:pt idx="166">
                  <c:v>0.79321455391501039</c:v>
                </c:pt>
                <c:pt idx="167">
                  <c:v>0.79125387505357037</c:v>
                </c:pt>
                <c:pt idx="168">
                  <c:v>0.78930319948601813</c:v>
                </c:pt>
                <c:pt idx="169">
                  <c:v>0.79136524586800372</c:v>
                </c:pt>
                <c:pt idx="170">
                  <c:v>0.79888716738659526</c:v>
                </c:pt>
                <c:pt idx="171">
                  <c:v>0.8024237844459684</c:v>
                </c:pt>
                <c:pt idx="172">
                  <c:v>0.80413963420597923</c:v>
                </c:pt>
                <c:pt idx="173">
                  <c:v>0.80274810509895744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MWH'!$B$8:$FS$8</c:f>
              <c:numCache>
                <c:formatCode>0.00%</c:formatCode>
                <c:ptCount val="174"/>
                <c:pt idx="0">
                  <c:v>1.6933429414416851E-2</c:v>
                </c:pt>
                <c:pt idx="1">
                  <c:v>1.5180301331354323E-2</c:v>
                </c:pt>
                <c:pt idx="2">
                  <c:v>1.6976738100210165E-2</c:v>
                </c:pt>
                <c:pt idx="3">
                  <c:v>1.9708724915939776E-2</c:v>
                </c:pt>
                <c:pt idx="4">
                  <c:v>2.144196554240594E-2</c:v>
                </c:pt>
                <c:pt idx="5">
                  <c:v>2.3197561292419455E-2</c:v>
                </c:pt>
                <c:pt idx="6">
                  <c:v>2.6165746050621542E-2</c:v>
                </c:pt>
                <c:pt idx="7">
                  <c:v>3.2860344992672312E-2</c:v>
                </c:pt>
                <c:pt idx="8">
                  <c:v>3.8111513657355794E-2</c:v>
                </c:pt>
                <c:pt idx="9">
                  <c:v>4.7759491025439041E-2</c:v>
                </c:pt>
                <c:pt idx="10">
                  <c:v>5.5299726533371063E-2</c:v>
                </c:pt>
                <c:pt idx="11">
                  <c:v>5.7653729006007674E-2</c:v>
                </c:pt>
                <c:pt idx="12">
                  <c:v>7.0360296961282182E-2</c:v>
                </c:pt>
                <c:pt idx="13">
                  <c:v>7.7762302692664806E-2</c:v>
                </c:pt>
                <c:pt idx="14">
                  <c:v>8.3167740594471004E-2</c:v>
                </c:pt>
                <c:pt idx="15">
                  <c:v>8.7838048274072156E-2</c:v>
                </c:pt>
                <c:pt idx="16">
                  <c:v>0.10004443187785272</c:v>
                </c:pt>
                <c:pt idx="17">
                  <c:v>0.11866526817764285</c:v>
                </c:pt>
                <c:pt idx="18">
                  <c:v>0.14329311906919079</c:v>
                </c:pt>
                <c:pt idx="19">
                  <c:v>0.15854370599347414</c:v>
                </c:pt>
                <c:pt idx="20">
                  <c:v>0.17240824690681425</c:v>
                </c:pt>
                <c:pt idx="21">
                  <c:v>0.19744030498493798</c:v>
                </c:pt>
                <c:pt idx="22">
                  <c:v>0.22491012951199094</c:v>
                </c:pt>
                <c:pt idx="23">
                  <c:v>0.23087617226110785</c:v>
                </c:pt>
                <c:pt idx="24">
                  <c:v>0.22933521904009208</c:v>
                </c:pt>
                <c:pt idx="25">
                  <c:v>0.23510417162533123</c:v>
                </c:pt>
                <c:pt idx="26">
                  <c:v>0.24427535884019011</c:v>
                </c:pt>
                <c:pt idx="27">
                  <c:v>0.25382886414719563</c:v>
                </c:pt>
                <c:pt idx="28">
                  <c:v>0.26608219509003611</c:v>
                </c:pt>
                <c:pt idx="29">
                  <c:v>0.27752026040807853</c:v>
                </c:pt>
                <c:pt idx="30">
                  <c:v>0.28897265235896041</c:v>
                </c:pt>
                <c:pt idx="31">
                  <c:v>0.30318372383853853</c:v>
                </c:pt>
                <c:pt idx="32">
                  <c:v>0.32112795991222609</c:v>
                </c:pt>
                <c:pt idx="33">
                  <c:v>0.3262088567920105</c:v>
                </c:pt>
                <c:pt idx="34">
                  <c:v>0.32611853879355723</c:v>
                </c:pt>
                <c:pt idx="35">
                  <c:v>0.32895853685879473</c:v>
                </c:pt>
                <c:pt idx="36">
                  <c:v>0.33132470676464204</c:v>
                </c:pt>
                <c:pt idx="37">
                  <c:v>0.33936628898024668</c:v>
                </c:pt>
                <c:pt idx="38">
                  <c:v>0.34028849687614848</c:v>
                </c:pt>
                <c:pt idx="39">
                  <c:v>0.35188157852210167</c:v>
                </c:pt>
                <c:pt idx="40">
                  <c:v>0.35881411243150052</c:v>
                </c:pt>
                <c:pt idx="41">
                  <c:v>0.36822720685024396</c:v>
                </c:pt>
                <c:pt idx="42">
                  <c:v>0.37550111121744773</c:v>
                </c:pt>
                <c:pt idx="43">
                  <c:v>0.37600984040612523</c:v>
                </c:pt>
                <c:pt idx="44">
                  <c:v>0.39311898470057494</c:v>
                </c:pt>
                <c:pt idx="45">
                  <c:v>0.40293871786002539</c:v>
                </c:pt>
                <c:pt idx="46">
                  <c:v>0.40404856577856219</c:v>
                </c:pt>
                <c:pt idx="47">
                  <c:v>0.40395138438961181</c:v>
                </c:pt>
                <c:pt idx="48">
                  <c:v>0.40755334281650069</c:v>
                </c:pt>
                <c:pt idx="49">
                  <c:v>0.41723451287016572</c:v>
                </c:pt>
                <c:pt idx="50">
                  <c:v>0.42373052631578945</c:v>
                </c:pt>
                <c:pt idx="51">
                  <c:v>0.44248498688996024</c:v>
                </c:pt>
                <c:pt idx="52">
                  <c:v>0.45563496693893429</c:v>
                </c:pt>
                <c:pt idx="53">
                  <c:v>0.47154480575379742</c:v>
                </c:pt>
                <c:pt idx="54">
                  <c:v>0.48545532144301179</c:v>
                </c:pt>
                <c:pt idx="55">
                  <c:v>0.50118968643580553</c:v>
                </c:pt>
                <c:pt idx="56">
                  <c:v>0.51684715647493673</c:v>
                </c:pt>
                <c:pt idx="57">
                  <c:v>0.52443371277452</c:v>
                </c:pt>
                <c:pt idx="58">
                  <c:v>0.52603188692772529</c:v>
                </c:pt>
                <c:pt idx="59">
                  <c:v>0.52815104166666671</c:v>
                </c:pt>
                <c:pt idx="60">
                  <c:v>0.52187120665964226</c:v>
                </c:pt>
                <c:pt idx="61">
                  <c:v>0.52988669330559968</c:v>
                </c:pt>
                <c:pt idx="62">
                  <c:v>0.53282418651959285</c:v>
                </c:pt>
                <c:pt idx="63">
                  <c:v>0.54854821889236516</c:v>
                </c:pt>
                <c:pt idx="64">
                  <c:v>0.56004394407824376</c:v>
                </c:pt>
                <c:pt idx="65">
                  <c:v>0.57240687768173626</c:v>
                </c:pt>
                <c:pt idx="66">
                  <c:v>0.57794524443525241</c:v>
                </c:pt>
                <c:pt idx="67">
                  <c:v>0.58031884852178872</c:v>
                </c:pt>
                <c:pt idx="68">
                  <c:v>0.59123317496690431</c:v>
                </c:pt>
                <c:pt idx="69">
                  <c:v>0.59628781741978654</c:v>
                </c:pt>
                <c:pt idx="70">
                  <c:v>0.59581244470657624</c:v>
                </c:pt>
                <c:pt idx="71">
                  <c:v>0.59408963148032479</c:v>
                </c:pt>
                <c:pt idx="72">
                  <c:v>0.59743910823021018</c:v>
                </c:pt>
                <c:pt idx="73">
                  <c:v>0.60267472599281191</c:v>
                </c:pt>
                <c:pt idx="74">
                  <c:v>0.60800724832696418</c:v>
                </c:pt>
                <c:pt idx="75">
                  <c:v>0.61770710882880653</c:v>
                </c:pt>
                <c:pt idx="76">
                  <c:v>0.63088734537792168</c:v>
                </c:pt>
                <c:pt idx="77">
                  <c:v>0.6399988068961403</c:v>
                </c:pt>
                <c:pt idx="78">
                  <c:v>0.64270187100624765</c:v>
                </c:pt>
                <c:pt idx="79">
                  <c:v>0.64601210512176233</c:v>
                </c:pt>
                <c:pt idx="80">
                  <c:v>0.64892151197861436</c:v>
                </c:pt>
                <c:pt idx="81">
                  <c:v>0.65308076424426065</c:v>
                </c:pt>
                <c:pt idx="82">
                  <c:v>0.64956415601810347</c:v>
                </c:pt>
                <c:pt idx="83">
                  <c:v>0.64724473695109586</c:v>
                </c:pt>
                <c:pt idx="84">
                  <c:v>0.64979989672088823</c:v>
                </c:pt>
                <c:pt idx="85">
                  <c:v>0.65237665463297234</c:v>
                </c:pt>
                <c:pt idx="86">
                  <c:v>0.65512258561726311</c:v>
                </c:pt>
                <c:pt idx="87">
                  <c:v>0.63718409793085973</c:v>
                </c:pt>
                <c:pt idx="88">
                  <c:v>0.66644003638334814</c:v>
                </c:pt>
                <c:pt idx="89">
                  <c:v>0.67238011216837856</c:v>
                </c:pt>
                <c:pt idx="90">
                  <c:v>0.67212633645531317</c:v>
                </c:pt>
                <c:pt idx="91">
                  <c:v>0.67673661360347326</c:v>
                </c:pt>
                <c:pt idx="92">
                  <c:v>0.68222214655407243</c:v>
                </c:pt>
                <c:pt idx="93">
                  <c:v>0.68471707266364046</c:v>
                </c:pt>
                <c:pt idx="94">
                  <c:v>0.68242786837788283</c:v>
                </c:pt>
                <c:pt idx="95">
                  <c:v>0.68228890850250079</c:v>
                </c:pt>
                <c:pt idx="96">
                  <c:v>0.68594929960337225</c:v>
                </c:pt>
                <c:pt idx="97">
                  <c:v>0.68913813994777395</c:v>
                </c:pt>
                <c:pt idx="98">
                  <c:v>0.68838145367288495</c:v>
                </c:pt>
                <c:pt idx="99">
                  <c:v>0.69455935999374074</c:v>
                </c:pt>
                <c:pt idx="100">
                  <c:v>0.70049312224240856</c:v>
                </c:pt>
                <c:pt idx="101">
                  <c:v>0.70227483103610056</c:v>
                </c:pt>
                <c:pt idx="102">
                  <c:v>0.70283096753575325</c:v>
                </c:pt>
                <c:pt idx="103">
                  <c:v>0.70170356229835784</c:v>
                </c:pt>
                <c:pt idx="104">
                  <c:v>0.70663836811696734</c:v>
                </c:pt>
                <c:pt idx="105">
                  <c:v>0.70919220055710308</c:v>
                </c:pt>
                <c:pt idx="106">
                  <c:v>0.70812174243016102</c:v>
                </c:pt>
                <c:pt idx="107">
                  <c:v>0.70383855691202013</c:v>
                </c:pt>
                <c:pt idx="108">
                  <c:v>0.70377948964853154</c:v>
                </c:pt>
                <c:pt idx="109">
                  <c:v>0.71149693198989361</c:v>
                </c:pt>
                <c:pt idx="110">
                  <c:v>0.71204089360090872</c:v>
                </c:pt>
                <c:pt idx="111">
                  <c:v>0.71928970811691217</c:v>
                </c:pt>
                <c:pt idx="112">
                  <c:v>0.72075890693432265</c:v>
                </c:pt>
                <c:pt idx="113">
                  <c:v>0.7198956028724901</c:v>
                </c:pt>
                <c:pt idx="114">
                  <c:v>0.71761708025227411</c:v>
                </c:pt>
                <c:pt idx="115">
                  <c:v>0.71739984695249326</c:v>
                </c:pt>
                <c:pt idx="116">
                  <c:v>0.7187645169760255</c:v>
                </c:pt>
                <c:pt idx="117">
                  <c:v>0.72115301495493089</c:v>
                </c:pt>
                <c:pt idx="118">
                  <c:v>0.71849975161450574</c:v>
                </c:pt>
                <c:pt idx="119">
                  <c:v>0.71455891571905827</c:v>
                </c:pt>
                <c:pt idx="120">
                  <c:v>0.71276234001169736</c:v>
                </c:pt>
                <c:pt idx="121">
                  <c:v>0.71420543393275993</c:v>
                </c:pt>
                <c:pt idx="122">
                  <c:v>0.71544107833978376</c:v>
                </c:pt>
                <c:pt idx="123">
                  <c:v>0.72236392556966311</c:v>
                </c:pt>
                <c:pt idx="124">
                  <c:v>0.72389824209019671</c:v>
                </c:pt>
                <c:pt idx="125">
                  <c:v>0.72096044625350875</c:v>
                </c:pt>
                <c:pt idx="126">
                  <c:v>0.72093248820325795</c:v>
                </c:pt>
                <c:pt idx="127">
                  <c:v>0.71986184840512069</c:v>
                </c:pt>
                <c:pt idx="128">
                  <c:v>0.72181235048796499</c:v>
                </c:pt>
                <c:pt idx="129">
                  <c:v>0.72398400960687648</c:v>
                </c:pt>
                <c:pt idx="130">
                  <c:v>0.72274095223396873</c:v>
                </c:pt>
                <c:pt idx="131">
                  <c:v>0.72140353236883914</c:v>
                </c:pt>
                <c:pt idx="132">
                  <c:v>0.72035877475038079</c:v>
                </c:pt>
                <c:pt idx="133">
                  <c:v>0.72204983544898915</c:v>
                </c:pt>
                <c:pt idx="134">
                  <c:v>0.72478977407044676</c:v>
                </c:pt>
                <c:pt idx="135">
                  <c:v>0.73003557297905552</c:v>
                </c:pt>
                <c:pt idx="136">
                  <c:v>0.732913383044139</c:v>
                </c:pt>
                <c:pt idx="137">
                  <c:v>0.73246716789532784</c:v>
                </c:pt>
                <c:pt idx="138">
                  <c:v>0.73240432870035732</c:v>
                </c:pt>
                <c:pt idx="139">
                  <c:v>0.73294819794885213</c:v>
                </c:pt>
                <c:pt idx="140">
                  <c:v>0.73607677692197682</c:v>
                </c:pt>
                <c:pt idx="141">
                  <c:v>0.74092299117782945</c:v>
                </c:pt>
                <c:pt idx="142">
                  <c:v>0.74097359439554522</c:v>
                </c:pt>
                <c:pt idx="143">
                  <c:v>0.73952633326365236</c:v>
                </c:pt>
                <c:pt idx="144">
                  <c:v>0.7382303876498213</c:v>
                </c:pt>
                <c:pt idx="145">
                  <c:v>0.74483257046494822</c:v>
                </c:pt>
                <c:pt idx="146">
                  <c:v>0.74673245877963657</c:v>
                </c:pt>
                <c:pt idx="147">
                  <c:v>0.74793609539825712</c:v>
                </c:pt>
                <c:pt idx="148">
                  <c:v>0.7520303015266544</c:v>
                </c:pt>
                <c:pt idx="149">
                  <c:v>0.7511867819570911</c:v>
                </c:pt>
                <c:pt idx="150">
                  <c:v>0.75231208291311713</c:v>
                </c:pt>
                <c:pt idx="151">
                  <c:v>0.75455090811302805</c:v>
                </c:pt>
                <c:pt idx="152">
                  <c:v>0.7528768806299746</c:v>
                </c:pt>
                <c:pt idx="153">
                  <c:v>0.76513605192440415</c:v>
                </c:pt>
                <c:pt idx="154">
                  <c:v>0.76416587807660674</c:v>
                </c:pt>
                <c:pt idx="155">
                  <c:v>0.75995964275310313</c:v>
                </c:pt>
                <c:pt idx="156">
                  <c:v>0.76013657929039991</c:v>
                </c:pt>
                <c:pt idx="157">
                  <c:v>0.76295196245965224</c:v>
                </c:pt>
                <c:pt idx="158">
                  <c:v>0.76647689590187074</c:v>
                </c:pt>
                <c:pt idx="159">
                  <c:v>0.77034525861252623</c:v>
                </c:pt>
                <c:pt idx="160">
                  <c:v>0.77503135201370876</c:v>
                </c:pt>
                <c:pt idx="161">
                  <c:v>0.77583468063625649</c:v>
                </c:pt>
                <c:pt idx="162">
                  <c:v>0.77496861919050974</c:v>
                </c:pt>
                <c:pt idx="163">
                  <c:v>0.77542221637767461</c:v>
                </c:pt>
                <c:pt idx="164">
                  <c:v>0.77880335166273895</c:v>
                </c:pt>
                <c:pt idx="165">
                  <c:v>0.78312030428880552</c:v>
                </c:pt>
                <c:pt idx="166">
                  <c:v>0.78527564757586876</c:v>
                </c:pt>
                <c:pt idx="167">
                  <c:v>0.78276377521571183</c:v>
                </c:pt>
                <c:pt idx="168">
                  <c:v>0.78397818325599788</c:v>
                </c:pt>
                <c:pt idx="169">
                  <c:v>0.78585052378297482</c:v>
                </c:pt>
                <c:pt idx="170">
                  <c:v>0.78823586226879794</c:v>
                </c:pt>
                <c:pt idx="171">
                  <c:v>0.79309161037571063</c:v>
                </c:pt>
                <c:pt idx="172">
                  <c:v>0.79794027961567227</c:v>
                </c:pt>
                <c:pt idx="173">
                  <c:v>0.798650834623989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MWH'!$B$9:$FS$9</c:f>
              <c:numCache>
                <c:formatCode>0.00%</c:formatCode>
                <c:ptCount val="174"/>
                <c:pt idx="0">
                  <c:v>1.1153999048441906E-2</c:v>
                </c:pt>
                <c:pt idx="1">
                  <c:v>1.3152837811250343E-2</c:v>
                </c:pt>
                <c:pt idx="2">
                  <c:v>1.7160423599074919E-2</c:v>
                </c:pt>
                <c:pt idx="3">
                  <c:v>2.335131814296235E-2</c:v>
                </c:pt>
                <c:pt idx="4">
                  <c:v>2.5344002209472367E-2</c:v>
                </c:pt>
                <c:pt idx="5">
                  <c:v>2.2670135190885878E-2</c:v>
                </c:pt>
                <c:pt idx="6">
                  <c:v>3.0353008764371008E-2</c:v>
                </c:pt>
                <c:pt idx="7">
                  <c:v>3.8421489577464787E-2</c:v>
                </c:pt>
                <c:pt idx="8">
                  <c:v>4.1055211006268424E-2</c:v>
                </c:pt>
                <c:pt idx="9">
                  <c:v>4.6389650835388541E-2</c:v>
                </c:pt>
                <c:pt idx="10">
                  <c:v>5.4102829425850145E-2</c:v>
                </c:pt>
                <c:pt idx="11">
                  <c:v>6.2536819024899298E-2</c:v>
                </c:pt>
                <c:pt idx="12">
                  <c:v>6.3788994510644001E-2</c:v>
                </c:pt>
                <c:pt idx="13">
                  <c:v>6.6042893187552562E-2</c:v>
                </c:pt>
                <c:pt idx="14">
                  <c:v>6.8434931160304524E-2</c:v>
                </c:pt>
                <c:pt idx="15">
                  <c:v>6.7013852571918012E-2</c:v>
                </c:pt>
                <c:pt idx="16">
                  <c:v>6.6905243936153505E-2</c:v>
                </c:pt>
                <c:pt idx="17">
                  <c:v>7.4046441504541913E-2</c:v>
                </c:pt>
                <c:pt idx="18">
                  <c:v>9.9813027962140935E-2</c:v>
                </c:pt>
                <c:pt idx="19">
                  <c:v>0.11080691671626902</c:v>
                </c:pt>
                <c:pt idx="20">
                  <c:v>0.1212170809618122</c:v>
                </c:pt>
                <c:pt idx="21">
                  <c:v>0.13463277804346876</c:v>
                </c:pt>
                <c:pt idx="22">
                  <c:v>0.14402606225382597</c:v>
                </c:pt>
                <c:pt idx="23">
                  <c:v>0.15129771428934935</c:v>
                </c:pt>
                <c:pt idx="24">
                  <c:v>0.15936410464554357</c:v>
                </c:pt>
                <c:pt idx="25">
                  <c:v>0.16064996169460741</c:v>
                </c:pt>
                <c:pt idx="26">
                  <c:v>0.16644013482611356</c:v>
                </c:pt>
                <c:pt idx="27">
                  <c:v>0.17893468278131905</c:v>
                </c:pt>
                <c:pt idx="28">
                  <c:v>0.19103324908301272</c:v>
                </c:pt>
                <c:pt idx="29">
                  <c:v>0.20713313232628233</c:v>
                </c:pt>
                <c:pt idx="30">
                  <c:v>0.21406992957797291</c:v>
                </c:pt>
                <c:pt idx="31">
                  <c:v>0.21762761285792073</c:v>
                </c:pt>
                <c:pt idx="32">
                  <c:v>0.23239497603528475</c:v>
                </c:pt>
                <c:pt idx="33">
                  <c:v>0.23960008744874819</c:v>
                </c:pt>
                <c:pt idx="34">
                  <c:v>0.24266764860062573</c:v>
                </c:pt>
                <c:pt idx="35">
                  <c:v>0.24024173737662641</c:v>
                </c:pt>
                <c:pt idx="36">
                  <c:v>0.24290698858200477</c:v>
                </c:pt>
                <c:pt idx="37">
                  <c:v>0.24582686080829133</c:v>
                </c:pt>
                <c:pt idx="38">
                  <c:v>0.25244394081025057</c:v>
                </c:pt>
                <c:pt idx="39">
                  <c:v>0.26395941574216192</c:v>
                </c:pt>
                <c:pt idx="40">
                  <c:v>0.27559497353576923</c:v>
                </c:pt>
                <c:pt idx="41">
                  <c:v>0.28137111540545595</c:v>
                </c:pt>
                <c:pt idx="42">
                  <c:v>0.2838069386175931</c:v>
                </c:pt>
                <c:pt idx="43">
                  <c:v>0.29142787855206104</c:v>
                </c:pt>
                <c:pt idx="44">
                  <c:v>0.29865428634153324</c:v>
                </c:pt>
                <c:pt idx="45">
                  <c:v>0.31013127838081367</c:v>
                </c:pt>
                <c:pt idx="46">
                  <c:v>0.31531853045992148</c:v>
                </c:pt>
                <c:pt idx="47">
                  <c:v>0.3128643129903611</c:v>
                </c:pt>
                <c:pt idx="48">
                  <c:v>0.31683792206490968</c:v>
                </c:pt>
                <c:pt idx="49">
                  <c:v>0.32553797822504571</c:v>
                </c:pt>
                <c:pt idx="50">
                  <c:v>0.33282695913914795</c:v>
                </c:pt>
                <c:pt idx="51">
                  <c:v>0.34817501316805599</c:v>
                </c:pt>
                <c:pt idx="52">
                  <c:v>0.35879391022315876</c:v>
                </c:pt>
                <c:pt idx="53">
                  <c:v>0.36062243722704446</c:v>
                </c:pt>
                <c:pt idx="54">
                  <c:v>0.36751287587286774</c:v>
                </c:pt>
                <c:pt idx="55">
                  <c:v>0.36851839002194658</c:v>
                </c:pt>
                <c:pt idx="56">
                  <c:v>0.37568180788950772</c:v>
                </c:pt>
                <c:pt idx="57">
                  <c:v>0.38585634581066741</c:v>
                </c:pt>
                <c:pt idx="58">
                  <c:v>0.38767573100160019</c:v>
                </c:pt>
                <c:pt idx="59">
                  <c:v>0.38200725952979064</c:v>
                </c:pt>
                <c:pt idx="60">
                  <c:v>0.38459753309426387</c:v>
                </c:pt>
                <c:pt idx="61">
                  <c:v>0.38556487084144209</c:v>
                </c:pt>
                <c:pt idx="62">
                  <c:v>0.39694960746923996</c:v>
                </c:pt>
                <c:pt idx="63">
                  <c:v>0.42421692171398367</c:v>
                </c:pt>
                <c:pt idx="64">
                  <c:v>0.43045992370023967</c:v>
                </c:pt>
                <c:pt idx="65">
                  <c:v>0.44178246033715951</c:v>
                </c:pt>
                <c:pt idx="66">
                  <c:v>0.44566328753662604</c:v>
                </c:pt>
                <c:pt idx="67">
                  <c:v>0.45368112980110636</c:v>
                </c:pt>
                <c:pt idx="68">
                  <c:v>0.45955338908874405</c:v>
                </c:pt>
                <c:pt idx="69">
                  <c:v>0.47247520611114568</c:v>
                </c:pt>
                <c:pt idx="70">
                  <c:v>0.48103687052329358</c:v>
                </c:pt>
                <c:pt idx="71">
                  <c:v>0.48575546677845466</c:v>
                </c:pt>
                <c:pt idx="72">
                  <c:v>0.48583026787172123</c:v>
                </c:pt>
                <c:pt idx="73">
                  <c:v>0.49530438506854213</c:v>
                </c:pt>
                <c:pt idx="74">
                  <c:v>0.49791228840844431</c:v>
                </c:pt>
                <c:pt idx="75">
                  <c:v>0.524313338514793</c:v>
                </c:pt>
                <c:pt idx="76">
                  <c:v>0.53753118002540967</c:v>
                </c:pt>
                <c:pt idx="77">
                  <c:v>0.54411355904381353</c:v>
                </c:pt>
                <c:pt idx="78">
                  <c:v>0.55260328219094534</c:v>
                </c:pt>
                <c:pt idx="79">
                  <c:v>0.57402067203335272</c:v>
                </c:pt>
                <c:pt idx="80">
                  <c:v>0.60794596280809965</c:v>
                </c:pt>
                <c:pt idx="81">
                  <c:v>0.65679465503758205</c:v>
                </c:pt>
                <c:pt idx="82">
                  <c:v>0.66528291573322662</c:v>
                </c:pt>
                <c:pt idx="83">
                  <c:v>0.6630293161426648</c:v>
                </c:pt>
                <c:pt idx="84">
                  <c:v>0.6653304048937998</c:v>
                </c:pt>
                <c:pt idx="85">
                  <c:v>0.66564020701980997</c:v>
                </c:pt>
                <c:pt idx="86">
                  <c:v>0.67423369399164856</c:v>
                </c:pt>
                <c:pt idx="87">
                  <c:v>0.68016976706463772</c:v>
                </c:pt>
                <c:pt idx="88">
                  <c:v>0.69134012514759646</c:v>
                </c:pt>
                <c:pt idx="89">
                  <c:v>0.69372817446991386</c:v>
                </c:pt>
                <c:pt idx="90">
                  <c:v>0.69282014812361858</c:v>
                </c:pt>
                <c:pt idx="91">
                  <c:v>0.69403006135964695</c:v>
                </c:pt>
                <c:pt idx="92">
                  <c:v>0.70008492440255088</c:v>
                </c:pt>
                <c:pt idx="93">
                  <c:v>0.70864217461118695</c:v>
                </c:pt>
                <c:pt idx="94">
                  <c:v>0.70835675436320034</c:v>
                </c:pt>
                <c:pt idx="95">
                  <c:v>0.700243836733906</c:v>
                </c:pt>
                <c:pt idx="96">
                  <c:v>0.6984352570980682</c:v>
                </c:pt>
                <c:pt idx="97">
                  <c:v>0.70069822497010104</c:v>
                </c:pt>
                <c:pt idx="98">
                  <c:v>0.70375462273729317</c:v>
                </c:pt>
                <c:pt idx="99">
                  <c:v>0.72040685722619302</c:v>
                </c:pt>
                <c:pt idx="100">
                  <c:v>0.73213387986467227</c:v>
                </c:pt>
                <c:pt idx="101">
                  <c:v>0.73418950128395988</c:v>
                </c:pt>
                <c:pt idx="102">
                  <c:v>0.73484626333493586</c:v>
                </c:pt>
                <c:pt idx="103">
                  <c:v>0.73778253833128526</c:v>
                </c:pt>
                <c:pt idx="104">
                  <c:v>0.742583404628265</c:v>
                </c:pt>
                <c:pt idx="105">
                  <c:v>0.74817025230866407</c:v>
                </c:pt>
                <c:pt idx="106">
                  <c:v>0.7542587901047938</c:v>
                </c:pt>
                <c:pt idx="107">
                  <c:v>0.74844661563690484</c:v>
                </c:pt>
                <c:pt idx="108">
                  <c:v>0.74747649607757904</c:v>
                </c:pt>
                <c:pt idx="109">
                  <c:v>0.74660340677262116</c:v>
                </c:pt>
                <c:pt idx="110">
                  <c:v>0.75238600985860682</c:v>
                </c:pt>
                <c:pt idx="111">
                  <c:v>0.77085918321339231</c:v>
                </c:pt>
                <c:pt idx="112">
                  <c:v>0.77153400139922423</c:v>
                </c:pt>
                <c:pt idx="113">
                  <c:v>0.77400791284305681</c:v>
                </c:pt>
                <c:pt idx="114">
                  <c:v>0.76928955556533929</c:v>
                </c:pt>
                <c:pt idx="115">
                  <c:v>0.76868167674292209</c:v>
                </c:pt>
                <c:pt idx="116">
                  <c:v>0.77299505762111842</c:v>
                </c:pt>
                <c:pt idx="117">
                  <c:v>0.7816671902329746</c:v>
                </c:pt>
                <c:pt idx="118">
                  <c:v>0.78237574963389256</c:v>
                </c:pt>
                <c:pt idx="119">
                  <c:v>0.77815107503110981</c:v>
                </c:pt>
                <c:pt idx="120">
                  <c:v>0.77553170641157254</c:v>
                </c:pt>
                <c:pt idx="121">
                  <c:v>0.77770471124145202</c:v>
                </c:pt>
                <c:pt idx="122">
                  <c:v>0.78405801836221656</c:v>
                </c:pt>
                <c:pt idx="123">
                  <c:v>0.81224404818346763</c:v>
                </c:pt>
                <c:pt idx="124">
                  <c:v>0.79804206688922108</c:v>
                </c:pt>
                <c:pt idx="125">
                  <c:v>0.79764330312650833</c:v>
                </c:pt>
                <c:pt idx="126">
                  <c:v>0.79673098970440714</c:v>
                </c:pt>
                <c:pt idx="127">
                  <c:v>0.79695498424034272</c:v>
                </c:pt>
                <c:pt idx="128">
                  <c:v>0.80096879124852727</c:v>
                </c:pt>
                <c:pt idx="129">
                  <c:v>0.80599051677103895</c:v>
                </c:pt>
                <c:pt idx="130">
                  <c:v>0.80705604881710069</c:v>
                </c:pt>
                <c:pt idx="131">
                  <c:v>0.80338569454293873</c:v>
                </c:pt>
                <c:pt idx="132">
                  <c:v>0.79852440431288108</c:v>
                </c:pt>
                <c:pt idx="133">
                  <c:v>0.79943112109965697</c:v>
                </c:pt>
                <c:pt idx="134">
                  <c:v>0.80398793563445703</c:v>
                </c:pt>
                <c:pt idx="135">
                  <c:v>0.81035673910113204</c:v>
                </c:pt>
                <c:pt idx="136">
                  <c:v>0.81143789924073551</c:v>
                </c:pt>
                <c:pt idx="137">
                  <c:v>0.8159876291882503</c:v>
                </c:pt>
                <c:pt idx="138">
                  <c:v>0.81444169948624545</c:v>
                </c:pt>
                <c:pt idx="139">
                  <c:v>0.81388617205192337</c:v>
                </c:pt>
                <c:pt idx="140">
                  <c:v>0.81470997827190739</c:v>
                </c:pt>
                <c:pt idx="141">
                  <c:v>0.81829337803968671</c:v>
                </c:pt>
                <c:pt idx="142">
                  <c:v>0.81855498588495434</c:v>
                </c:pt>
                <c:pt idx="143">
                  <c:v>0.81302721818857937</c:v>
                </c:pt>
                <c:pt idx="144">
                  <c:v>0.81091509854684196</c:v>
                </c:pt>
                <c:pt idx="145">
                  <c:v>0.81222254114762804</c:v>
                </c:pt>
                <c:pt idx="146">
                  <c:v>0.81515697388090314</c:v>
                </c:pt>
                <c:pt idx="147">
                  <c:v>0.84192046436295476</c:v>
                </c:pt>
                <c:pt idx="148">
                  <c:v>0.81245294478792529</c:v>
                </c:pt>
                <c:pt idx="149">
                  <c:v>0.83080477521981833</c:v>
                </c:pt>
                <c:pt idx="150">
                  <c:v>0.82793216431638461</c:v>
                </c:pt>
                <c:pt idx="151">
                  <c:v>0.82872320622889273</c:v>
                </c:pt>
                <c:pt idx="152">
                  <c:v>0.83078917906067773</c:v>
                </c:pt>
                <c:pt idx="153">
                  <c:v>0.83512245397539564</c:v>
                </c:pt>
                <c:pt idx="154">
                  <c:v>0.83464077998557096</c:v>
                </c:pt>
                <c:pt idx="155">
                  <c:v>0.82996668905125492</c:v>
                </c:pt>
                <c:pt idx="156">
                  <c:v>0.82978872538505644</c:v>
                </c:pt>
                <c:pt idx="157">
                  <c:v>0.83032951551516321</c:v>
                </c:pt>
                <c:pt idx="158">
                  <c:v>0.83223524187231424</c:v>
                </c:pt>
                <c:pt idx="159">
                  <c:v>0.84364248381353657</c:v>
                </c:pt>
                <c:pt idx="160">
                  <c:v>0.84668209103893166</c:v>
                </c:pt>
                <c:pt idx="161">
                  <c:v>0.84613598365223852</c:v>
                </c:pt>
                <c:pt idx="162">
                  <c:v>0.84325961799313764</c:v>
                </c:pt>
                <c:pt idx="163">
                  <c:v>0.84166225668595229</c:v>
                </c:pt>
                <c:pt idx="164">
                  <c:v>0.84377498254055427</c:v>
                </c:pt>
                <c:pt idx="165">
                  <c:v>0.8482022669261039</c:v>
                </c:pt>
                <c:pt idx="166">
                  <c:v>0.850074404340593</c:v>
                </c:pt>
                <c:pt idx="167">
                  <c:v>0.84740474148755929</c:v>
                </c:pt>
                <c:pt idx="168">
                  <c:v>0.84543555177861718</c:v>
                </c:pt>
                <c:pt idx="169">
                  <c:v>0.84487943640054486</c:v>
                </c:pt>
                <c:pt idx="170">
                  <c:v>0.85008849878276416</c:v>
                </c:pt>
                <c:pt idx="171">
                  <c:v>0.85530610684005837</c:v>
                </c:pt>
                <c:pt idx="172">
                  <c:v>0.85899490270989243</c:v>
                </c:pt>
                <c:pt idx="173">
                  <c:v>0.85776271873690912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MWH'!$B$12:$FS$12</c:f>
              <c:numCache>
                <c:formatCode>0.00%</c:formatCode>
                <c:ptCount val="174"/>
                <c:pt idx="0">
                  <c:v>1.2315423384910439E-2</c:v>
                </c:pt>
                <c:pt idx="1">
                  <c:v>2.5050109467180844E-2</c:v>
                </c:pt>
                <c:pt idx="2">
                  <c:v>2.5605424545919225E-2</c:v>
                </c:pt>
                <c:pt idx="3">
                  <c:v>2.7704676564813041E-2</c:v>
                </c:pt>
                <c:pt idx="4">
                  <c:v>3.199701432370821E-2</c:v>
                </c:pt>
                <c:pt idx="5">
                  <c:v>3.9910761839596604E-2</c:v>
                </c:pt>
                <c:pt idx="6">
                  <c:v>4.790358623364506E-2</c:v>
                </c:pt>
                <c:pt idx="7">
                  <c:v>5.4618866392296017E-2</c:v>
                </c:pt>
                <c:pt idx="8">
                  <c:v>6.3055373544163185E-2</c:v>
                </c:pt>
                <c:pt idx="9">
                  <c:v>6.9718583000120682E-2</c:v>
                </c:pt>
                <c:pt idx="10">
                  <c:v>7.3105408073989353E-2</c:v>
                </c:pt>
                <c:pt idx="11">
                  <c:v>7.3290042515765208E-2</c:v>
                </c:pt>
                <c:pt idx="12">
                  <c:v>7.9204555722582282E-2</c:v>
                </c:pt>
                <c:pt idx="13">
                  <c:v>8.1100160134963753E-2</c:v>
                </c:pt>
                <c:pt idx="14">
                  <c:v>8.5177140755086478E-2</c:v>
                </c:pt>
                <c:pt idx="15">
                  <c:v>9.0146060954488377E-2</c:v>
                </c:pt>
                <c:pt idx="16">
                  <c:v>9.7228030904775067E-2</c:v>
                </c:pt>
                <c:pt idx="17">
                  <c:v>0.10230651101004706</c:v>
                </c:pt>
                <c:pt idx="18">
                  <c:v>0.10971728756398577</c:v>
                </c:pt>
                <c:pt idx="19">
                  <c:v>0.11705877007945212</c:v>
                </c:pt>
                <c:pt idx="20">
                  <c:v>0.12432505745979304</c:v>
                </c:pt>
                <c:pt idx="21">
                  <c:v>0.13505484524302616</c:v>
                </c:pt>
                <c:pt idx="22">
                  <c:v>0.14295653235603895</c:v>
                </c:pt>
                <c:pt idx="23">
                  <c:v>0.15001275981358189</c:v>
                </c:pt>
                <c:pt idx="24">
                  <c:v>0.15069853208030276</c:v>
                </c:pt>
                <c:pt idx="25">
                  <c:v>0.15227316589546822</c:v>
                </c:pt>
                <c:pt idx="26">
                  <c:v>0.1562631598960304</c:v>
                </c:pt>
                <c:pt idx="27">
                  <c:v>0.16057878180951352</c:v>
                </c:pt>
                <c:pt idx="28">
                  <c:v>0.16389915500121588</c:v>
                </c:pt>
                <c:pt idx="29">
                  <c:v>0.1696379480725857</c:v>
                </c:pt>
                <c:pt idx="30">
                  <c:v>0.17323904959679925</c:v>
                </c:pt>
                <c:pt idx="31">
                  <c:v>0.18046995794882209</c:v>
                </c:pt>
                <c:pt idx="32">
                  <c:v>0.18919340393510095</c:v>
                </c:pt>
                <c:pt idx="33">
                  <c:v>0.19721410128744293</c:v>
                </c:pt>
                <c:pt idx="34">
                  <c:v>0.2041859560082952</c:v>
                </c:pt>
                <c:pt idx="35">
                  <c:v>0.21038033246523169</c:v>
                </c:pt>
                <c:pt idx="36">
                  <c:v>0.21533368218302781</c:v>
                </c:pt>
                <c:pt idx="37">
                  <c:v>0.21968150328440228</c:v>
                </c:pt>
                <c:pt idx="38">
                  <c:v>0.22486470662403477</c:v>
                </c:pt>
                <c:pt idx="39">
                  <c:v>0.23224967117183165</c:v>
                </c:pt>
                <c:pt idx="40">
                  <c:v>0.23988297916805459</c:v>
                </c:pt>
                <c:pt idx="41">
                  <c:v>0.24638692444096097</c:v>
                </c:pt>
                <c:pt idx="42">
                  <c:v>0.2537305519434791</c:v>
                </c:pt>
                <c:pt idx="43">
                  <c:v>0.26486867317965868</c:v>
                </c:pt>
                <c:pt idx="44">
                  <c:v>0.27452924613844687</c:v>
                </c:pt>
                <c:pt idx="45">
                  <c:v>0.28665041434417038</c:v>
                </c:pt>
                <c:pt idx="46">
                  <c:v>0.29655120340494368</c:v>
                </c:pt>
                <c:pt idx="47">
                  <c:v>0.30105559428533207</c:v>
                </c:pt>
                <c:pt idx="48">
                  <c:v>0.30433511429853743</c:v>
                </c:pt>
                <c:pt idx="49">
                  <c:v>0.30714632934365088</c:v>
                </c:pt>
                <c:pt idx="50">
                  <c:v>0.31184205412471044</c:v>
                </c:pt>
                <c:pt idx="51">
                  <c:v>0.31655894930366912</c:v>
                </c:pt>
                <c:pt idx="52">
                  <c:v>0.32315658529842156</c:v>
                </c:pt>
                <c:pt idx="53">
                  <c:v>0.32815191813378225</c:v>
                </c:pt>
                <c:pt idx="54">
                  <c:v>0.335452429130427</c:v>
                </c:pt>
                <c:pt idx="55">
                  <c:v>0.34260343401520094</c:v>
                </c:pt>
                <c:pt idx="56">
                  <c:v>0.35016385786674253</c:v>
                </c:pt>
                <c:pt idx="57">
                  <c:v>0.36310450278153228</c:v>
                </c:pt>
                <c:pt idx="58">
                  <c:v>0.37119215731243765</c:v>
                </c:pt>
                <c:pt idx="59">
                  <c:v>0.37622229351718978</c:v>
                </c:pt>
                <c:pt idx="60">
                  <c:v>0.3824715866056525</c:v>
                </c:pt>
                <c:pt idx="61">
                  <c:v>0.38643690398249653</c:v>
                </c:pt>
                <c:pt idx="62">
                  <c:v>0.39036903938733458</c:v>
                </c:pt>
                <c:pt idx="63">
                  <c:v>0.39791536896420188</c:v>
                </c:pt>
                <c:pt idx="64">
                  <c:v>0.40579939073923393</c:v>
                </c:pt>
                <c:pt idx="65">
                  <c:v>0.41013113416157193</c:v>
                </c:pt>
                <c:pt idx="66">
                  <c:v>0.41258105575253334</c:v>
                </c:pt>
                <c:pt idx="67">
                  <c:v>0.41517867074608034</c:v>
                </c:pt>
                <c:pt idx="68">
                  <c:v>0.41620876674794727</c:v>
                </c:pt>
                <c:pt idx="69">
                  <c:v>0.42363301551495758</c:v>
                </c:pt>
                <c:pt idx="70">
                  <c:v>0.429115936135053</c:v>
                </c:pt>
                <c:pt idx="71">
                  <c:v>0.43325732557817814</c:v>
                </c:pt>
                <c:pt idx="72">
                  <c:v>0.433607914556003</c:v>
                </c:pt>
                <c:pt idx="73">
                  <c:v>0.43588242167509622</c:v>
                </c:pt>
                <c:pt idx="74">
                  <c:v>0.4388177190658693</c:v>
                </c:pt>
                <c:pt idx="75">
                  <c:v>0.44731115185564468</c:v>
                </c:pt>
                <c:pt idx="76">
                  <c:v>0.45447013757494181</c:v>
                </c:pt>
                <c:pt idx="77">
                  <c:v>0.45171862667716389</c:v>
                </c:pt>
                <c:pt idx="78">
                  <c:v>0.4482966613614997</c:v>
                </c:pt>
                <c:pt idx="79">
                  <c:v>0.44770323945933505</c:v>
                </c:pt>
                <c:pt idx="80">
                  <c:v>0.45035283275083576</c:v>
                </c:pt>
                <c:pt idx="81">
                  <c:v>0.45781126555417823</c:v>
                </c:pt>
                <c:pt idx="82">
                  <c:v>0.46256286903255545</c:v>
                </c:pt>
                <c:pt idx="83">
                  <c:v>0.46052353264859924</c:v>
                </c:pt>
                <c:pt idx="84">
                  <c:v>0.46040890051623934</c:v>
                </c:pt>
                <c:pt idx="85">
                  <c:v>0.46135832057994186</c:v>
                </c:pt>
                <c:pt idx="86">
                  <c:v>0.46647711404674846</c:v>
                </c:pt>
                <c:pt idx="87">
                  <c:v>0.47095624411269654</c:v>
                </c:pt>
                <c:pt idx="88">
                  <c:v>0.4817807408705882</c:v>
                </c:pt>
                <c:pt idx="89">
                  <c:v>0.47946242384452331</c:v>
                </c:pt>
                <c:pt idx="90">
                  <c:v>0.47595555106455584</c:v>
                </c:pt>
                <c:pt idx="91">
                  <c:v>0.48262899437054119</c:v>
                </c:pt>
                <c:pt idx="92">
                  <c:v>0.48851919863052573</c:v>
                </c:pt>
                <c:pt idx="93">
                  <c:v>0.5031896199913809</c:v>
                </c:pt>
                <c:pt idx="94">
                  <c:v>0.50863870945189227</c:v>
                </c:pt>
                <c:pt idx="95">
                  <c:v>0.50181399805613536</c:v>
                </c:pt>
                <c:pt idx="96">
                  <c:v>0.50075662114868402</c:v>
                </c:pt>
                <c:pt idx="97">
                  <c:v>0.5058607365658021</c:v>
                </c:pt>
                <c:pt idx="98">
                  <c:v>0.5084381216921724</c:v>
                </c:pt>
                <c:pt idx="99">
                  <c:v>0.51591562380417055</c:v>
                </c:pt>
                <c:pt idx="100">
                  <c:v>0.52770279050745006</c:v>
                </c:pt>
                <c:pt idx="101">
                  <c:v>0.52211468998788035</c:v>
                </c:pt>
                <c:pt idx="102">
                  <c:v>0.52241606985454603</c:v>
                </c:pt>
                <c:pt idx="103">
                  <c:v>0.52241122443596488</c:v>
                </c:pt>
                <c:pt idx="104">
                  <c:v>0.53062470566446129</c:v>
                </c:pt>
                <c:pt idx="105">
                  <c:v>0.54005268117895722</c:v>
                </c:pt>
                <c:pt idx="106">
                  <c:v>0.54913096890923063</c:v>
                </c:pt>
                <c:pt idx="107">
                  <c:v>0.54470348327787532</c:v>
                </c:pt>
                <c:pt idx="108">
                  <c:v>0.54203016339915622</c:v>
                </c:pt>
                <c:pt idx="109">
                  <c:v>0.55086979365828237</c:v>
                </c:pt>
                <c:pt idx="110">
                  <c:v>0.55734196389955348</c:v>
                </c:pt>
                <c:pt idx="111">
                  <c:v>0.56301275046470767</c:v>
                </c:pt>
                <c:pt idx="112">
                  <c:v>0.56608177593781117</c:v>
                </c:pt>
                <c:pt idx="113">
                  <c:v>0.56243204011766113</c:v>
                </c:pt>
                <c:pt idx="114">
                  <c:v>0.5567673394629381</c:v>
                </c:pt>
                <c:pt idx="115">
                  <c:v>0.55978977209564407</c:v>
                </c:pt>
                <c:pt idx="116">
                  <c:v>0.56577585820684095</c:v>
                </c:pt>
                <c:pt idx="117">
                  <c:v>0.57492677440138973</c:v>
                </c:pt>
                <c:pt idx="118">
                  <c:v>0.58227815852130305</c:v>
                </c:pt>
                <c:pt idx="119">
                  <c:v>0.57939959938553875</c:v>
                </c:pt>
                <c:pt idx="120">
                  <c:v>0.57982513981539108</c:v>
                </c:pt>
                <c:pt idx="121">
                  <c:v>0.58368059452891818</c:v>
                </c:pt>
                <c:pt idx="122">
                  <c:v>0.59011715440695434</c:v>
                </c:pt>
                <c:pt idx="123">
                  <c:v>0.59938035179710825</c:v>
                </c:pt>
                <c:pt idx="124">
                  <c:v>0.59863732662880831</c:v>
                </c:pt>
                <c:pt idx="125">
                  <c:v>0.59585916219657709</c:v>
                </c:pt>
                <c:pt idx="126">
                  <c:v>0.59388203192329703</c:v>
                </c:pt>
                <c:pt idx="127">
                  <c:v>0.59451037703362142</c:v>
                </c:pt>
                <c:pt idx="128">
                  <c:v>0.59910777196163101</c:v>
                </c:pt>
                <c:pt idx="129">
                  <c:v>0.60577448592471428</c:v>
                </c:pt>
                <c:pt idx="130">
                  <c:v>0.61187026766679076</c:v>
                </c:pt>
                <c:pt idx="131">
                  <c:v>0.61112901417817733</c:v>
                </c:pt>
                <c:pt idx="132">
                  <c:v>0.61131933020656315</c:v>
                </c:pt>
                <c:pt idx="133">
                  <c:v>0.61199444753050536</c:v>
                </c:pt>
                <c:pt idx="134">
                  <c:v>0.61357676951284312</c:v>
                </c:pt>
                <c:pt idx="135">
                  <c:v>0.62022570484969919</c:v>
                </c:pt>
                <c:pt idx="136">
                  <c:v>0.62456763009553606</c:v>
                </c:pt>
                <c:pt idx="137">
                  <c:v>0.62296734799626396</c:v>
                </c:pt>
                <c:pt idx="138">
                  <c:v>0.6189708694451046</c:v>
                </c:pt>
                <c:pt idx="139">
                  <c:v>0.61919446798591815</c:v>
                </c:pt>
                <c:pt idx="140">
                  <c:v>0.61947615356019703</c:v>
                </c:pt>
                <c:pt idx="141">
                  <c:v>0.62577543512139999</c:v>
                </c:pt>
                <c:pt idx="142">
                  <c:v>0.63330013244012162</c:v>
                </c:pt>
                <c:pt idx="143">
                  <c:v>0.63341864206542653</c:v>
                </c:pt>
                <c:pt idx="144">
                  <c:v>0.63164358575327517</c:v>
                </c:pt>
                <c:pt idx="145">
                  <c:v>0.63546073542848058</c:v>
                </c:pt>
                <c:pt idx="146">
                  <c:v>0.63488268440760409</c:v>
                </c:pt>
                <c:pt idx="147">
                  <c:v>0.63899102599302149</c:v>
                </c:pt>
                <c:pt idx="148">
                  <c:v>0.64215928820968604</c:v>
                </c:pt>
                <c:pt idx="149">
                  <c:v>0.64083889830508023</c:v>
                </c:pt>
                <c:pt idx="150">
                  <c:v>0.63902184443595078</c:v>
                </c:pt>
                <c:pt idx="151">
                  <c:v>0.63958414359300797</c:v>
                </c:pt>
                <c:pt idx="152">
                  <c:v>0.63980374370825033</c:v>
                </c:pt>
                <c:pt idx="153">
                  <c:v>0.64687832510112864</c:v>
                </c:pt>
                <c:pt idx="154">
                  <c:v>0.65220399064197931</c:v>
                </c:pt>
                <c:pt idx="155">
                  <c:v>0.65173625492328913</c:v>
                </c:pt>
                <c:pt idx="156">
                  <c:v>0.65527929448769739</c:v>
                </c:pt>
                <c:pt idx="157">
                  <c:v>0.65367321767943554</c:v>
                </c:pt>
                <c:pt idx="158">
                  <c:v>0.65589556885531819</c:v>
                </c:pt>
                <c:pt idx="159">
                  <c:v>0.65976329555692947</c:v>
                </c:pt>
                <c:pt idx="160">
                  <c:v>0.66472709002204811</c:v>
                </c:pt>
                <c:pt idx="161">
                  <c:v>0.66275282852663964</c:v>
                </c:pt>
                <c:pt idx="162">
                  <c:v>0.65734124960921914</c:v>
                </c:pt>
                <c:pt idx="163">
                  <c:v>0.65516582688271685</c:v>
                </c:pt>
                <c:pt idx="164">
                  <c:v>0.65797100048229362</c:v>
                </c:pt>
                <c:pt idx="165">
                  <c:v>0.66508665533306877</c:v>
                </c:pt>
                <c:pt idx="166">
                  <c:v>0.67221588858617198</c:v>
                </c:pt>
                <c:pt idx="167">
                  <c:v>0.67297893263029618</c:v>
                </c:pt>
                <c:pt idx="168">
                  <c:v>0.67397496334187412</c:v>
                </c:pt>
                <c:pt idx="169">
                  <c:v>0.67246045873381666</c:v>
                </c:pt>
                <c:pt idx="170">
                  <c:v>0.67700072469829531</c:v>
                </c:pt>
                <c:pt idx="171">
                  <c:v>0.68055998047510757</c:v>
                </c:pt>
                <c:pt idx="172">
                  <c:v>0.6854770914362075</c:v>
                </c:pt>
                <c:pt idx="173">
                  <c:v>0.6823898734916648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MWH'!$A$11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MWH'!$B$11:$FS$11</c:f>
              <c:numCache>
                <c:formatCode>0.00%</c:formatCode>
                <c:ptCount val="174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MWH'!$A$10</c:f>
              <c:strCache>
                <c:ptCount val="1"/>
                <c:pt idx="0">
                  <c:v>Sharyland Utilities LP</c:v>
                </c:pt>
              </c:strCache>
            </c:strRef>
          </c:tx>
          <c:cat>
            <c:numRef>
              <c:f>'res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'res MWH'!$B$10:$FS$10</c:f>
              <c:numCache>
                <c:formatCode>0.00%</c:formatCode>
                <c:ptCount val="174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096512"/>
        <c:axId val="337836544"/>
      </c:lineChart>
      <c:dateAx>
        <c:axId val="338096512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7836544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33783654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80965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Secondary Voltage Customers with Competitive REP</a:t>
            </a:r>
          </a:p>
        </c:rich>
      </c:tx>
      <c:layout>
        <c:manualLayout>
          <c:xMode val="edge"/>
          <c:yMode val="edge"/>
          <c:x val="0.11571693434693719"/>
          <c:y val="3.0674846625767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0508353081204"/>
          <c:y val="0.20245439204369697"/>
          <c:w val="0.83247117955118988"/>
          <c:h val="0.55214834193734619"/>
        </c:manualLayout>
      </c:layout>
      <c:lineChart>
        <c:grouping val="standard"/>
        <c:varyColors val="0"/>
        <c:ser>
          <c:idx val="0"/>
          <c:order val="0"/>
          <c:tx>
            <c:strRef>
              <c:f>'non-res # of cust'!$A$5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# of cust'!$B$5:$FS$5</c:f>
              <c:numCache>
                <c:formatCode>0.00%</c:formatCode>
                <c:ptCount val="174"/>
                <c:pt idx="0">
                  <c:v>7.7695979410752495E-3</c:v>
                </c:pt>
                <c:pt idx="1">
                  <c:v>3.2181911722316076E-2</c:v>
                </c:pt>
                <c:pt idx="2">
                  <c:v>4.6730532606785023E-2</c:v>
                </c:pt>
                <c:pt idx="3">
                  <c:v>5.2342852501247435E-2</c:v>
                </c:pt>
                <c:pt idx="4">
                  <c:v>5.7644553264853744E-2</c:v>
                </c:pt>
                <c:pt idx="5">
                  <c:v>6.7016908864999183E-2</c:v>
                </c:pt>
                <c:pt idx="6">
                  <c:v>6.6435788787483699E-2</c:v>
                </c:pt>
                <c:pt idx="7">
                  <c:v>8.4008271583663627E-2</c:v>
                </c:pt>
                <c:pt idx="8">
                  <c:v>9.0599786137843877E-2</c:v>
                </c:pt>
                <c:pt idx="9">
                  <c:v>9.7853304142827308E-2</c:v>
                </c:pt>
                <c:pt idx="10">
                  <c:v>0.1037568587477499</c:v>
                </c:pt>
                <c:pt idx="11">
                  <c:v>0.11052878068852752</c:v>
                </c:pt>
                <c:pt idx="12">
                  <c:v>0.11978088174391024</c:v>
                </c:pt>
                <c:pt idx="13">
                  <c:v>0.12692336641541488</c:v>
                </c:pt>
                <c:pt idx="14">
                  <c:v>0.12701814314717541</c:v>
                </c:pt>
                <c:pt idx="15">
                  <c:v>0.12995266927048357</c:v>
                </c:pt>
                <c:pt idx="16">
                  <c:v>0.13587807966349044</c:v>
                </c:pt>
                <c:pt idx="17">
                  <c:v>0.14540799896953693</c:v>
                </c:pt>
                <c:pt idx="18">
                  <c:v>0.14840516813075552</c:v>
                </c:pt>
                <c:pt idx="19">
                  <c:v>0.15191757421029625</c:v>
                </c:pt>
                <c:pt idx="20">
                  <c:v>0.15741564775840181</c:v>
                </c:pt>
                <c:pt idx="21">
                  <c:v>0.16322735276592448</c:v>
                </c:pt>
                <c:pt idx="22">
                  <c:v>0.17054469943027528</c:v>
                </c:pt>
                <c:pt idx="23">
                  <c:v>0.1786050619576379</c:v>
                </c:pt>
                <c:pt idx="24">
                  <c:v>0.16947577015070076</c:v>
                </c:pt>
                <c:pt idx="25">
                  <c:v>0.17168464694956118</c:v>
                </c:pt>
                <c:pt idx="26">
                  <c:v>0.17620265536318028</c:v>
                </c:pt>
                <c:pt idx="27">
                  <c:v>0.17901682019481585</c:v>
                </c:pt>
                <c:pt idx="28">
                  <c:v>0.18249899795371602</c:v>
                </c:pt>
                <c:pt idx="29">
                  <c:v>0.1893590192460072</c:v>
                </c:pt>
                <c:pt idx="30">
                  <c:v>0.19780972484301873</c:v>
                </c:pt>
                <c:pt idx="31">
                  <c:v>0.20139436160934759</c:v>
                </c:pt>
                <c:pt idx="32">
                  <c:v>0.20884562124963282</c:v>
                </c:pt>
                <c:pt idx="33">
                  <c:v>0.21487765602293704</c:v>
                </c:pt>
                <c:pt idx="34">
                  <c:v>0.22040239050073984</c:v>
                </c:pt>
                <c:pt idx="35">
                  <c:v>0.2256906120698223</c:v>
                </c:pt>
                <c:pt idx="36">
                  <c:v>0.24404582975316097</c:v>
                </c:pt>
                <c:pt idx="37">
                  <c:v>0.25093796399282625</c:v>
                </c:pt>
                <c:pt idx="38">
                  <c:v>0.25504282217514351</c:v>
                </c:pt>
                <c:pt idx="39">
                  <c:v>0.26767303030857692</c:v>
                </c:pt>
                <c:pt idx="40">
                  <c:v>0.2746745065098698</c:v>
                </c:pt>
                <c:pt idx="41">
                  <c:v>0.28874322457083529</c:v>
                </c:pt>
                <c:pt idx="42">
                  <c:v>0.29671488848704036</c:v>
                </c:pt>
                <c:pt idx="43">
                  <c:v>0.30210281889293916</c:v>
                </c:pt>
                <c:pt idx="44">
                  <c:v>0.30731679509968024</c:v>
                </c:pt>
                <c:pt idx="45">
                  <c:v>0.30962782752730472</c:v>
                </c:pt>
                <c:pt idx="46">
                  <c:v>0.31386931164246273</c:v>
                </c:pt>
                <c:pt idx="47">
                  <c:v>0.31672782035822783</c:v>
                </c:pt>
                <c:pt idx="48">
                  <c:v>0.32410321765070133</c:v>
                </c:pt>
                <c:pt idx="49">
                  <c:v>0.32926325406173895</c:v>
                </c:pt>
                <c:pt idx="50">
                  <c:v>0.33715215497360734</c:v>
                </c:pt>
                <c:pt idx="51">
                  <c:v>0.34594181526358969</c:v>
                </c:pt>
                <c:pt idx="52">
                  <c:v>0.35219498507767261</c:v>
                </c:pt>
                <c:pt idx="53">
                  <c:v>0.35726089203826439</c:v>
                </c:pt>
                <c:pt idx="54">
                  <c:v>0.36222823598832066</c:v>
                </c:pt>
                <c:pt idx="55">
                  <c:v>0.36668073229383263</c:v>
                </c:pt>
                <c:pt idx="56">
                  <c:v>0.37543230173835485</c:v>
                </c:pt>
                <c:pt idx="57">
                  <c:v>0.38493376010250596</c:v>
                </c:pt>
                <c:pt idx="58">
                  <c:v>0.39490860622586699</c:v>
                </c:pt>
                <c:pt idx="59">
                  <c:v>0.40070411062122618</c:v>
                </c:pt>
                <c:pt idx="60">
                  <c:v>0.41383381809206088</c:v>
                </c:pt>
                <c:pt idx="61">
                  <c:v>0.42277051038928687</c:v>
                </c:pt>
                <c:pt idx="62">
                  <c:v>0.42955273189326554</c:v>
                </c:pt>
                <c:pt idx="63">
                  <c:v>0.43443231800839133</c:v>
                </c:pt>
                <c:pt idx="64">
                  <c:v>0.43911844613978362</c:v>
                </c:pt>
                <c:pt idx="65">
                  <c:v>0.44346258482761408</c:v>
                </c:pt>
                <c:pt idx="66">
                  <c:v>0.44759029900365821</c:v>
                </c:pt>
                <c:pt idx="67">
                  <c:v>0.45077754249066293</c:v>
                </c:pt>
                <c:pt idx="68">
                  <c:v>0.4542686928863533</c:v>
                </c:pt>
                <c:pt idx="69">
                  <c:v>0.45924836461153057</c:v>
                </c:pt>
                <c:pt idx="70">
                  <c:v>0.46204644613625984</c:v>
                </c:pt>
                <c:pt idx="71">
                  <c:v>0.46738504586043883</c:v>
                </c:pt>
                <c:pt idx="72">
                  <c:v>0.47150992112616275</c:v>
                </c:pt>
                <c:pt idx="73">
                  <c:v>0.47317175431772601</c:v>
                </c:pt>
                <c:pt idx="74">
                  <c:v>0.47484008421137663</c:v>
                </c:pt>
                <c:pt idx="75">
                  <c:v>0.47659853480777231</c:v>
                </c:pt>
                <c:pt idx="76">
                  <c:v>0.47901008895502395</c:v>
                </c:pt>
                <c:pt idx="77">
                  <c:v>0.48481621617539328</c:v>
                </c:pt>
                <c:pt idx="78">
                  <c:v>0.4866924359519253</c:v>
                </c:pt>
                <c:pt idx="79">
                  <c:v>0.48913404281001044</c:v>
                </c:pt>
                <c:pt idx="80">
                  <c:v>0.49134735639530641</c:v>
                </c:pt>
                <c:pt idx="81">
                  <c:v>0.49443701706283566</c:v>
                </c:pt>
                <c:pt idx="82">
                  <c:v>0.49878715442726457</c:v>
                </c:pt>
                <c:pt idx="83">
                  <c:v>0.50808638290553321</c:v>
                </c:pt>
                <c:pt idx="84">
                  <c:v>0.52181571882954814</c:v>
                </c:pt>
                <c:pt idx="85">
                  <c:v>0.51459271641247528</c:v>
                </c:pt>
                <c:pt idx="86">
                  <c:v>0.51637045384487101</c:v>
                </c:pt>
                <c:pt idx="87">
                  <c:v>0.51883866310983684</c:v>
                </c:pt>
                <c:pt idx="88">
                  <c:v>0.52224527926051623</c:v>
                </c:pt>
                <c:pt idx="89">
                  <c:v>0.52070363654679153</c:v>
                </c:pt>
                <c:pt idx="90">
                  <c:v>0.52336678992780417</c:v>
                </c:pt>
                <c:pt idx="91">
                  <c:v>0.52647008538412798</c:v>
                </c:pt>
                <c:pt idx="92">
                  <c:v>0.53105385451034037</c:v>
                </c:pt>
                <c:pt idx="93">
                  <c:v>0.53611692704139158</c:v>
                </c:pt>
                <c:pt idx="94">
                  <c:v>0.54057975395218083</c:v>
                </c:pt>
                <c:pt idx="95">
                  <c:v>0.54392763555734736</c:v>
                </c:pt>
                <c:pt idx="96">
                  <c:v>0.54555284190150699</c:v>
                </c:pt>
                <c:pt idx="97">
                  <c:v>0.54760808120468041</c:v>
                </c:pt>
                <c:pt idx="98">
                  <c:v>0.55067611722716536</c:v>
                </c:pt>
                <c:pt idx="99">
                  <c:v>0.55231107518838518</c:v>
                </c:pt>
                <c:pt idx="100">
                  <c:v>0.55640549293299524</c:v>
                </c:pt>
                <c:pt idx="101">
                  <c:v>0.56086988188432552</c:v>
                </c:pt>
                <c:pt idx="102">
                  <c:v>0.56821171768297585</c:v>
                </c:pt>
                <c:pt idx="103">
                  <c:v>0.57198596667084323</c:v>
                </c:pt>
                <c:pt idx="104">
                  <c:v>0.57592546210489404</c:v>
                </c:pt>
                <c:pt idx="105">
                  <c:v>0.5799484921824748</c:v>
                </c:pt>
                <c:pt idx="106">
                  <c:v>0.58593624899919938</c:v>
                </c:pt>
                <c:pt idx="107">
                  <c:v>0.59004239672832326</c:v>
                </c:pt>
                <c:pt idx="108">
                  <c:v>0.58909026332639669</c:v>
                </c:pt>
                <c:pt idx="109">
                  <c:v>0.5928919989411171</c:v>
                </c:pt>
                <c:pt idx="110">
                  <c:v>0.59651331188011458</c:v>
                </c:pt>
                <c:pt idx="111">
                  <c:v>0.60161499029512766</c:v>
                </c:pt>
                <c:pt idx="112">
                  <c:v>0.60620190086298986</c:v>
                </c:pt>
                <c:pt idx="113">
                  <c:v>0.61417655368626944</c:v>
                </c:pt>
                <c:pt idx="114">
                  <c:v>0.63989303475604931</c:v>
                </c:pt>
                <c:pt idx="115">
                  <c:v>0.62319772541367313</c:v>
                </c:pt>
                <c:pt idx="116">
                  <c:v>0.62677363451066892</c:v>
                </c:pt>
                <c:pt idx="117">
                  <c:v>0.63085420440830531</c:v>
                </c:pt>
                <c:pt idx="118">
                  <c:v>0.63516080595892543</c:v>
                </c:pt>
                <c:pt idx="119">
                  <c:v>0.63865164344158598</c:v>
                </c:pt>
                <c:pt idx="120">
                  <c:v>0.64300920026223329</c:v>
                </c:pt>
                <c:pt idx="121">
                  <c:v>0.64519759603949711</c:v>
                </c:pt>
                <c:pt idx="122">
                  <c:v>0.64743081456246998</c:v>
                </c:pt>
                <c:pt idx="123">
                  <c:v>0.64953574585932194</c:v>
                </c:pt>
                <c:pt idx="124">
                  <c:v>0.6513354706060045</c:v>
                </c:pt>
                <c:pt idx="125">
                  <c:v>0.65440876408861248</c:v>
                </c:pt>
                <c:pt idx="126">
                  <c:v>0.65522511529289607</c:v>
                </c:pt>
                <c:pt idx="127">
                  <c:v>0.65666854534591479</c:v>
                </c:pt>
                <c:pt idx="128">
                  <c:v>0.65815104543918101</c:v>
                </c:pt>
                <c:pt idx="129">
                  <c:v>0.65973898220903127</c:v>
                </c:pt>
                <c:pt idx="130">
                  <c:v>0.66157203136741105</c:v>
                </c:pt>
                <c:pt idx="131">
                  <c:v>0.66147016337017994</c:v>
                </c:pt>
                <c:pt idx="132">
                  <c:v>0.6618911243627138</c:v>
                </c:pt>
                <c:pt idx="133">
                  <c:v>0.66207018898139913</c:v>
                </c:pt>
                <c:pt idx="134">
                  <c:v>0.66302284667951217</c:v>
                </c:pt>
                <c:pt idx="135">
                  <c:v>0.664923678612104</c:v>
                </c:pt>
                <c:pt idx="136">
                  <c:v>0.66668492211274244</c:v>
                </c:pt>
                <c:pt idx="137">
                  <c:v>0.66851481570419469</c:v>
                </c:pt>
                <c:pt idx="138">
                  <c:v>0.66951442478926748</c:v>
                </c:pt>
                <c:pt idx="139">
                  <c:v>0.6705174363070534</c:v>
                </c:pt>
                <c:pt idx="140">
                  <c:v>0.6718298952593178</c:v>
                </c:pt>
                <c:pt idx="141">
                  <c:v>0.67327472818630008</c:v>
                </c:pt>
                <c:pt idx="142">
                  <c:v>0.67424826158275153</c:v>
                </c:pt>
                <c:pt idx="143">
                  <c:v>0.67602882116702101</c:v>
                </c:pt>
                <c:pt idx="144">
                  <c:v>0.6777619827997412</c:v>
                </c:pt>
                <c:pt idx="145">
                  <c:v>0.67823806581547708</c:v>
                </c:pt>
                <c:pt idx="146">
                  <c:v>0.67926912487940327</c:v>
                </c:pt>
                <c:pt idx="147">
                  <c:v>0.68045508351966333</c:v>
                </c:pt>
                <c:pt idx="148">
                  <c:v>0.6803967117276557</c:v>
                </c:pt>
                <c:pt idx="149">
                  <c:v>0.68165213830222904</c:v>
                </c:pt>
                <c:pt idx="150">
                  <c:v>0.68298143846085535</c:v>
                </c:pt>
                <c:pt idx="151">
                  <c:v>0.6842747087736315</c:v>
                </c:pt>
                <c:pt idx="152">
                  <c:v>0.68511357525160699</c:v>
                </c:pt>
                <c:pt idx="153">
                  <c:v>0.68528357667796236</c:v>
                </c:pt>
                <c:pt idx="154">
                  <c:v>0.68627605775080225</c:v>
                </c:pt>
                <c:pt idx="155">
                  <c:v>0.68740723217930166</c:v>
                </c:pt>
                <c:pt idx="156">
                  <c:v>0.68762708052703203</c:v>
                </c:pt>
                <c:pt idx="157">
                  <c:v>0.67978193500235262</c:v>
                </c:pt>
                <c:pt idx="158">
                  <c:v>0.67935797025598743</c:v>
                </c:pt>
                <c:pt idx="159">
                  <c:v>0.67941380266075391</c:v>
                </c:pt>
                <c:pt idx="160">
                  <c:v>0.68019673386715385</c:v>
                </c:pt>
                <c:pt idx="161">
                  <c:v>0.68201794796196658</c:v>
                </c:pt>
                <c:pt idx="162">
                  <c:v>0.68092719102261146</c:v>
                </c:pt>
                <c:pt idx="163">
                  <c:v>0.68177704270323658</c:v>
                </c:pt>
                <c:pt idx="164">
                  <c:v>0.68284929923421467</c:v>
                </c:pt>
                <c:pt idx="165">
                  <c:v>0.68392441107947188</c:v>
                </c:pt>
                <c:pt idx="166">
                  <c:v>0.68494909343054666</c:v>
                </c:pt>
                <c:pt idx="167">
                  <c:v>0.68559373392030187</c:v>
                </c:pt>
                <c:pt idx="168">
                  <c:v>0.68681122705614439</c:v>
                </c:pt>
                <c:pt idx="169">
                  <c:v>0.69960319091129097</c:v>
                </c:pt>
                <c:pt idx="170">
                  <c:v>0.70303672799398131</c:v>
                </c:pt>
                <c:pt idx="171">
                  <c:v>0.70342723496034476</c:v>
                </c:pt>
                <c:pt idx="172">
                  <c:v>0.70469125037184388</c:v>
                </c:pt>
                <c:pt idx="173">
                  <c:v>0.70623360665957846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# of cust'!$B$6:$FS$6</c:f>
              <c:numCache>
                <c:formatCode>0.00%</c:formatCode>
                <c:ptCount val="174"/>
                <c:pt idx="0">
                  <c:v>8.2944817330493151E-3</c:v>
                </c:pt>
                <c:pt idx="1">
                  <c:v>3.8180994284544884E-2</c:v>
                </c:pt>
                <c:pt idx="2">
                  <c:v>5.2783869249557337E-2</c:v>
                </c:pt>
                <c:pt idx="3">
                  <c:v>5.6977240773708124E-2</c:v>
                </c:pt>
                <c:pt idx="4">
                  <c:v>6.4661309279237092E-2</c:v>
                </c:pt>
                <c:pt idx="5">
                  <c:v>6.9876242265141567E-2</c:v>
                </c:pt>
                <c:pt idx="6">
                  <c:v>7.178246663963346E-2</c:v>
                </c:pt>
                <c:pt idx="7">
                  <c:v>9.2589759636557495E-2</c:v>
                </c:pt>
                <c:pt idx="8">
                  <c:v>9.5071054703144642E-2</c:v>
                </c:pt>
                <c:pt idx="9">
                  <c:v>0.10196874198394958</c:v>
                </c:pt>
                <c:pt idx="10">
                  <c:v>0.10621697829122068</c:v>
                </c:pt>
                <c:pt idx="11">
                  <c:v>0.11024489257221395</c:v>
                </c:pt>
                <c:pt idx="12">
                  <c:v>0.11510613398285491</c:v>
                </c:pt>
                <c:pt idx="13">
                  <c:v>0.12213398685109692</c:v>
                </c:pt>
                <c:pt idx="14">
                  <c:v>0.12950765338275316</c:v>
                </c:pt>
                <c:pt idx="15">
                  <c:v>0.12818252312464229</c:v>
                </c:pt>
                <c:pt idx="16">
                  <c:v>0.12986456013170455</c:v>
                </c:pt>
                <c:pt idx="17">
                  <c:v>0.1320938040260374</c:v>
                </c:pt>
                <c:pt idx="18">
                  <c:v>0.13644542183126748</c:v>
                </c:pt>
                <c:pt idx="19">
                  <c:v>0.14313117630480832</c:v>
                </c:pt>
                <c:pt idx="20">
                  <c:v>0.14193568958998584</c:v>
                </c:pt>
                <c:pt idx="21">
                  <c:v>0.14661457266066494</c:v>
                </c:pt>
                <c:pt idx="22">
                  <c:v>0.15676580415986319</c:v>
                </c:pt>
                <c:pt idx="23">
                  <c:v>0.16995179990840623</c:v>
                </c:pt>
                <c:pt idx="24">
                  <c:v>0.18332629245535856</c:v>
                </c:pt>
                <c:pt idx="25">
                  <c:v>0.19018747615673878</c:v>
                </c:pt>
                <c:pt idx="26">
                  <c:v>0.19661521108311425</c:v>
                </c:pt>
                <c:pt idx="27">
                  <c:v>0.20249981878805451</c:v>
                </c:pt>
                <c:pt idx="28">
                  <c:v>0.20784234051198699</c:v>
                </c:pt>
                <c:pt idx="29">
                  <c:v>0.21581023760739063</c:v>
                </c:pt>
                <c:pt idx="30">
                  <c:v>0.22716061540665272</c:v>
                </c:pt>
                <c:pt idx="31">
                  <c:v>0.23819579620336803</c:v>
                </c:pt>
                <c:pt idx="32">
                  <c:v>0.24799721817282103</c:v>
                </c:pt>
                <c:pt idx="33">
                  <c:v>0.25800962354436119</c:v>
                </c:pt>
                <c:pt idx="34">
                  <c:v>0.26604462546641999</c:v>
                </c:pt>
                <c:pt idx="35">
                  <c:v>0.27464068902379407</c:v>
                </c:pt>
                <c:pt idx="36">
                  <c:v>0.27688888689753438</c:v>
                </c:pt>
                <c:pt idx="37">
                  <c:v>0.2797884766880665</c:v>
                </c:pt>
                <c:pt idx="38">
                  <c:v>0.28202296416640804</c:v>
                </c:pt>
                <c:pt idx="39">
                  <c:v>0.30719170966130394</c:v>
                </c:pt>
                <c:pt idx="40">
                  <c:v>0.31212201125175809</c:v>
                </c:pt>
                <c:pt idx="41">
                  <c:v>0.32045334069332915</c:v>
                </c:pt>
                <c:pt idx="42">
                  <c:v>0.32611569454685069</c:v>
                </c:pt>
                <c:pt idx="43">
                  <c:v>0.3354608850557233</c:v>
                </c:pt>
                <c:pt idx="44">
                  <c:v>0.34496445523357061</c:v>
                </c:pt>
                <c:pt idx="45">
                  <c:v>0.35074630108414628</c:v>
                </c:pt>
                <c:pt idx="46">
                  <c:v>0.35271842267938736</c:v>
                </c:pt>
                <c:pt idx="47">
                  <c:v>0.36163092793149049</c:v>
                </c:pt>
                <c:pt idx="48">
                  <c:v>0.35790089555298366</c:v>
                </c:pt>
                <c:pt idx="49">
                  <c:v>0.35763288454083342</c:v>
                </c:pt>
                <c:pt idx="50">
                  <c:v>0.35253669123493137</c:v>
                </c:pt>
                <c:pt idx="51">
                  <c:v>0.35359947840484535</c:v>
                </c:pt>
                <c:pt idx="52">
                  <c:v>0.35901303140354623</c:v>
                </c:pt>
                <c:pt idx="53">
                  <c:v>0.36390254282370466</c:v>
                </c:pt>
                <c:pt idx="54">
                  <c:v>0.36850234658112041</c:v>
                </c:pt>
                <c:pt idx="55">
                  <c:v>0.37114975114439575</c:v>
                </c:pt>
                <c:pt idx="56">
                  <c:v>0.3755886920082534</c:v>
                </c:pt>
                <c:pt idx="57">
                  <c:v>0.38205211961294211</c:v>
                </c:pt>
                <c:pt idx="58">
                  <c:v>0.39135975424501235</c:v>
                </c:pt>
                <c:pt idx="59">
                  <c:v>0.40076242006886376</c:v>
                </c:pt>
                <c:pt idx="60">
                  <c:v>0.40792194640410523</c:v>
                </c:pt>
                <c:pt idx="61">
                  <c:v>0.4171115738051116</c:v>
                </c:pt>
                <c:pt idx="62">
                  <c:v>0.42447007863690395</c:v>
                </c:pt>
                <c:pt idx="63">
                  <c:v>0.42898314668377036</c:v>
                </c:pt>
                <c:pt idx="64">
                  <c:v>0.43306877861567467</c:v>
                </c:pt>
                <c:pt idx="65">
                  <c:v>0.43675776460114557</c:v>
                </c:pt>
                <c:pt idx="66">
                  <c:v>0.4429130067072507</c:v>
                </c:pt>
                <c:pt idx="67">
                  <c:v>0.4464868456466155</c:v>
                </c:pt>
                <c:pt idx="68">
                  <c:v>0.45179317249728751</c:v>
                </c:pt>
                <c:pt idx="69">
                  <c:v>0.45588940753440371</c:v>
                </c:pt>
                <c:pt idx="70">
                  <c:v>0.48014639722853703</c:v>
                </c:pt>
                <c:pt idx="71">
                  <c:v>0.46545339294054849</c:v>
                </c:pt>
                <c:pt idx="72">
                  <c:v>0.46779171810871234</c:v>
                </c:pt>
                <c:pt idx="73">
                  <c:v>0.47255442603940284</c:v>
                </c:pt>
                <c:pt idx="74">
                  <c:v>0.47458219297734816</c:v>
                </c:pt>
                <c:pt idx="75">
                  <c:v>0.47763140463021231</c:v>
                </c:pt>
                <c:pt idx="76">
                  <c:v>0.47868549176367592</c:v>
                </c:pt>
                <c:pt idx="77">
                  <c:v>0.48239340997555896</c:v>
                </c:pt>
                <c:pt idx="78">
                  <c:v>0.48173841400617917</c:v>
                </c:pt>
                <c:pt idx="79">
                  <c:v>0.49880814156242181</c:v>
                </c:pt>
                <c:pt idx="80">
                  <c:v>0.5171512469498325</c:v>
                </c:pt>
                <c:pt idx="81">
                  <c:v>0.51731928961839413</c:v>
                </c:pt>
                <c:pt idx="82">
                  <c:v>0.51788655897299207</c:v>
                </c:pt>
                <c:pt idx="83">
                  <c:v>0.52110163113790686</c:v>
                </c:pt>
                <c:pt idx="84">
                  <c:v>0.52774931658570778</c:v>
                </c:pt>
                <c:pt idx="85">
                  <c:v>0.53268222176336977</c:v>
                </c:pt>
                <c:pt idx="86">
                  <c:v>0.53799823658709234</c:v>
                </c:pt>
                <c:pt idx="87">
                  <c:v>0.54464385057589682</c:v>
                </c:pt>
                <c:pt idx="88">
                  <c:v>0.55025017518409702</c:v>
                </c:pt>
                <c:pt idx="89">
                  <c:v>0.55632462150740569</c:v>
                </c:pt>
                <c:pt idx="90">
                  <c:v>0.56274738836309901</c:v>
                </c:pt>
                <c:pt idx="91">
                  <c:v>0.56815449230009063</c:v>
                </c:pt>
                <c:pt idx="92">
                  <c:v>0.57494087524983006</c:v>
                </c:pt>
                <c:pt idx="93">
                  <c:v>0.58129869283176316</c:v>
                </c:pt>
                <c:pt idx="94">
                  <c:v>0.5850024086941612</c:v>
                </c:pt>
                <c:pt idx="95">
                  <c:v>0.5883574613646082</c:v>
                </c:pt>
                <c:pt idx="96">
                  <c:v>0.59063250926567024</c:v>
                </c:pt>
                <c:pt idx="97">
                  <c:v>0.59420584953452948</c:v>
                </c:pt>
                <c:pt idx="98">
                  <c:v>0.59831224328233867</c:v>
                </c:pt>
                <c:pt idx="99">
                  <c:v>0.59872270543154305</c:v>
                </c:pt>
                <c:pt idx="100">
                  <c:v>0.60157338127166127</c:v>
                </c:pt>
                <c:pt idx="101">
                  <c:v>0.6041105638985258</c:v>
                </c:pt>
                <c:pt idx="102">
                  <c:v>0.60879415722322194</c:v>
                </c:pt>
                <c:pt idx="103">
                  <c:v>0.6115814000607841</c:v>
                </c:pt>
                <c:pt idx="104">
                  <c:v>0.61307318812972678</c:v>
                </c:pt>
                <c:pt idx="105">
                  <c:v>0.61560848059969719</c:v>
                </c:pt>
                <c:pt idx="106">
                  <c:v>0.61913766561208283</c:v>
                </c:pt>
                <c:pt idx="107">
                  <c:v>0.62116747662947835</c:v>
                </c:pt>
                <c:pt idx="108">
                  <c:v>0.62408885663602642</c:v>
                </c:pt>
                <c:pt idx="109">
                  <c:v>0.62743174164789106</c:v>
                </c:pt>
                <c:pt idx="110">
                  <c:v>0.62924854278010112</c:v>
                </c:pt>
                <c:pt idx="111">
                  <c:v>0.63016431877762569</c:v>
                </c:pt>
                <c:pt idx="112">
                  <c:v>0.63100429692813653</c:v>
                </c:pt>
                <c:pt idx="113">
                  <c:v>0.63262329962466235</c:v>
                </c:pt>
                <c:pt idx="114">
                  <c:v>0.63231528349150345</c:v>
                </c:pt>
                <c:pt idx="115">
                  <c:v>0.63103741767157717</c:v>
                </c:pt>
                <c:pt idx="116">
                  <c:v>0.63083464679469115</c:v>
                </c:pt>
                <c:pt idx="117">
                  <c:v>0.63131493236335967</c:v>
                </c:pt>
                <c:pt idx="118">
                  <c:v>0.63150378445280142</c:v>
                </c:pt>
                <c:pt idx="119">
                  <c:v>0.63299688671201093</c:v>
                </c:pt>
                <c:pt idx="120">
                  <c:v>0.63271669750506154</c:v>
                </c:pt>
                <c:pt idx="121">
                  <c:v>0.63027244167482099</c:v>
                </c:pt>
                <c:pt idx="122">
                  <c:v>0.62627937831690672</c:v>
                </c:pt>
                <c:pt idx="123">
                  <c:v>0.62539539977231273</c:v>
                </c:pt>
                <c:pt idx="124">
                  <c:v>0.62407571027468534</c:v>
                </c:pt>
                <c:pt idx="125">
                  <c:v>0.62353823732813418</c:v>
                </c:pt>
                <c:pt idx="126">
                  <c:v>0.61249990473214488</c:v>
                </c:pt>
                <c:pt idx="127">
                  <c:v>0.59109587984950351</c:v>
                </c:pt>
                <c:pt idx="128">
                  <c:v>0.59350325371335277</c:v>
                </c:pt>
                <c:pt idx="129">
                  <c:v>0.58932996734372467</c:v>
                </c:pt>
                <c:pt idx="130">
                  <c:v>0.58858014153578742</c:v>
                </c:pt>
                <c:pt idx="131">
                  <c:v>0.58898731628749745</c:v>
                </c:pt>
                <c:pt idx="132">
                  <c:v>0.58939964580417148</c:v>
                </c:pt>
                <c:pt idx="133">
                  <c:v>0.58982177267696978</c:v>
                </c:pt>
                <c:pt idx="134">
                  <c:v>0.58912359863088848</c:v>
                </c:pt>
                <c:pt idx="135">
                  <c:v>0.58888747928848495</c:v>
                </c:pt>
                <c:pt idx="136">
                  <c:v>0.589682095762043</c:v>
                </c:pt>
                <c:pt idx="137">
                  <c:v>0.59233532571458858</c:v>
                </c:pt>
                <c:pt idx="138">
                  <c:v>0.58854627229760637</c:v>
                </c:pt>
                <c:pt idx="139">
                  <c:v>0.58854015711997554</c:v>
                </c:pt>
                <c:pt idx="140">
                  <c:v>0.59086057168126749</c:v>
                </c:pt>
                <c:pt idx="141">
                  <c:v>0.59093714285714283</c:v>
                </c:pt>
                <c:pt idx="142">
                  <c:v>0.60777699644002992</c:v>
                </c:pt>
                <c:pt idx="143">
                  <c:v>0.59437316139584362</c:v>
                </c:pt>
                <c:pt idx="144">
                  <c:v>0.59365814993344135</c:v>
                </c:pt>
                <c:pt idx="145">
                  <c:v>0.61036614071588025</c:v>
                </c:pt>
                <c:pt idx="146">
                  <c:v>0.62237833666242959</c:v>
                </c:pt>
                <c:pt idx="147">
                  <c:v>0.62320201186153745</c:v>
                </c:pt>
                <c:pt idx="148">
                  <c:v>0.62207093692406068</c:v>
                </c:pt>
                <c:pt idx="149">
                  <c:v>0.61913008850887341</c:v>
                </c:pt>
                <c:pt idx="150">
                  <c:v>0.61878392887981204</c:v>
                </c:pt>
                <c:pt idx="151">
                  <c:v>0.61750108870301679</c:v>
                </c:pt>
                <c:pt idx="152">
                  <c:v>0.6181040264056078</c:v>
                </c:pt>
                <c:pt idx="153">
                  <c:v>0.61843639731662414</c:v>
                </c:pt>
                <c:pt idx="154">
                  <c:v>0.61990137779917953</c:v>
                </c:pt>
                <c:pt idx="155">
                  <c:v>0.61998325258687725</c:v>
                </c:pt>
                <c:pt idx="156">
                  <c:v>0.62094977496673098</c:v>
                </c:pt>
                <c:pt idx="157">
                  <c:v>0.620865320380523</c:v>
                </c:pt>
                <c:pt idx="158">
                  <c:v>0.62176474531330295</c:v>
                </c:pt>
                <c:pt idx="159">
                  <c:v>0.62197112506646146</c:v>
                </c:pt>
                <c:pt idx="160">
                  <c:v>0.62249862989350202</c:v>
                </c:pt>
                <c:pt idx="161">
                  <c:v>0.62847048997978594</c:v>
                </c:pt>
                <c:pt idx="162">
                  <c:v>0.64331301832777499</c:v>
                </c:pt>
                <c:pt idx="163">
                  <c:v>0.65543854453924599</c:v>
                </c:pt>
                <c:pt idx="164">
                  <c:v>0.65633075893469583</c:v>
                </c:pt>
                <c:pt idx="165">
                  <c:v>0.65689061521298397</c:v>
                </c:pt>
                <c:pt idx="166">
                  <c:v>0.65772381520494705</c:v>
                </c:pt>
                <c:pt idx="167">
                  <c:v>0.66013981355725215</c:v>
                </c:pt>
                <c:pt idx="168">
                  <c:v>0.66208441318030364</c:v>
                </c:pt>
                <c:pt idx="169">
                  <c:v>0.66320871374517776</c:v>
                </c:pt>
                <c:pt idx="170">
                  <c:v>0.6651339102987216</c:v>
                </c:pt>
                <c:pt idx="171">
                  <c:v>0.66627329877578034</c:v>
                </c:pt>
                <c:pt idx="172">
                  <c:v>0.66807651426827075</c:v>
                </c:pt>
                <c:pt idx="173">
                  <c:v>0.66594869499168885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# of cust'!$B$7:$FS$7</c:f>
              <c:numCache>
                <c:formatCode>0.00%</c:formatCode>
                <c:ptCount val="174"/>
                <c:pt idx="0">
                  <c:v>4.1881889939849287E-2</c:v>
                </c:pt>
                <c:pt idx="1">
                  <c:v>5.6570940769601188E-2</c:v>
                </c:pt>
                <c:pt idx="2">
                  <c:v>7.0243934269339101E-2</c:v>
                </c:pt>
                <c:pt idx="3">
                  <c:v>7.9410999869977891E-2</c:v>
                </c:pt>
                <c:pt idx="4">
                  <c:v>8.9806736846623533E-2</c:v>
                </c:pt>
                <c:pt idx="5">
                  <c:v>9.5592224952922022E-2</c:v>
                </c:pt>
                <c:pt idx="6">
                  <c:v>0.10415682817534028</c:v>
                </c:pt>
                <c:pt idx="7">
                  <c:v>0.11142162566489362</c:v>
                </c:pt>
                <c:pt idx="8">
                  <c:v>0.11476229670455611</c:v>
                </c:pt>
                <c:pt idx="9">
                  <c:v>0.13221060385929731</c:v>
                </c:pt>
                <c:pt idx="10">
                  <c:v>0.1416127836580042</c:v>
                </c:pt>
                <c:pt idx="11">
                  <c:v>0.14615006854780954</c:v>
                </c:pt>
                <c:pt idx="12">
                  <c:v>0.16948335962666616</c:v>
                </c:pt>
                <c:pt idx="13">
                  <c:v>0.18231411213185059</c:v>
                </c:pt>
                <c:pt idx="14">
                  <c:v>0.19395399394811833</c:v>
                </c:pt>
                <c:pt idx="15">
                  <c:v>0.19145018814012918</c:v>
                </c:pt>
                <c:pt idx="16">
                  <c:v>0.2021811827795017</c:v>
                </c:pt>
                <c:pt idx="17">
                  <c:v>0.21220871735018312</c:v>
                </c:pt>
                <c:pt idx="18">
                  <c:v>0.22459030475408739</c:v>
                </c:pt>
                <c:pt idx="19">
                  <c:v>0.24173731786022087</c:v>
                </c:pt>
                <c:pt idx="20">
                  <c:v>0.24798318486637974</c:v>
                </c:pt>
                <c:pt idx="21">
                  <c:v>0.25787900121602225</c:v>
                </c:pt>
                <c:pt idx="22">
                  <c:v>0.27048105379214299</c:v>
                </c:pt>
                <c:pt idx="23">
                  <c:v>0.28022284122562674</c:v>
                </c:pt>
                <c:pt idx="24">
                  <c:v>0.29271505087854516</c:v>
                </c:pt>
                <c:pt idx="25">
                  <c:v>0.29954420962269551</c:v>
                </c:pt>
                <c:pt idx="26">
                  <c:v>0.31062384187770231</c:v>
                </c:pt>
                <c:pt idx="27">
                  <c:v>0.31388464102262481</c:v>
                </c:pt>
                <c:pt idx="28">
                  <c:v>0.32334559957239478</c:v>
                </c:pt>
                <c:pt idx="29">
                  <c:v>0.33209844122226184</c:v>
                </c:pt>
                <c:pt idx="30">
                  <c:v>0.35048804722660587</c:v>
                </c:pt>
                <c:pt idx="31">
                  <c:v>0.36303228564524825</c:v>
                </c:pt>
                <c:pt idx="32">
                  <c:v>0.37450206870008662</c:v>
                </c:pt>
                <c:pt idx="33">
                  <c:v>0.38419594435274701</c:v>
                </c:pt>
                <c:pt idx="34">
                  <c:v>0.39798452913207011</c:v>
                </c:pt>
                <c:pt idx="35">
                  <c:v>0.40438838578339298</c:v>
                </c:pt>
                <c:pt idx="36">
                  <c:v>0.41765709438529941</c:v>
                </c:pt>
                <c:pt idx="37">
                  <c:v>0.4239824168392578</c:v>
                </c:pt>
                <c:pt idx="38">
                  <c:v>0.42833378206854111</c:v>
                </c:pt>
                <c:pt idx="39">
                  <c:v>0.43233139989638675</c:v>
                </c:pt>
                <c:pt idx="40">
                  <c:v>0.44023131102929408</c:v>
                </c:pt>
                <c:pt idx="41">
                  <c:v>0.44682779744468087</c:v>
                </c:pt>
                <c:pt idx="42">
                  <c:v>0.44888407845023703</c:v>
                </c:pt>
                <c:pt idx="43">
                  <c:v>0.45270674311442544</c:v>
                </c:pt>
                <c:pt idx="44">
                  <c:v>0.4582358193524132</c:v>
                </c:pt>
                <c:pt idx="45">
                  <c:v>0.46419512379798594</c:v>
                </c:pt>
                <c:pt idx="46">
                  <c:v>0.46764873199796403</c:v>
                </c:pt>
                <c:pt idx="47">
                  <c:v>0.47327900364422731</c:v>
                </c:pt>
                <c:pt idx="48">
                  <c:v>0.47249132480867045</c:v>
                </c:pt>
                <c:pt idx="49">
                  <c:v>0.47564982075631845</c:v>
                </c:pt>
                <c:pt idx="50">
                  <c:v>0.48379142358813976</c:v>
                </c:pt>
                <c:pt idx="51">
                  <c:v>0.48625469333521232</c:v>
                </c:pt>
                <c:pt idx="52">
                  <c:v>0.4973033809030748</c:v>
                </c:pt>
                <c:pt idx="53">
                  <c:v>0.50167442620272806</c:v>
                </c:pt>
                <c:pt idx="54">
                  <c:v>0.50901446449846888</c:v>
                </c:pt>
                <c:pt idx="55">
                  <c:v>0.51374869474416984</c:v>
                </c:pt>
                <c:pt idx="56">
                  <c:v>0.5226330983287838</c:v>
                </c:pt>
                <c:pt idx="57">
                  <c:v>0.53344365798159854</c:v>
                </c:pt>
                <c:pt idx="58">
                  <c:v>0.54297650643861206</c:v>
                </c:pt>
                <c:pt idx="59">
                  <c:v>0.54550682210256674</c:v>
                </c:pt>
                <c:pt idx="60">
                  <c:v>0.55334607675747904</c:v>
                </c:pt>
                <c:pt idx="61">
                  <c:v>0.56985783875136697</c:v>
                </c:pt>
                <c:pt idx="62">
                  <c:v>0.57431557282518053</c:v>
                </c:pt>
                <c:pt idx="63">
                  <c:v>0.57573365435850876</c:v>
                </c:pt>
                <c:pt idx="64">
                  <c:v>0.58308774724545331</c:v>
                </c:pt>
                <c:pt idx="65">
                  <c:v>0.58556006147806605</c:v>
                </c:pt>
                <c:pt idx="66">
                  <c:v>0.59350434613927971</c:v>
                </c:pt>
                <c:pt idx="67">
                  <c:v>0.60042846737220956</c:v>
                </c:pt>
                <c:pt idx="68">
                  <c:v>0.60848321767455038</c:v>
                </c:pt>
                <c:pt idx="69">
                  <c:v>0.61734254457495741</c:v>
                </c:pt>
                <c:pt idx="70">
                  <c:v>0.62260411601170762</c:v>
                </c:pt>
                <c:pt idx="71">
                  <c:v>0.6284841927675493</c:v>
                </c:pt>
                <c:pt idx="72">
                  <c:v>0.63401329360531744</c:v>
                </c:pt>
                <c:pt idx="73">
                  <c:v>0.63746292912691782</c:v>
                </c:pt>
                <c:pt idx="74">
                  <c:v>0.64254349854547455</c:v>
                </c:pt>
                <c:pt idx="75">
                  <c:v>0.64794185759137379</c:v>
                </c:pt>
                <c:pt idx="76">
                  <c:v>0.65223582244858835</c:v>
                </c:pt>
                <c:pt idx="77">
                  <c:v>0.65463215881165326</c:v>
                </c:pt>
                <c:pt idx="78">
                  <c:v>0.65874377269658202</c:v>
                </c:pt>
                <c:pt idx="79">
                  <c:v>0.66304456821973257</c:v>
                </c:pt>
                <c:pt idx="80">
                  <c:v>0.66745239922523114</c:v>
                </c:pt>
                <c:pt idx="81">
                  <c:v>0.67389380934572618</c:v>
                </c:pt>
                <c:pt idx="82">
                  <c:v>0.6815359832030119</c:v>
                </c:pt>
                <c:pt idx="83">
                  <c:v>0.68995535714285716</c:v>
                </c:pt>
                <c:pt idx="84">
                  <c:v>0.68810649529492773</c:v>
                </c:pt>
                <c:pt idx="85">
                  <c:v>0.69353447484813446</c:v>
                </c:pt>
                <c:pt idx="86">
                  <c:v>0.69676512730078255</c:v>
                </c:pt>
                <c:pt idx="87">
                  <c:v>0.70064839185979333</c:v>
                </c:pt>
                <c:pt idx="88">
                  <c:v>0.70564301816249109</c:v>
                </c:pt>
                <c:pt idx="89">
                  <c:v>0.7114857456140351</c:v>
                </c:pt>
                <c:pt idx="90">
                  <c:v>0.71820403232448959</c:v>
                </c:pt>
                <c:pt idx="91">
                  <c:v>0.72462352833804877</c:v>
                </c:pt>
                <c:pt idx="92">
                  <c:v>0.7326472520253996</c:v>
                </c:pt>
                <c:pt idx="93">
                  <c:v>0.74138842794361681</c:v>
                </c:pt>
                <c:pt idx="94">
                  <c:v>0.7467139122434665</c:v>
                </c:pt>
                <c:pt idx="95">
                  <c:v>0.75049214392475672</c:v>
                </c:pt>
                <c:pt idx="96">
                  <c:v>0.75184138233069231</c:v>
                </c:pt>
                <c:pt idx="97">
                  <c:v>0.75666249737517233</c:v>
                </c:pt>
                <c:pt idx="98">
                  <c:v>0.76017261513758116</c:v>
                </c:pt>
                <c:pt idx="99">
                  <c:v>0.76348566635057258</c:v>
                </c:pt>
                <c:pt idx="100">
                  <c:v>0.76607504423487349</c:v>
                </c:pt>
                <c:pt idx="101">
                  <c:v>0.76980644221489836</c:v>
                </c:pt>
                <c:pt idx="102">
                  <c:v>0.77332908105152853</c:v>
                </c:pt>
                <c:pt idx="103">
                  <c:v>0.77608309963944366</c:v>
                </c:pt>
                <c:pt idx="104">
                  <c:v>0.77882735860206742</c:v>
                </c:pt>
                <c:pt idx="105">
                  <c:v>0.78068676571384443</c:v>
                </c:pt>
                <c:pt idx="106">
                  <c:v>0.78651344483634844</c:v>
                </c:pt>
                <c:pt idx="107">
                  <c:v>0.79296446260410802</c:v>
                </c:pt>
                <c:pt idx="108">
                  <c:v>0.79272313133129535</c:v>
                </c:pt>
                <c:pt idx="109">
                  <c:v>0.79698554852609571</c:v>
                </c:pt>
                <c:pt idx="110">
                  <c:v>0.79865355494335077</c:v>
                </c:pt>
                <c:pt idx="111">
                  <c:v>0.8003751847500663</c:v>
                </c:pt>
                <c:pt idx="112">
                  <c:v>0.80358933126867371</c:v>
                </c:pt>
                <c:pt idx="113">
                  <c:v>0.805172758138606</c:v>
                </c:pt>
                <c:pt idx="114">
                  <c:v>0.80905249319184902</c:v>
                </c:pt>
                <c:pt idx="115">
                  <c:v>0.81297075664252294</c:v>
                </c:pt>
                <c:pt idx="116">
                  <c:v>0.81510870388606926</c:v>
                </c:pt>
                <c:pt idx="117">
                  <c:v>0.81798428881831853</c:v>
                </c:pt>
                <c:pt idx="118">
                  <c:v>0.82193282428444281</c:v>
                </c:pt>
                <c:pt idx="119">
                  <c:v>0.82459048064506291</c:v>
                </c:pt>
                <c:pt idx="120">
                  <c:v>0.82433602911837123</c:v>
                </c:pt>
                <c:pt idx="121">
                  <c:v>0.82621058871475672</c:v>
                </c:pt>
                <c:pt idx="122">
                  <c:v>0.82751410877712117</c:v>
                </c:pt>
                <c:pt idx="123">
                  <c:v>0.82901736955219674</c:v>
                </c:pt>
                <c:pt idx="124">
                  <c:v>0.83086259898351966</c:v>
                </c:pt>
                <c:pt idx="125">
                  <c:v>0.83357413443749451</c:v>
                </c:pt>
                <c:pt idx="126">
                  <c:v>0.83462903720583725</c:v>
                </c:pt>
                <c:pt idx="127">
                  <c:v>0.83714230843095827</c:v>
                </c:pt>
                <c:pt idx="128">
                  <c:v>0.83908667987536112</c:v>
                </c:pt>
                <c:pt idx="129">
                  <c:v>0.8400443520927553</c:v>
                </c:pt>
                <c:pt idx="130">
                  <c:v>0.84310590525181606</c:v>
                </c:pt>
                <c:pt idx="131">
                  <c:v>0.84387121462489778</c:v>
                </c:pt>
                <c:pt idx="132">
                  <c:v>0.84674635254931219</c:v>
                </c:pt>
                <c:pt idx="133">
                  <c:v>0.84943884592349561</c:v>
                </c:pt>
                <c:pt idx="134">
                  <c:v>0.85170618453994962</c:v>
                </c:pt>
                <c:pt idx="135">
                  <c:v>0.85419245723850534</c:v>
                </c:pt>
                <c:pt idx="136">
                  <c:v>0.85442671809256665</c:v>
                </c:pt>
                <c:pt idx="137">
                  <c:v>0.86160997790027183</c:v>
                </c:pt>
                <c:pt idx="138">
                  <c:v>0.86143629766550289</c:v>
                </c:pt>
                <c:pt idx="139">
                  <c:v>0.86231126497454968</c:v>
                </c:pt>
                <c:pt idx="140">
                  <c:v>0.86369091501363005</c:v>
                </c:pt>
                <c:pt idx="141">
                  <c:v>0.86499794829708654</c:v>
                </c:pt>
                <c:pt idx="142">
                  <c:v>0.86698173457657424</c:v>
                </c:pt>
                <c:pt idx="143">
                  <c:v>0.86814784408298695</c:v>
                </c:pt>
                <c:pt idx="144">
                  <c:v>0.86752086728675748</c:v>
                </c:pt>
                <c:pt idx="145">
                  <c:v>0.8751614105330664</c:v>
                </c:pt>
                <c:pt idx="146">
                  <c:v>0.8739065298250448</c:v>
                </c:pt>
                <c:pt idx="147">
                  <c:v>0.87464853535095344</c:v>
                </c:pt>
                <c:pt idx="148">
                  <c:v>0.87569757663787173</c:v>
                </c:pt>
                <c:pt idx="149">
                  <c:v>0.87557568379742745</c:v>
                </c:pt>
                <c:pt idx="150">
                  <c:v>0.87771498833576167</c:v>
                </c:pt>
                <c:pt idx="151">
                  <c:v>0.87835676403737684</c:v>
                </c:pt>
                <c:pt idx="152">
                  <c:v>0.87869129644502686</c:v>
                </c:pt>
                <c:pt idx="153">
                  <c:v>0.8790168048701904</c:v>
                </c:pt>
                <c:pt idx="154">
                  <c:v>0.88085549113548078</c:v>
                </c:pt>
                <c:pt idx="155">
                  <c:v>0.88171971059345067</c:v>
                </c:pt>
                <c:pt idx="156">
                  <c:v>0.88147073460814995</c:v>
                </c:pt>
                <c:pt idx="157">
                  <c:v>0.88355285772974601</c:v>
                </c:pt>
                <c:pt idx="158">
                  <c:v>0.8851489136728683</c:v>
                </c:pt>
                <c:pt idx="159">
                  <c:v>0.8865273745073593</c:v>
                </c:pt>
                <c:pt idx="160">
                  <c:v>0.88708239410557477</c:v>
                </c:pt>
                <c:pt idx="161">
                  <c:v>0.89013664140593085</c:v>
                </c:pt>
                <c:pt idx="162">
                  <c:v>0.89323081536769855</c:v>
                </c:pt>
                <c:pt idx="163">
                  <c:v>0.89451930368407462</c:v>
                </c:pt>
                <c:pt idx="164">
                  <c:v>0.89685393258426971</c:v>
                </c:pt>
                <c:pt idx="165">
                  <c:v>0.89846274274674398</c:v>
                </c:pt>
                <c:pt idx="166">
                  <c:v>0.90053231306662229</c:v>
                </c:pt>
                <c:pt idx="167">
                  <c:v>0.90177726804684688</c:v>
                </c:pt>
                <c:pt idx="168">
                  <c:v>0.90398363120093539</c:v>
                </c:pt>
                <c:pt idx="169">
                  <c:v>0.90624018773446147</c:v>
                </c:pt>
                <c:pt idx="170">
                  <c:v>0.90733901554447149</c:v>
                </c:pt>
                <c:pt idx="171">
                  <c:v>0.90831277503667152</c:v>
                </c:pt>
                <c:pt idx="172">
                  <c:v>0.90950271458548448</c:v>
                </c:pt>
                <c:pt idx="173">
                  <c:v>0.91137427021655415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# of cust'!$B$8:$FS$8</c:f>
              <c:numCache>
                <c:formatCode>0.00%</c:formatCode>
                <c:ptCount val="174"/>
                <c:pt idx="0">
                  <c:v>4.0148737551031023E-2</c:v>
                </c:pt>
                <c:pt idx="1">
                  <c:v>5.3290897517504772E-2</c:v>
                </c:pt>
                <c:pt idx="2">
                  <c:v>6.8459595959595956E-2</c:v>
                </c:pt>
                <c:pt idx="3">
                  <c:v>7.6837416481069037E-2</c:v>
                </c:pt>
                <c:pt idx="4">
                  <c:v>8.1133029843196758E-2</c:v>
                </c:pt>
                <c:pt idx="5">
                  <c:v>8.3343824751353393E-2</c:v>
                </c:pt>
                <c:pt idx="6">
                  <c:v>8.7208867854029148E-2</c:v>
                </c:pt>
                <c:pt idx="7">
                  <c:v>9.186631320764066E-2</c:v>
                </c:pt>
                <c:pt idx="8">
                  <c:v>9.4344307065892044E-2</c:v>
                </c:pt>
                <c:pt idx="9">
                  <c:v>0.10418320762207225</c:v>
                </c:pt>
                <c:pt idx="10">
                  <c:v>0.10740166924883802</c:v>
                </c:pt>
                <c:pt idx="11">
                  <c:v>0.11757848927572272</c:v>
                </c:pt>
                <c:pt idx="12">
                  <c:v>0.13311435523114354</c:v>
                </c:pt>
                <c:pt idx="13">
                  <c:v>0.13775051124744375</c:v>
                </c:pt>
                <c:pt idx="14">
                  <c:v>0.14350890683070613</c:v>
                </c:pt>
                <c:pt idx="15">
                  <c:v>0.14422382671480144</c:v>
                </c:pt>
                <c:pt idx="16">
                  <c:v>0.14904550242799516</c:v>
                </c:pt>
                <c:pt idx="17">
                  <c:v>0.15825546770715679</c:v>
                </c:pt>
                <c:pt idx="18">
                  <c:v>0.16445141988327039</c:v>
                </c:pt>
                <c:pt idx="19">
                  <c:v>0.16995537671851221</c:v>
                </c:pt>
                <c:pt idx="20">
                  <c:v>0.17772980751933801</c:v>
                </c:pt>
                <c:pt idx="21">
                  <c:v>0.18880392712168412</c:v>
                </c:pt>
                <c:pt idx="22">
                  <c:v>0.19471492345028013</c:v>
                </c:pt>
                <c:pt idx="23">
                  <c:v>0.20704630724160972</c:v>
                </c:pt>
                <c:pt idx="24">
                  <c:v>0.22017223315360437</c:v>
                </c:pt>
                <c:pt idx="25">
                  <c:v>0.22565359927270723</c:v>
                </c:pt>
                <c:pt idx="26">
                  <c:v>0.23542027927352377</c:v>
                </c:pt>
                <c:pt idx="27">
                  <c:v>0.23574586921107749</c:v>
                </c:pt>
                <c:pt idx="28">
                  <c:v>0.23990976544451389</c:v>
                </c:pt>
                <c:pt idx="29">
                  <c:v>0.25338111484745096</c:v>
                </c:pt>
                <c:pt idx="30">
                  <c:v>0.25926022605654025</c:v>
                </c:pt>
                <c:pt idx="31">
                  <c:v>0.26978514426028238</c:v>
                </c:pt>
                <c:pt idx="32">
                  <c:v>0.28402721655934721</c:v>
                </c:pt>
                <c:pt idx="33">
                  <c:v>0.30133388803661043</c:v>
                </c:pt>
                <c:pt idx="34">
                  <c:v>0.30974509484211099</c:v>
                </c:pt>
                <c:pt idx="35">
                  <c:v>0.31693363844393591</c:v>
                </c:pt>
                <c:pt idx="36">
                  <c:v>0.32479582342603119</c:v>
                </c:pt>
                <c:pt idx="37">
                  <c:v>0.31617799650173428</c:v>
                </c:pt>
                <c:pt idx="38">
                  <c:v>0.33991277823993549</c:v>
                </c:pt>
                <c:pt idx="39">
                  <c:v>0.33980925468032497</c:v>
                </c:pt>
                <c:pt idx="40">
                  <c:v>0.34402109426499672</c:v>
                </c:pt>
                <c:pt idx="41">
                  <c:v>0.35154657792224542</c:v>
                </c:pt>
                <c:pt idx="42">
                  <c:v>0.35681236731805566</c:v>
                </c:pt>
                <c:pt idx="43">
                  <c:v>0.36798105387803431</c:v>
                </c:pt>
                <c:pt idx="44">
                  <c:v>0.37030304604118519</c:v>
                </c:pt>
                <c:pt idx="45">
                  <c:v>0.37493775063559875</c:v>
                </c:pt>
                <c:pt idx="46">
                  <c:v>0.37837179070523236</c:v>
                </c:pt>
                <c:pt idx="47">
                  <c:v>0.37907002069040618</c:v>
                </c:pt>
                <c:pt idx="48">
                  <c:v>0.38519649186350347</c:v>
                </c:pt>
                <c:pt idx="49">
                  <c:v>0.38656307640713206</c:v>
                </c:pt>
                <c:pt idx="50">
                  <c:v>0.39595395723282045</c:v>
                </c:pt>
                <c:pt idx="51">
                  <c:v>0.40108828730784929</c:v>
                </c:pt>
                <c:pt idx="52">
                  <c:v>0.40948933865169646</c:v>
                </c:pt>
                <c:pt idx="53">
                  <c:v>0.4155357630188305</c:v>
                </c:pt>
                <c:pt idx="54">
                  <c:v>0.41910694062449444</c:v>
                </c:pt>
                <c:pt idx="55">
                  <c:v>0.42972021317091741</c:v>
                </c:pt>
                <c:pt idx="56">
                  <c:v>0.40414454246813081</c:v>
                </c:pt>
                <c:pt idx="57">
                  <c:v>0.4551531205902013</c:v>
                </c:pt>
                <c:pt idx="58">
                  <c:v>0.46571850261639608</c:v>
                </c:pt>
                <c:pt idx="59">
                  <c:v>0.46476949345475244</c:v>
                </c:pt>
                <c:pt idx="60">
                  <c:v>0.4751137002401758</c:v>
                </c:pt>
                <c:pt idx="61">
                  <c:v>0.48454302886559036</c:v>
                </c:pt>
                <c:pt idx="62">
                  <c:v>0.48742053459659801</c:v>
                </c:pt>
                <c:pt idx="63">
                  <c:v>0.49071511112305499</c:v>
                </c:pt>
                <c:pt idx="64">
                  <c:v>0.49460343817151786</c:v>
                </c:pt>
                <c:pt idx="65">
                  <c:v>0.49676289130931528</c:v>
                </c:pt>
                <c:pt idx="66">
                  <c:v>0.51893881695861899</c:v>
                </c:pt>
                <c:pt idx="67">
                  <c:v>0.52501584767450049</c:v>
                </c:pt>
                <c:pt idx="68">
                  <c:v>0.52753073684797458</c:v>
                </c:pt>
                <c:pt idx="69">
                  <c:v>0.53561404839566107</c:v>
                </c:pt>
                <c:pt idx="70">
                  <c:v>0.54119608883498826</c:v>
                </c:pt>
                <c:pt idx="71">
                  <c:v>0.54989486484432393</c:v>
                </c:pt>
                <c:pt idx="72">
                  <c:v>0.55507875605815837</c:v>
                </c:pt>
                <c:pt idx="73">
                  <c:v>0.55982004422641896</c:v>
                </c:pt>
                <c:pt idx="74">
                  <c:v>0.56192678031554077</c:v>
                </c:pt>
                <c:pt idx="75">
                  <c:v>0.56439978740097696</c:v>
                </c:pt>
                <c:pt idx="76">
                  <c:v>0.56906744484415483</c:v>
                </c:pt>
                <c:pt idx="77">
                  <c:v>0.57351979475828763</c:v>
                </c:pt>
                <c:pt idx="78">
                  <c:v>0.57753419147224461</c:v>
                </c:pt>
                <c:pt idx="79">
                  <c:v>0.58389210990673057</c:v>
                </c:pt>
                <c:pt idx="80">
                  <c:v>0.58951623089554128</c:v>
                </c:pt>
                <c:pt idx="81">
                  <c:v>0.59122012578616356</c:v>
                </c:pt>
                <c:pt idx="82">
                  <c:v>0.60403017669247572</c:v>
                </c:pt>
                <c:pt idx="83">
                  <c:v>0.61312006280359155</c:v>
                </c:pt>
                <c:pt idx="84">
                  <c:v>0.6011716760061131</c:v>
                </c:pt>
                <c:pt idx="85">
                  <c:v>0.60500850836867903</c:v>
                </c:pt>
                <c:pt idx="86">
                  <c:v>0.60718376906040783</c:v>
                </c:pt>
                <c:pt idx="87">
                  <c:v>0.60874656348640666</c:v>
                </c:pt>
                <c:pt idx="88">
                  <c:v>0.61171063656907798</c:v>
                </c:pt>
                <c:pt idx="89">
                  <c:v>0.61385510043424163</c:v>
                </c:pt>
                <c:pt idx="90">
                  <c:v>0.61866714165754855</c:v>
                </c:pt>
                <c:pt idx="91">
                  <c:v>0.62253606990449095</c:v>
                </c:pt>
                <c:pt idx="92">
                  <c:v>0.62824002238445298</c:v>
                </c:pt>
                <c:pt idx="93">
                  <c:v>0.63167934077672372</c:v>
                </c:pt>
                <c:pt idx="94">
                  <c:v>0.63716769176028054</c:v>
                </c:pt>
                <c:pt idx="95">
                  <c:v>0.64089185268141213</c:v>
                </c:pt>
                <c:pt idx="96">
                  <c:v>0.64371841984382172</c:v>
                </c:pt>
                <c:pt idx="97">
                  <c:v>0.64730575484658825</c:v>
                </c:pt>
                <c:pt idx="98">
                  <c:v>0.64946978408074618</c:v>
                </c:pt>
                <c:pt idx="99">
                  <c:v>0.65214946582834943</c:v>
                </c:pt>
                <c:pt idx="100">
                  <c:v>0.65267243800914221</c:v>
                </c:pt>
                <c:pt idx="101">
                  <c:v>0.65533076510957466</c:v>
                </c:pt>
                <c:pt idx="102">
                  <c:v>0.65878361140874531</c:v>
                </c:pt>
                <c:pt idx="103">
                  <c:v>0.66157047946850234</c:v>
                </c:pt>
                <c:pt idx="104">
                  <c:v>0.66303543638543772</c:v>
                </c:pt>
                <c:pt idx="105">
                  <c:v>0.6689534570890503</c:v>
                </c:pt>
                <c:pt idx="106">
                  <c:v>0.6706104434754866</c:v>
                </c:pt>
                <c:pt idx="107">
                  <c:v>0.67981947456003222</c:v>
                </c:pt>
                <c:pt idx="108">
                  <c:v>0.67959942607829926</c:v>
                </c:pt>
                <c:pt idx="109">
                  <c:v>0.68849967804249834</c:v>
                </c:pt>
                <c:pt idx="110">
                  <c:v>0.69150309917355368</c:v>
                </c:pt>
                <c:pt idx="111">
                  <c:v>0.69414532871972323</c:v>
                </c:pt>
                <c:pt idx="112">
                  <c:v>0.69894391949214518</c:v>
                </c:pt>
                <c:pt idx="113">
                  <c:v>0.701927766511795</c:v>
                </c:pt>
                <c:pt idx="114">
                  <c:v>0.70343116990491938</c:v>
                </c:pt>
                <c:pt idx="115">
                  <c:v>0.71049105992683048</c:v>
                </c:pt>
                <c:pt idx="116">
                  <c:v>0.71539259016751244</c:v>
                </c:pt>
                <c:pt idx="117">
                  <c:v>0.71983549158005888</c:v>
                </c:pt>
                <c:pt idx="118">
                  <c:v>0.71994528331667285</c:v>
                </c:pt>
                <c:pt idx="119">
                  <c:v>0.72260397830018086</c:v>
                </c:pt>
                <c:pt idx="120">
                  <c:v>0.72189596064987327</c:v>
                </c:pt>
                <c:pt idx="121">
                  <c:v>0.72492690646710123</c:v>
                </c:pt>
                <c:pt idx="122">
                  <c:v>0.72758938633336745</c:v>
                </c:pt>
                <c:pt idx="123">
                  <c:v>0.72823313259160971</c:v>
                </c:pt>
                <c:pt idx="124">
                  <c:v>0.73228689217217624</c:v>
                </c:pt>
                <c:pt idx="125">
                  <c:v>0.73779084633086167</c:v>
                </c:pt>
                <c:pt idx="126">
                  <c:v>0.73947060915510843</c:v>
                </c:pt>
                <c:pt idx="127">
                  <c:v>0.74064755514892755</c:v>
                </c:pt>
                <c:pt idx="128">
                  <c:v>0.74316062968057461</c:v>
                </c:pt>
                <c:pt idx="129">
                  <c:v>0.74418249401700698</c:v>
                </c:pt>
                <c:pt idx="130">
                  <c:v>0.74809820633507185</c:v>
                </c:pt>
                <c:pt idx="131">
                  <c:v>0.7500764915859256</c:v>
                </c:pt>
                <c:pt idx="132">
                  <c:v>0.75257202965851655</c:v>
                </c:pt>
                <c:pt idx="133">
                  <c:v>0.75890598117599428</c:v>
                </c:pt>
                <c:pt idx="134">
                  <c:v>0.7621800585763403</c:v>
                </c:pt>
                <c:pt idx="135">
                  <c:v>0.76490404246631283</c:v>
                </c:pt>
                <c:pt idx="136">
                  <c:v>0.76355394378966457</c:v>
                </c:pt>
                <c:pt idx="137">
                  <c:v>0.77501617156789571</c:v>
                </c:pt>
                <c:pt idx="138">
                  <c:v>0.77536542879503167</c:v>
                </c:pt>
                <c:pt idx="139">
                  <c:v>0.77725750824459383</c:v>
                </c:pt>
                <c:pt idx="140">
                  <c:v>0.77853990669524653</c:v>
                </c:pt>
                <c:pt idx="141">
                  <c:v>0.78042869044914032</c:v>
                </c:pt>
                <c:pt idx="142">
                  <c:v>0.7831246378272152</c:v>
                </c:pt>
                <c:pt idx="143">
                  <c:v>0.78459937565036419</c:v>
                </c:pt>
                <c:pt idx="144">
                  <c:v>0.78702226069081171</c:v>
                </c:pt>
                <c:pt idx="145">
                  <c:v>0.79105765326837185</c:v>
                </c:pt>
                <c:pt idx="146">
                  <c:v>0.79342081043414237</c:v>
                </c:pt>
                <c:pt idx="147">
                  <c:v>0.79281879874404948</c:v>
                </c:pt>
                <c:pt idx="148">
                  <c:v>0.7945917312009686</c:v>
                </c:pt>
                <c:pt idx="149">
                  <c:v>0.79433681073025331</c:v>
                </c:pt>
                <c:pt idx="150">
                  <c:v>0.79872411472999572</c:v>
                </c:pt>
                <c:pt idx="151">
                  <c:v>0.79883008636272346</c:v>
                </c:pt>
                <c:pt idx="152">
                  <c:v>0.79995480339476721</c:v>
                </c:pt>
                <c:pt idx="153">
                  <c:v>0.79985316827422093</c:v>
                </c:pt>
                <c:pt idx="154">
                  <c:v>0.80333041191936894</c:v>
                </c:pt>
                <c:pt idx="155">
                  <c:v>0.80638244826726502</c:v>
                </c:pt>
                <c:pt idx="156">
                  <c:v>0.80479503857207679</c:v>
                </c:pt>
                <c:pt idx="157">
                  <c:v>0.80796059704477841</c:v>
                </c:pt>
                <c:pt idx="158">
                  <c:v>0.81031889290012038</c:v>
                </c:pt>
                <c:pt idx="159">
                  <c:v>0.81142081584437131</c:v>
                </c:pt>
                <c:pt idx="160">
                  <c:v>0.81292106586224233</c:v>
                </c:pt>
                <c:pt idx="161">
                  <c:v>0.81598876573549328</c:v>
                </c:pt>
                <c:pt idx="162">
                  <c:v>0.81831718150615784</c:v>
                </c:pt>
                <c:pt idx="163">
                  <c:v>0.82324091189155879</c:v>
                </c:pt>
                <c:pt idx="164">
                  <c:v>0.82678995376733722</c:v>
                </c:pt>
                <c:pt idx="165">
                  <c:v>0.8287674663194271</c:v>
                </c:pt>
                <c:pt idx="166">
                  <c:v>0.83233158026546461</c:v>
                </c:pt>
                <c:pt idx="167">
                  <c:v>0.83523568221157463</c:v>
                </c:pt>
                <c:pt idx="168">
                  <c:v>0.83515952713868058</c:v>
                </c:pt>
                <c:pt idx="169">
                  <c:v>0.84423853529222304</c:v>
                </c:pt>
                <c:pt idx="170">
                  <c:v>0.84463489199619102</c:v>
                </c:pt>
                <c:pt idx="171">
                  <c:v>0.84640193509373107</c:v>
                </c:pt>
                <c:pt idx="172">
                  <c:v>0.85085519386066111</c:v>
                </c:pt>
                <c:pt idx="173">
                  <c:v>0.85234308149192128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# of cust'!$B$9:$FS$9</c:f>
              <c:numCache>
                <c:formatCode>0.00%</c:formatCode>
                <c:ptCount val="174"/>
                <c:pt idx="0">
                  <c:v>3.9026629935720848E-2</c:v>
                </c:pt>
                <c:pt idx="1">
                  <c:v>5.7511242270938727E-2</c:v>
                </c:pt>
                <c:pt idx="2">
                  <c:v>6.6248502360983855E-2</c:v>
                </c:pt>
                <c:pt idx="3">
                  <c:v>7.5563198624247638E-2</c:v>
                </c:pt>
                <c:pt idx="4">
                  <c:v>7.9954800712231197E-2</c:v>
                </c:pt>
                <c:pt idx="5">
                  <c:v>7.8464050064621454E-2</c:v>
                </c:pt>
                <c:pt idx="6">
                  <c:v>8.5268160217243719E-2</c:v>
                </c:pt>
                <c:pt idx="7">
                  <c:v>8.7731412975568052E-2</c:v>
                </c:pt>
                <c:pt idx="8">
                  <c:v>9.2286998458055838E-2</c:v>
                </c:pt>
                <c:pt idx="9">
                  <c:v>9.5589430233691944E-2</c:v>
                </c:pt>
                <c:pt idx="10">
                  <c:v>9.8333441833213978E-2</c:v>
                </c:pt>
                <c:pt idx="11">
                  <c:v>0.10129937293942724</c:v>
                </c:pt>
                <c:pt idx="12">
                  <c:v>0.10711202603094495</c:v>
                </c:pt>
                <c:pt idx="13">
                  <c:v>0.11075026511134677</c:v>
                </c:pt>
                <c:pt idx="14">
                  <c:v>0.11185704413071379</c:v>
                </c:pt>
                <c:pt idx="15">
                  <c:v>0.10940272028385571</c:v>
                </c:pt>
                <c:pt idx="16">
                  <c:v>0.11008904019903103</c:v>
                </c:pt>
                <c:pt idx="17">
                  <c:v>0.11257646517134776</c:v>
                </c:pt>
                <c:pt idx="18">
                  <c:v>0.11760076083035451</c:v>
                </c:pt>
                <c:pt idx="19">
                  <c:v>0.12393431746558302</c:v>
                </c:pt>
                <c:pt idx="20">
                  <c:v>0.13175393457413037</c:v>
                </c:pt>
                <c:pt idx="21">
                  <c:v>0.13595166163141995</c:v>
                </c:pt>
                <c:pt idx="22">
                  <c:v>0.14320088226447883</c:v>
                </c:pt>
                <c:pt idx="23">
                  <c:v>0.15120240812411101</c:v>
                </c:pt>
                <c:pt idx="24">
                  <c:v>0.15912864448429301</c:v>
                </c:pt>
                <c:pt idx="25">
                  <c:v>0.16964404303360339</c:v>
                </c:pt>
                <c:pt idx="26">
                  <c:v>0.17509895885307522</c:v>
                </c:pt>
                <c:pt idx="27">
                  <c:v>0.17985062240663902</c:v>
                </c:pt>
                <c:pt idx="28">
                  <c:v>0.18540962201613714</c:v>
                </c:pt>
                <c:pt idx="29">
                  <c:v>0.19887043189368772</c:v>
                </c:pt>
                <c:pt idx="30">
                  <c:v>0.20399438915236123</c:v>
                </c:pt>
                <c:pt idx="31">
                  <c:v>0.20768687106653652</c:v>
                </c:pt>
                <c:pt idx="32">
                  <c:v>0.21073978480206482</c:v>
                </c:pt>
                <c:pt idx="33">
                  <c:v>0.21879524563116604</c:v>
                </c:pt>
                <c:pt idx="34">
                  <c:v>0.22535777725642658</c:v>
                </c:pt>
                <c:pt idx="35">
                  <c:v>0.22852072590906047</c:v>
                </c:pt>
                <c:pt idx="36">
                  <c:v>0.23519099153770945</c:v>
                </c:pt>
                <c:pt idx="37">
                  <c:v>0.26042856183247126</c:v>
                </c:pt>
                <c:pt idx="38">
                  <c:v>0.26335162628831482</c:v>
                </c:pt>
                <c:pt idx="39">
                  <c:v>0.26988541178047309</c:v>
                </c:pt>
                <c:pt idx="40">
                  <c:v>0.2752272197622932</c:v>
                </c:pt>
                <c:pt idx="41">
                  <c:v>0.28167663878880039</c:v>
                </c:pt>
                <c:pt idx="42">
                  <c:v>0.28959321022444717</c:v>
                </c:pt>
                <c:pt idx="43">
                  <c:v>0.29832542194092826</c:v>
                </c:pt>
                <c:pt idx="44">
                  <c:v>0.30234083010950102</c:v>
                </c:pt>
                <c:pt idx="45">
                  <c:v>0.30661468314280049</c:v>
                </c:pt>
                <c:pt idx="46">
                  <c:v>0.31201556672612291</c:v>
                </c:pt>
                <c:pt idx="47">
                  <c:v>0.31385669985310921</c:v>
                </c:pt>
                <c:pt idx="48">
                  <c:v>0.31272594607144044</c:v>
                </c:pt>
                <c:pt idx="49">
                  <c:v>0.30992704103529101</c:v>
                </c:pt>
                <c:pt idx="50">
                  <c:v>0.31105448843590749</c:v>
                </c:pt>
                <c:pt idx="51">
                  <c:v>0.31626703354297692</c:v>
                </c:pt>
                <c:pt idx="52">
                  <c:v>0.32257959396487113</c:v>
                </c:pt>
                <c:pt idx="53">
                  <c:v>0.32773244751185215</c:v>
                </c:pt>
                <c:pt idx="54">
                  <c:v>0.33324637208543945</c:v>
                </c:pt>
                <c:pt idx="55">
                  <c:v>0.33942008303061755</c:v>
                </c:pt>
                <c:pt idx="56">
                  <c:v>0.34440677966101696</c:v>
                </c:pt>
                <c:pt idx="57">
                  <c:v>0.3575753977677511</c:v>
                </c:pt>
                <c:pt idx="58">
                  <c:v>0.3634013805257747</c:v>
                </c:pt>
                <c:pt idx="59">
                  <c:v>0.36286956775530455</c:v>
                </c:pt>
                <c:pt idx="60">
                  <c:v>0.37050030956101299</c:v>
                </c:pt>
                <c:pt idx="61">
                  <c:v>0.38079352896026453</c:v>
                </c:pt>
                <c:pt idx="62">
                  <c:v>0.38487932197425145</c:v>
                </c:pt>
                <c:pt idx="63">
                  <c:v>0.39543187653082301</c:v>
                </c:pt>
                <c:pt idx="64">
                  <c:v>0.40107608632083747</c:v>
                </c:pt>
                <c:pt idx="65">
                  <c:v>0.40781721511711455</c:v>
                </c:pt>
                <c:pt idx="66">
                  <c:v>0.41695781098617185</c:v>
                </c:pt>
                <c:pt idx="67">
                  <c:v>0.42890504130542662</c:v>
                </c:pt>
                <c:pt idx="68">
                  <c:v>0.4371532316630356</c:v>
                </c:pt>
                <c:pt idx="69">
                  <c:v>0.43757755515874219</c:v>
                </c:pt>
                <c:pt idx="70">
                  <c:v>0.44718830091964418</c:v>
                </c:pt>
                <c:pt idx="71">
                  <c:v>0.45507220270797683</c:v>
                </c:pt>
                <c:pt idx="72">
                  <c:v>0.4624236658790315</c:v>
                </c:pt>
                <c:pt idx="73">
                  <c:v>0.47404346495255584</c:v>
                </c:pt>
                <c:pt idx="74">
                  <c:v>0.48241022519780891</c:v>
                </c:pt>
                <c:pt idx="75">
                  <c:v>0.48742128609982316</c:v>
                </c:pt>
                <c:pt idx="76">
                  <c:v>0.49414309998454642</c:v>
                </c:pt>
                <c:pt idx="77">
                  <c:v>0.50360305343511447</c:v>
                </c:pt>
                <c:pt idx="78">
                  <c:v>0.50680008674370336</c:v>
                </c:pt>
                <c:pt idx="79">
                  <c:v>0.51859069537243252</c:v>
                </c:pt>
                <c:pt idx="80">
                  <c:v>0.53178834478720449</c:v>
                </c:pt>
                <c:pt idx="81">
                  <c:v>0.55090248221442106</c:v>
                </c:pt>
                <c:pt idx="82">
                  <c:v>0.57310466520137449</c:v>
                </c:pt>
                <c:pt idx="83">
                  <c:v>0.58439190233348792</c:v>
                </c:pt>
                <c:pt idx="84">
                  <c:v>0.59287642331916479</c:v>
                </c:pt>
                <c:pt idx="85">
                  <c:v>0.6006123016977456</c:v>
                </c:pt>
                <c:pt idx="86">
                  <c:v>0.60512899737370618</c:v>
                </c:pt>
                <c:pt idx="87">
                  <c:v>0.61179284848861415</c:v>
                </c:pt>
                <c:pt idx="88">
                  <c:v>0.61631982135657348</c:v>
                </c:pt>
                <c:pt idx="89">
                  <c:v>0.62218719090009889</c:v>
                </c:pt>
                <c:pt idx="90">
                  <c:v>0.62261576156064879</c:v>
                </c:pt>
                <c:pt idx="91">
                  <c:v>0.62855816831683164</c:v>
                </c:pt>
                <c:pt idx="92">
                  <c:v>0.63423172242874848</c:v>
                </c:pt>
                <c:pt idx="93">
                  <c:v>0.63835343862703642</c:v>
                </c:pt>
                <c:pt idx="94">
                  <c:v>0.64598257202220366</c:v>
                </c:pt>
                <c:pt idx="95">
                  <c:v>0.64957741246401035</c:v>
                </c:pt>
                <c:pt idx="96">
                  <c:v>0.65235971757710887</c:v>
                </c:pt>
                <c:pt idx="97">
                  <c:v>0.65433815350389324</c:v>
                </c:pt>
                <c:pt idx="98">
                  <c:v>0.65635143908244964</c:v>
                </c:pt>
                <c:pt idx="99">
                  <c:v>0.65889113216337936</c:v>
                </c:pt>
                <c:pt idx="100">
                  <c:v>0.66222910216718267</c:v>
                </c:pt>
                <c:pt idx="101">
                  <c:v>0.66521752631742381</c:v>
                </c:pt>
                <c:pt idx="102">
                  <c:v>0.66909045710201676</c:v>
                </c:pt>
                <c:pt idx="103">
                  <c:v>0.67457753479125249</c:v>
                </c:pt>
                <c:pt idx="104">
                  <c:v>0.67814664140865188</c:v>
                </c:pt>
                <c:pt idx="105">
                  <c:v>0.6822557605117695</c:v>
                </c:pt>
                <c:pt idx="106">
                  <c:v>0.68438083385189796</c:v>
                </c:pt>
                <c:pt idx="107">
                  <c:v>0.68768246474936334</c:v>
                </c:pt>
                <c:pt idx="108">
                  <c:v>0.68987006512323557</c:v>
                </c:pt>
                <c:pt idx="109">
                  <c:v>0.69224548197455593</c:v>
                </c:pt>
                <c:pt idx="110">
                  <c:v>0.6918828348020355</c:v>
                </c:pt>
                <c:pt idx="111">
                  <c:v>0.69364465749188187</c:v>
                </c:pt>
                <c:pt idx="112">
                  <c:v>0.69559453710269137</c:v>
                </c:pt>
                <c:pt idx="113">
                  <c:v>0.69701823558403153</c:v>
                </c:pt>
                <c:pt idx="114">
                  <c:v>0.69711107678047268</c:v>
                </c:pt>
                <c:pt idx="115">
                  <c:v>0.69913166646138691</c:v>
                </c:pt>
                <c:pt idx="116">
                  <c:v>0.69861282367447597</c:v>
                </c:pt>
                <c:pt idx="117">
                  <c:v>0.70256806930693072</c:v>
                </c:pt>
                <c:pt idx="118">
                  <c:v>0.70884118047392197</c:v>
                </c:pt>
                <c:pt idx="119">
                  <c:v>0.71194964672487737</c:v>
                </c:pt>
                <c:pt idx="120">
                  <c:v>0.71224603567889</c:v>
                </c:pt>
                <c:pt idx="121">
                  <c:v>0.71749350488679942</c:v>
                </c:pt>
                <c:pt idx="122">
                  <c:v>0.72204738985560901</c:v>
                </c:pt>
                <c:pt idx="123">
                  <c:v>0.72570340336650696</c:v>
                </c:pt>
                <c:pt idx="124">
                  <c:v>0.75703790591431042</c:v>
                </c:pt>
                <c:pt idx="125">
                  <c:v>0.91555391840869327</c:v>
                </c:pt>
                <c:pt idx="126">
                  <c:v>0.94726478370561806</c:v>
                </c:pt>
                <c:pt idx="127">
                  <c:v>0.94819288188590167</c:v>
                </c:pt>
                <c:pt idx="128">
                  <c:v>0.94949093466230472</c:v>
                </c:pt>
                <c:pt idx="129">
                  <c:v>0.95064265775023771</c:v>
                </c:pt>
                <c:pt idx="130">
                  <c:v>0.95196519927702727</c:v>
                </c:pt>
                <c:pt idx="131">
                  <c:v>0.95258620689655171</c:v>
                </c:pt>
                <c:pt idx="132">
                  <c:v>0.95344252350621772</c:v>
                </c:pt>
                <c:pt idx="133">
                  <c:v>0.95425814528687902</c:v>
                </c:pt>
                <c:pt idx="134">
                  <c:v>0.95457886676875958</c:v>
                </c:pt>
                <c:pt idx="135">
                  <c:v>0.95532760765985858</c:v>
                </c:pt>
                <c:pt idx="136">
                  <c:v>0.95534063002152625</c:v>
                </c:pt>
                <c:pt idx="137">
                  <c:v>0.9561027511779906</c:v>
                </c:pt>
                <c:pt idx="138">
                  <c:v>0.95612211071934428</c:v>
                </c:pt>
                <c:pt idx="139">
                  <c:v>0.95622369212266989</c:v>
                </c:pt>
                <c:pt idx="140">
                  <c:v>0.9567229668810483</c:v>
                </c:pt>
                <c:pt idx="141">
                  <c:v>0.95667837789555177</c:v>
                </c:pt>
                <c:pt idx="142">
                  <c:v>0.95774182898646421</c:v>
                </c:pt>
                <c:pt idx="143">
                  <c:v>0.95725249881009045</c:v>
                </c:pt>
                <c:pt idx="144">
                  <c:v>0.95770833333333338</c:v>
                </c:pt>
                <c:pt idx="145">
                  <c:v>0.95759433400785621</c:v>
                </c:pt>
                <c:pt idx="146">
                  <c:v>0.95782235980473862</c:v>
                </c:pt>
                <c:pt idx="147">
                  <c:v>0.9587441541806917</c:v>
                </c:pt>
                <c:pt idx="148">
                  <c:v>0.95872694221771915</c:v>
                </c:pt>
                <c:pt idx="149">
                  <c:v>0.95951309086601111</c:v>
                </c:pt>
                <c:pt idx="150">
                  <c:v>0.95997990127981558</c:v>
                </c:pt>
                <c:pt idx="151">
                  <c:v>0.96031394765571976</c:v>
                </c:pt>
                <c:pt idx="152">
                  <c:v>0.96054641598119861</c:v>
                </c:pt>
                <c:pt idx="153">
                  <c:v>0.95967457706766912</c:v>
                </c:pt>
                <c:pt idx="154">
                  <c:v>0.95978928884986836</c:v>
                </c:pt>
                <c:pt idx="155">
                  <c:v>0.95955226933980187</c:v>
                </c:pt>
                <c:pt idx="156">
                  <c:v>0.95868324798829552</c:v>
                </c:pt>
                <c:pt idx="157">
                  <c:v>0.95875269067426838</c:v>
                </c:pt>
                <c:pt idx="158">
                  <c:v>0.95855147080091396</c:v>
                </c:pt>
                <c:pt idx="159">
                  <c:v>0.95737327188940091</c:v>
                </c:pt>
                <c:pt idx="160">
                  <c:v>0.95734203670302609</c:v>
                </c:pt>
                <c:pt idx="161">
                  <c:v>0.95707308713906258</c:v>
                </c:pt>
                <c:pt idx="162">
                  <c:v>0.95525866969869244</c:v>
                </c:pt>
                <c:pt idx="163">
                  <c:v>0.95585945241937764</c:v>
                </c:pt>
                <c:pt idx="164">
                  <c:v>0.95644201201794232</c:v>
                </c:pt>
                <c:pt idx="165">
                  <c:v>0.95509547852085863</c:v>
                </c:pt>
                <c:pt idx="166">
                  <c:v>0.95554494650228872</c:v>
                </c:pt>
                <c:pt idx="167">
                  <c:v>0.9559408436502157</c:v>
                </c:pt>
                <c:pt idx="168">
                  <c:v>0.95539971949509117</c:v>
                </c:pt>
                <c:pt idx="169">
                  <c:v>0.95596166205605393</c:v>
                </c:pt>
                <c:pt idx="170">
                  <c:v>0.95663640654062909</c:v>
                </c:pt>
                <c:pt idx="171">
                  <c:v>0.95548697417076767</c:v>
                </c:pt>
                <c:pt idx="172">
                  <c:v>0.95616461087449522</c:v>
                </c:pt>
                <c:pt idx="173">
                  <c:v>0.95695346022664762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# of cust'!$B$12:$FS$12</c:f>
              <c:numCache>
                <c:formatCode>0.00%</c:formatCode>
                <c:ptCount val="174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  <c:pt idx="168">
                  <c:v>0.73155905068295801</c:v>
                </c:pt>
                <c:pt idx="169">
                  <c:v>0.73943204269110918</c:v>
                </c:pt>
                <c:pt idx="170">
                  <c:v>0.74183402017385613</c:v>
                </c:pt>
                <c:pt idx="171">
                  <c:v>0.74188569915687463</c:v>
                </c:pt>
                <c:pt idx="172">
                  <c:v>0.74378859486514537</c:v>
                </c:pt>
                <c:pt idx="173">
                  <c:v>0.7443153524304793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# of cust'!$A$10</c:f>
              <c:strCache>
                <c:ptCount val="1"/>
                <c:pt idx="0">
                  <c:v>Sharyland Utilities LP</c:v>
                </c:pt>
              </c:strCache>
            </c:strRef>
          </c:tx>
          <c:cat>
            <c:numRef>
              <c:f>'non-res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# of cust'!$B$10:$FS$10</c:f>
              <c:numCache>
                <c:formatCode>0.00%</c:formatCode>
                <c:ptCount val="174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'non-res # of cust'!$B$4:$FS$4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# of cust'!$B$11:$FS$11</c:f>
              <c:numCache>
                <c:formatCode>0.00%</c:formatCode>
                <c:ptCount val="174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623368"/>
        <c:axId val="372621800"/>
      </c:lineChart>
      <c:dateAx>
        <c:axId val="372623368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21800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726218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23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4542314335060449E-2"/>
          <c:y val="0.88548229017385049"/>
          <c:w val="0.9399613733942046"/>
          <c:h val="0.11451776244882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Non-AREP Share of Secondary Voltage  Megawatt-hours</a:t>
            </a:r>
          </a:p>
        </c:rich>
      </c:tx>
      <c:layout>
        <c:manualLayout>
          <c:xMode val="edge"/>
          <c:yMode val="edge"/>
          <c:x val="7.8260869565217397E-2"/>
          <c:y val="3.5805626598465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41741180657504"/>
          <c:y val="0.21483406471424274"/>
          <c:w val="0.81217391304348574"/>
          <c:h val="0.4654737270641795"/>
        </c:manualLayout>
      </c:layout>
      <c:lineChart>
        <c:grouping val="standard"/>
        <c:varyColors val="0"/>
        <c:ser>
          <c:idx val="0"/>
          <c:order val="0"/>
          <c:tx>
            <c:strRef>
              <c:f>'non-res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MWH'!$B$5:$FS$5</c:f>
              <c:numCache>
                <c:formatCode>0.00%</c:formatCode>
                <c:ptCount val="174"/>
                <c:pt idx="0">
                  <c:v>4.7054446167212863E-4</c:v>
                </c:pt>
                <c:pt idx="1">
                  <c:v>7.7413658294197232E-2</c:v>
                </c:pt>
                <c:pt idx="2">
                  <c:v>0.14987601445264837</c:v>
                </c:pt>
                <c:pt idx="3">
                  <c:v>0.17940890432299775</c:v>
                </c:pt>
                <c:pt idx="4">
                  <c:v>0.17237409427915718</c:v>
                </c:pt>
                <c:pt idx="5">
                  <c:v>0.23580094826507914</c:v>
                </c:pt>
                <c:pt idx="6">
                  <c:v>0.25363835341490459</c:v>
                </c:pt>
                <c:pt idx="7">
                  <c:v>0.22409738719094932</c:v>
                </c:pt>
                <c:pt idx="8">
                  <c:v>0.27656787952273698</c:v>
                </c:pt>
                <c:pt idx="9">
                  <c:v>0.30799232121474263</c:v>
                </c:pt>
                <c:pt idx="10">
                  <c:v>0.20623339740413915</c:v>
                </c:pt>
                <c:pt idx="11">
                  <c:v>0.29716748854090014</c:v>
                </c:pt>
                <c:pt idx="12">
                  <c:v>0.31102630412154358</c:v>
                </c:pt>
                <c:pt idx="13">
                  <c:v>0.33096755591426258</c:v>
                </c:pt>
                <c:pt idx="14">
                  <c:v>0.36221869268675189</c:v>
                </c:pt>
                <c:pt idx="15">
                  <c:v>0.32855866435901493</c:v>
                </c:pt>
                <c:pt idx="16">
                  <c:v>0.33774156368636055</c:v>
                </c:pt>
                <c:pt idx="17">
                  <c:v>0.33541589969330282</c:v>
                </c:pt>
                <c:pt idx="18">
                  <c:v>0.3696091155557098</c:v>
                </c:pt>
                <c:pt idx="19">
                  <c:v>0.37135149851606547</c:v>
                </c:pt>
                <c:pt idx="20">
                  <c:v>0.38387391280805755</c:v>
                </c:pt>
                <c:pt idx="21">
                  <c:v>0.39300411246697325</c:v>
                </c:pt>
                <c:pt idx="22">
                  <c:v>0.40397111304862149</c:v>
                </c:pt>
                <c:pt idx="23">
                  <c:v>0.42711409455344146</c:v>
                </c:pt>
                <c:pt idx="24">
                  <c:v>0.42317822582075104</c:v>
                </c:pt>
                <c:pt idx="25">
                  <c:v>0.42663888265972916</c:v>
                </c:pt>
                <c:pt idx="26">
                  <c:v>0.42597229440613232</c:v>
                </c:pt>
                <c:pt idx="27">
                  <c:v>0.45245711224011992</c:v>
                </c:pt>
                <c:pt idx="28">
                  <c:v>0.4601506991294172</c:v>
                </c:pt>
                <c:pt idx="29">
                  <c:v>0.45810466712347969</c:v>
                </c:pt>
                <c:pt idx="30">
                  <c:v>0.48704203508112476</c:v>
                </c:pt>
                <c:pt idx="31">
                  <c:v>0.50211127410681933</c:v>
                </c:pt>
                <c:pt idx="32">
                  <c:v>0.51460187206606844</c:v>
                </c:pt>
                <c:pt idx="33">
                  <c:v>0.53145237812555091</c:v>
                </c:pt>
                <c:pt idx="34">
                  <c:v>0.55270207798809323</c:v>
                </c:pt>
                <c:pt idx="35">
                  <c:v>0.54618486001881905</c:v>
                </c:pt>
                <c:pt idx="36">
                  <c:v>0.55114337474337638</c:v>
                </c:pt>
                <c:pt idx="37">
                  <c:v>0.57749230899821491</c:v>
                </c:pt>
                <c:pt idx="38">
                  <c:v>0.59097019558079922</c:v>
                </c:pt>
                <c:pt idx="39">
                  <c:v>0.60772231213298777</c:v>
                </c:pt>
                <c:pt idx="40">
                  <c:v>0.6140421726603148</c:v>
                </c:pt>
                <c:pt idx="41">
                  <c:v>0.61453009171433826</c:v>
                </c:pt>
                <c:pt idx="42">
                  <c:v>0.63006831237133643</c:v>
                </c:pt>
                <c:pt idx="43">
                  <c:v>0.64059703288645919</c:v>
                </c:pt>
                <c:pt idx="44">
                  <c:v>0.6472684757319892</c:v>
                </c:pt>
                <c:pt idx="45">
                  <c:v>0.65456293432806456</c:v>
                </c:pt>
                <c:pt idx="46">
                  <c:v>0.66436111331651815</c:v>
                </c:pt>
                <c:pt idx="47">
                  <c:v>0.66059559271215784</c:v>
                </c:pt>
                <c:pt idx="48">
                  <c:v>0.66850340569767253</c:v>
                </c:pt>
                <c:pt idx="49">
                  <c:v>0.6665631200596408</c:v>
                </c:pt>
                <c:pt idx="50">
                  <c:v>0.6759138709602972</c:v>
                </c:pt>
                <c:pt idx="51">
                  <c:v>0.67903245653946398</c:v>
                </c:pt>
                <c:pt idx="52">
                  <c:v>0.67747558553628529</c:v>
                </c:pt>
                <c:pt idx="53">
                  <c:v>0.67883136058844451</c:v>
                </c:pt>
                <c:pt idx="54">
                  <c:v>0.68395147051338856</c:v>
                </c:pt>
                <c:pt idx="55">
                  <c:v>0.68173597185988599</c:v>
                </c:pt>
                <c:pt idx="56">
                  <c:v>0.69324550403503182</c:v>
                </c:pt>
                <c:pt idx="57">
                  <c:v>0.69829823988607043</c:v>
                </c:pt>
                <c:pt idx="58">
                  <c:v>0.70793404370158897</c:v>
                </c:pt>
                <c:pt idx="59">
                  <c:v>0.71000265629709725</c:v>
                </c:pt>
                <c:pt idx="60">
                  <c:v>0.70300330813445566</c:v>
                </c:pt>
                <c:pt idx="61">
                  <c:v>0.70750926143864346</c:v>
                </c:pt>
                <c:pt idx="62">
                  <c:v>0.70757962177052924</c:v>
                </c:pt>
                <c:pt idx="63">
                  <c:v>0.72070447186111719</c:v>
                </c:pt>
                <c:pt idx="64">
                  <c:v>0.72389485459267899</c:v>
                </c:pt>
                <c:pt idx="65">
                  <c:v>0.72634979265496358</c:v>
                </c:pt>
                <c:pt idx="66">
                  <c:v>0.72555193402999507</c:v>
                </c:pt>
                <c:pt idx="67">
                  <c:v>0.72192788076541525</c:v>
                </c:pt>
                <c:pt idx="68">
                  <c:v>0.73017205137485974</c:v>
                </c:pt>
                <c:pt idx="69">
                  <c:v>0.72898538952220382</c:v>
                </c:pt>
                <c:pt idx="70">
                  <c:v>0.73731416421204521</c:v>
                </c:pt>
                <c:pt idx="71">
                  <c:v>0.73815813436536526</c:v>
                </c:pt>
                <c:pt idx="72">
                  <c:v>0.73909092727395964</c:v>
                </c:pt>
                <c:pt idx="73">
                  <c:v>0.73718099596114572</c:v>
                </c:pt>
                <c:pt idx="74">
                  <c:v>0.74012485176798515</c:v>
                </c:pt>
                <c:pt idx="75">
                  <c:v>0.7455791735206142</c:v>
                </c:pt>
                <c:pt idx="76">
                  <c:v>0.74592827095442571</c:v>
                </c:pt>
                <c:pt idx="77">
                  <c:v>0.75731944725688816</c:v>
                </c:pt>
                <c:pt idx="78">
                  <c:v>0.7450610236267482</c:v>
                </c:pt>
                <c:pt idx="79">
                  <c:v>0.74238330637131622</c:v>
                </c:pt>
                <c:pt idx="80">
                  <c:v>0.74840013137226558</c:v>
                </c:pt>
                <c:pt idx="81">
                  <c:v>0.75251435620130114</c:v>
                </c:pt>
                <c:pt idx="82">
                  <c:v>0.75546306118682549</c:v>
                </c:pt>
                <c:pt idx="83">
                  <c:v>0.75647325880522587</c:v>
                </c:pt>
                <c:pt idx="84">
                  <c:v>0.75356083998774104</c:v>
                </c:pt>
                <c:pt idx="85">
                  <c:v>0.75040179193842205</c:v>
                </c:pt>
                <c:pt idx="86">
                  <c:v>0.75776172900555483</c:v>
                </c:pt>
                <c:pt idx="87">
                  <c:v>0.75806870724325537</c:v>
                </c:pt>
                <c:pt idx="88">
                  <c:v>0.76062129267259537</c:v>
                </c:pt>
                <c:pt idx="89">
                  <c:v>0.76044792598695687</c:v>
                </c:pt>
                <c:pt idx="90">
                  <c:v>0.74833338383997916</c:v>
                </c:pt>
                <c:pt idx="91">
                  <c:v>0.74712727507213217</c:v>
                </c:pt>
                <c:pt idx="92">
                  <c:v>0.7560816896774688</c:v>
                </c:pt>
                <c:pt idx="93">
                  <c:v>0.7582597094296889</c:v>
                </c:pt>
                <c:pt idx="94">
                  <c:v>0.75937475045674085</c:v>
                </c:pt>
                <c:pt idx="95">
                  <c:v>0.76017973129911942</c:v>
                </c:pt>
                <c:pt idx="96">
                  <c:v>0.7515812298367841</c:v>
                </c:pt>
                <c:pt idx="97">
                  <c:v>0.75155436050931435</c:v>
                </c:pt>
                <c:pt idx="98">
                  <c:v>0.7524077083879821</c:v>
                </c:pt>
                <c:pt idx="99">
                  <c:v>0.75825607731556832</c:v>
                </c:pt>
                <c:pt idx="100">
                  <c:v>0.76456739309133637</c:v>
                </c:pt>
                <c:pt idx="101">
                  <c:v>0.76323349811105179</c:v>
                </c:pt>
                <c:pt idx="102">
                  <c:v>0.76600839696213163</c:v>
                </c:pt>
                <c:pt idx="103">
                  <c:v>0.76790179603745434</c:v>
                </c:pt>
                <c:pt idx="104">
                  <c:v>0.77140040799532095</c:v>
                </c:pt>
                <c:pt idx="105">
                  <c:v>0.78761897453074348</c:v>
                </c:pt>
                <c:pt idx="106">
                  <c:v>0.77750541719306243</c:v>
                </c:pt>
                <c:pt idx="107">
                  <c:v>0.77916853399068475</c:v>
                </c:pt>
                <c:pt idx="108">
                  <c:v>0.77784048339969736</c:v>
                </c:pt>
                <c:pt idx="109">
                  <c:v>0.77403838896053623</c:v>
                </c:pt>
                <c:pt idx="110">
                  <c:v>0.78456224608567882</c:v>
                </c:pt>
                <c:pt idx="111">
                  <c:v>0.79228787794243516</c:v>
                </c:pt>
                <c:pt idx="112">
                  <c:v>0.79468897754901668</c:v>
                </c:pt>
                <c:pt idx="113">
                  <c:v>0.79606376618034125</c:v>
                </c:pt>
                <c:pt idx="114">
                  <c:v>0.79881601894160481</c:v>
                </c:pt>
                <c:pt idx="115">
                  <c:v>0.79948525121124792</c:v>
                </c:pt>
                <c:pt idx="116">
                  <c:v>0.80161576244191557</c:v>
                </c:pt>
                <c:pt idx="117">
                  <c:v>0.80777927791061732</c:v>
                </c:pt>
                <c:pt idx="118">
                  <c:v>0.81202295005082015</c:v>
                </c:pt>
                <c:pt idx="119">
                  <c:v>0.81052546750672738</c:v>
                </c:pt>
                <c:pt idx="120">
                  <c:v>0.81047316216746945</c:v>
                </c:pt>
                <c:pt idx="121">
                  <c:v>0.81609592189835212</c:v>
                </c:pt>
                <c:pt idx="122">
                  <c:v>0.81999672662920953</c:v>
                </c:pt>
                <c:pt idx="123">
                  <c:v>0.82198850950390401</c:v>
                </c:pt>
                <c:pt idx="124">
                  <c:v>0.82402685808427045</c:v>
                </c:pt>
                <c:pt idx="125">
                  <c:v>0.82271865936234767</c:v>
                </c:pt>
                <c:pt idx="126">
                  <c:v>0.82420386733433537</c:v>
                </c:pt>
                <c:pt idx="127">
                  <c:v>0.8214818729928719</c:v>
                </c:pt>
                <c:pt idx="128">
                  <c:v>0.8235576599742277</c:v>
                </c:pt>
                <c:pt idx="129">
                  <c:v>0.82587096818931394</c:v>
                </c:pt>
                <c:pt idx="130">
                  <c:v>0.82823928042397732</c:v>
                </c:pt>
                <c:pt idx="131">
                  <c:v>0.82888157604283674</c:v>
                </c:pt>
                <c:pt idx="132">
                  <c:v>0.82313431590220498</c:v>
                </c:pt>
                <c:pt idx="133">
                  <c:v>0.82459857117697977</c:v>
                </c:pt>
                <c:pt idx="134">
                  <c:v>0.82518433235325794</c:v>
                </c:pt>
                <c:pt idx="135">
                  <c:v>0.82814924478270802</c:v>
                </c:pt>
                <c:pt idx="136">
                  <c:v>0.82987096308180541</c:v>
                </c:pt>
                <c:pt idx="137">
                  <c:v>0.83168119348047898</c:v>
                </c:pt>
                <c:pt idx="138">
                  <c:v>0.83367038238626379</c:v>
                </c:pt>
                <c:pt idx="139">
                  <c:v>0.83414038707139915</c:v>
                </c:pt>
                <c:pt idx="140">
                  <c:v>0.83411394775571457</c:v>
                </c:pt>
                <c:pt idx="141">
                  <c:v>0.8370964703369681</c:v>
                </c:pt>
                <c:pt idx="142">
                  <c:v>0.83876142725037384</c:v>
                </c:pt>
                <c:pt idx="143">
                  <c:v>0.8362412120137559</c:v>
                </c:pt>
                <c:pt idx="144">
                  <c:v>0.83583885525977175</c:v>
                </c:pt>
                <c:pt idx="145">
                  <c:v>0.83294831281363924</c:v>
                </c:pt>
                <c:pt idx="146">
                  <c:v>0.8363978797826801</c:v>
                </c:pt>
                <c:pt idx="147">
                  <c:v>0.83874096061780212</c:v>
                </c:pt>
                <c:pt idx="148">
                  <c:v>0.83474667791412183</c:v>
                </c:pt>
                <c:pt idx="149">
                  <c:v>0.83296130143633551</c:v>
                </c:pt>
                <c:pt idx="150">
                  <c:v>0.82846759312416551</c:v>
                </c:pt>
                <c:pt idx="151">
                  <c:v>0.82742970379752445</c:v>
                </c:pt>
                <c:pt idx="152">
                  <c:v>0.82838317542257567</c:v>
                </c:pt>
                <c:pt idx="153">
                  <c:v>0.82800030443455996</c:v>
                </c:pt>
                <c:pt idx="154">
                  <c:v>0.82929357052697983</c:v>
                </c:pt>
                <c:pt idx="155">
                  <c:v>0.82825590908710467</c:v>
                </c:pt>
                <c:pt idx="156">
                  <c:v>0.82298211874353433</c:v>
                </c:pt>
                <c:pt idx="157">
                  <c:v>0.82251030460021091</c:v>
                </c:pt>
                <c:pt idx="158">
                  <c:v>0.82198421506768293</c:v>
                </c:pt>
                <c:pt idx="159">
                  <c:v>0.82525918987094515</c:v>
                </c:pt>
                <c:pt idx="160">
                  <c:v>0.82747094086519912</c:v>
                </c:pt>
                <c:pt idx="161">
                  <c:v>0.8279283398675108</c:v>
                </c:pt>
                <c:pt idx="162">
                  <c:v>0.82471136314019744</c:v>
                </c:pt>
                <c:pt idx="163">
                  <c:v>0.82354629255027223</c:v>
                </c:pt>
                <c:pt idx="164">
                  <c:v>0.82506032515210959</c:v>
                </c:pt>
                <c:pt idx="165">
                  <c:v>0.82549401341703144</c:v>
                </c:pt>
                <c:pt idx="166">
                  <c:v>0.82607366871289056</c:v>
                </c:pt>
                <c:pt idx="167">
                  <c:v>0.82519316065090398</c:v>
                </c:pt>
                <c:pt idx="168">
                  <c:v>0.82282652325074002</c:v>
                </c:pt>
                <c:pt idx="169">
                  <c:v>0.82161605396993298</c:v>
                </c:pt>
                <c:pt idx="170">
                  <c:v>0.82577972662945687</c:v>
                </c:pt>
                <c:pt idx="171">
                  <c:v>0.82741742988392686</c:v>
                </c:pt>
                <c:pt idx="172">
                  <c:v>0.82838422455103666</c:v>
                </c:pt>
                <c:pt idx="173">
                  <c:v>0.82780702514482185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MWH'!$B$6:$FS$6</c:f>
              <c:numCache>
                <c:formatCode>0.00%</c:formatCode>
                <c:ptCount val="174"/>
                <c:pt idx="0">
                  <c:v>8.5924296261272085E-2</c:v>
                </c:pt>
                <c:pt idx="1">
                  <c:v>0.1594294857363544</c:v>
                </c:pt>
                <c:pt idx="2">
                  <c:v>0.26345947871718056</c:v>
                </c:pt>
                <c:pt idx="3">
                  <c:v>0.25617952241168668</c:v>
                </c:pt>
                <c:pt idx="4">
                  <c:v>0.26863069282608165</c:v>
                </c:pt>
                <c:pt idx="5">
                  <c:v>0.27543577246470702</c:v>
                </c:pt>
                <c:pt idx="6">
                  <c:v>0.28837103413545584</c:v>
                </c:pt>
                <c:pt idx="7">
                  <c:v>0.29259166227152561</c:v>
                </c:pt>
                <c:pt idx="8">
                  <c:v>0.30419583023437957</c:v>
                </c:pt>
                <c:pt idx="9">
                  <c:v>0.32607418677624855</c:v>
                </c:pt>
                <c:pt idx="10">
                  <c:v>0.33088094135520385</c:v>
                </c:pt>
                <c:pt idx="11">
                  <c:v>0.34322626898641301</c:v>
                </c:pt>
                <c:pt idx="12">
                  <c:v>0.34692607682615811</c:v>
                </c:pt>
                <c:pt idx="13">
                  <c:v>0.36211606917191647</c:v>
                </c:pt>
                <c:pt idx="14">
                  <c:v>0.37300965654381862</c:v>
                </c:pt>
                <c:pt idx="15">
                  <c:v>0.36300884512808551</c:v>
                </c:pt>
                <c:pt idx="16">
                  <c:v>0.35959160304167109</c:v>
                </c:pt>
                <c:pt idx="17">
                  <c:v>0.36218510960685057</c:v>
                </c:pt>
                <c:pt idx="18">
                  <c:v>0.36407533990547847</c:v>
                </c:pt>
                <c:pt idx="19">
                  <c:v>0.37370291341506817</c:v>
                </c:pt>
                <c:pt idx="20">
                  <c:v>0.37630524367656559</c:v>
                </c:pt>
                <c:pt idx="21">
                  <c:v>0.38514315485294093</c:v>
                </c:pt>
                <c:pt idx="22">
                  <c:v>0.40597689253241792</c:v>
                </c:pt>
                <c:pt idx="23">
                  <c:v>0.40956585743635271</c:v>
                </c:pt>
                <c:pt idx="24">
                  <c:v>0.41912696973642122</c:v>
                </c:pt>
                <c:pt idx="25">
                  <c:v>0.41960736546255795</c:v>
                </c:pt>
                <c:pt idx="26">
                  <c:v>0.42522524577425513</c:v>
                </c:pt>
                <c:pt idx="27">
                  <c:v>0.44115930953924437</c:v>
                </c:pt>
                <c:pt idx="28">
                  <c:v>0.44045183510509245</c:v>
                </c:pt>
                <c:pt idx="29">
                  <c:v>0.46569466837023893</c:v>
                </c:pt>
                <c:pt idx="30">
                  <c:v>0.47047189102775816</c:v>
                </c:pt>
                <c:pt idx="31">
                  <c:v>0.48109182313892318</c:v>
                </c:pt>
                <c:pt idx="32">
                  <c:v>0.49454253949950355</c:v>
                </c:pt>
                <c:pt idx="33">
                  <c:v>0.50273914978485168</c:v>
                </c:pt>
                <c:pt idx="34">
                  <c:v>0.50889049365326622</c:v>
                </c:pt>
                <c:pt idx="35">
                  <c:v>0.50852405964535319</c:v>
                </c:pt>
                <c:pt idx="36">
                  <c:v>0.51221814108406405</c:v>
                </c:pt>
                <c:pt idx="37">
                  <c:v>0.52604352885891958</c:v>
                </c:pt>
                <c:pt idx="38">
                  <c:v>0.54933964198786189</c:v>
                </c:pt>
                <c:pt idx="39">
                  <c:v>0.55710842501499214</c:v>
                </c:pt>
                <c:pt idx="40">
                  <c:v>0.56779424034723758</c:v>
                </c:pt>
                <c:pt idx="41">
                  <c:v>0.57424702901966085</c:v>
                </c:pt>
                <c:pt idx="42">
                  <c:v>0.57736958763042678</c:v>
                </c:pt>
                <c:pt idx="43">
                  <c:v>0.59397241998310413</c:v>
                </c:pt>
                <c:pt idx="44">
                  <c:v>0.60701879560116057</c:v>
                </c:pt>
                <c:pt idx="45">
                  <c:v>0.60366355091261381</c:v>
                </c:pt>
                <c:pt idx="46">
                  <c:v>0.60621047696178521</c:v>
                </c:pt>
                <c:pt idx="47">
                  <c:v>0.59881909005695644</c:v>
                </c:pt>
                <c:pt idx="48">
                  <c:v>0.59544007830031365</c:v>
                </c:pt>
                <c:pt idx="49">
                  <c:v>0.59395596744983048</c:v>
                </c:pt>
                <c:pt idx="50">
                  <c:v>0.59398424658315385</c:v>
                </c:pt>
                <c:pt idx="51">
                  <c:v>0.59271040820802745</c:v>
                </c:pt>
                <c:pt idx="52">
                  <c:v>0.59010841728123442</c:v>
                </c:pt>
                <c:pt idx="53">
                  <c:v>0.5930680416876174</c:v>
                </c:pt>
                <c:pt idx="54">
                  <c:v>0.5962257136890462</c:v>
                </c:pt>
                <c:pt idx="55">
                  <c:v>0.5886381528194411</c:v>
                </c:pt>
                <c:pt idx="56">
                  <c:v>0.59555248429808461</c:v>
                </c:pt>
                <c:pt idx="57">
                  <c:v>0.59888992068302838</c:v>
                </c:pt>
                <c:pt idx="58">
                  <c:v>0.6053971284918781</c:v>
                </c:pt>
                <c:pt idx="59">
                  <c:v>0.61140681067553859</c:v>
                </c:pt>
                <c:pt idx="60">
                  <c:v>0.60663312865495356</c:v>
                </c:pt>
                <c:pt idx="61">
                  <c:v>0.60528246563216404</c:v>
                </c:pt>
                <c:pt idx="62">
                  <c:v>0.61034191729838938</c:v>
                </c:pt>
                <c:pt idx="63">
                  <c:v>0.6116134962647003</c:v>
                </c:pt>
                <c:pt idx="64">
                  <c:v>0.61192851540577786</c:v>
                </c:pt>
                <c:pt idx="65">
                  <c:v>0.60601508228156464</c:v>
                </c:pt>
                <c:pt idx="66">
                  <c:v>0.60157684561711755</c:v>
                </c:pt>
                <c:pt idx="67">
                  <c:v>0.59823931495808957</c:v>
                </c:pt>
                <c:pt idx="68">
                  <c:v>0.59704646025866048</c:v>
                </c:pt>
                <c:pt idx="69">
                  <c:v>0.59973530042325929</c:v>
                </c:pt>
                <c:pt idx="70">
                  <c:v>0.60312983777520623</c:v>
                </c:pt>
                <c:pt idx="71">
                  <c:v>0.60378862107693254</c:v>
                </c:pt>
                <c:pt idx="72">
                  <c:v>0.60362398275175366</c:v>
                </c:pt>
                <c:pt idx="73">
                  <c:v>0.60089974588868411</c:v>
                </c:pt>
                <c:pt idx="74">
                  <c:v>0.60801793301015916</c:v>
                </c:pt>
                <c:pt idx="75">
                  <c:v>0.61035722478361798</c:v>
                </c:pt>
                <c:pt idx="76">
                  <c:v>0.60938343877572632</c:v>
                </c:pt>
                <c:pt idx="77">
                  <c:v>0.61052215434161594</c:v>
                </c:pt>
                <c:pt idx="78">
                  <c:v>0.60936930804012268</c:v>
                </c:pt>
                <c:pt idx="79">
                  <c:v>0.60912116873701139</c:v>
                </c:pt>
                <c:pt idx="80">
                  <c:v>0.6113177572074826</c:v>
                </c:pt>
                <c:pt idx="81">
                  <c:v>0.59990162005168135</c:v>
                </c:pt>
                <c:pt idx="82">
                  <c:v>0.61572322905240418</c:v>
                </c:pt>
                <c:pt idx="83">
                  <c:v>0.61632283355254736</c:v>
                </c:pt>
                <c:pt idx="84">
                  <c:v>0.61707531429555762</c:v>
                </c:pt>
                <c:pt idx="85">
                  <c:v>0.62135728613865637</c:v>
                </c:pt>
                <c:pt idx="86">
                  <c:v>0.63282697350887385</c:v>
                </c:pt>
                <c:pt idx="87">
                  <c:v>0.6370930685331313</c:v>
                </c:pt>
                <c:pt idx="88">
                  <c:v>0.64553941043599672</c:v>
                </c:pt>
                <c:pt idx="89">
                  <c:v>0.65531998937806391</c:v>
                </c:pt>
                <c:pt idx="90">
                  <c:v>0.67065949082765386</c:v>
                </c:pt>
                <c:pt idx="91">
                  <c:v>0.68433389627052854</c:v>
                </c:pt>
                <c:pt idx="92">
                  <c:v>0.69786579234361545</c:v>
                </c:pt>
                <c:pt idx="93">
                  <c:v>0.70845409740160736</c:v>
                </c:pt>
                <c:pt idx="94">
                  <c:v>0.71150259615442413</c:v>
                </c:pt>
                <c:pt idx="95">
                  <c:v>0.71402548339422789</c:v>
                </c:pt>
                <c:pt idx="96">
                  <c:v>0.70802341187234885</c:v>
                </c:pt>
                <c:pt idx="97">
                  <c:v>0.71769287226023137</c:v>
                </c:pt>
                <c:pt idx="98">
                  <c:v>0.72506375422134461</c:v>
                </c:pt>
                <c:pt idx="99">
                  <c:v>0.72554326986424078</c:v>
                </c:pt>
                <c:pt idx="100">
                  <c:v>0.72881930434168463</c:v>
                </c:pt>
                <c:pt idx="101">
                  <c:v>0.72898117210175251</c:v>
                </c:pt>
                <c:pt idx="102">
                  <c:v>0.72962451283344054</c:v>
                </c:pt>
                <c:pt idx="103">
                  <c:v>0.73237644539818758</c:v>
                </c:pt>
                <c:pt idx="104">
                  <c:v>0.73411591035051471</c:v>
                </c:pt>
                <c:pt idx="105">
                  <c:v>0.7380797037160336</c:v>
                </c:pt>
                <c:pt idx="106">
                  <c:v>0.74319603959050984</c:v>
                </c:pt>
                <c:pt idx="107">
                  <c:v>0.74476616566201259</c:v>
                </c:pt>
                <c:pt idx="108">
                  <c:v>0.73972967750761709</c:v>
                </c:pt>
                <c:pt idx="109">
                  <c:v>0.74733334580642874</c:v>
                </c:pt>
                <c:pt idx="110">
                  <c:v>0.75337581366909712</c:v>
                </c:pt>
                <c:pt idx="111">
                  <c:v>0.7556467729211449</c:v>
                </c:pt>
                <c:pt idx="112">
                  <c:v>0.76077510432532169</c:v>
                </c:pt>
                <c:pt idx="113">
                  <c:v>0.76592622319779835</c:v>
                </c:pt>
                <c:pt idx="114">
                  <c:v>0.75817250531528546</c:v>
                </c:pt>
                <c:pt idx="115">
                  <c:v>0.75545457044217901</c:v>
                </c:pt>
                <c:pt idx="116">
                  <c:v>0.75608201478869241</c:v>
                </c:pt>
                <c:pt idx="117">
                  <c:v>0.75577599101968573</c:v>
                </c:pt>
                <c:pt idx="118">
                  <c:v>0.75725673120951231</c:v>
                </c:pt>
                <c:pt idx="119">
                  <c:v>0.75688944127168123</c:v>
                </c:pt>
                <c:pt idx="120">
                  <c:v>0.75274348751801934</c:v>
                </c:pt>
                <c:pt idx="121">
                  <c:v>0.75165664683290001</c:v>
                </c:pt>
                <c:pt idx="122">
                  <c:v>0.75240769928427564</c:v>
                </c:pt>
                <c:pt idx="123">
                  <c:v>0.75280491248537462</c:v>
                </c:pt>
                <c:pt idx="124">
                  <c:v>0.75188015458526836</c:v>
                </c:pt>
                <c:pt idx="125">
                  <c:v>0.75339624400437566</c:v>
                </c:pt>
                <c:pt idx="126">
                  <c:v>0.75387481009688173</c:v>
                </c:pt>
                <c:pt idx="127">
                  <c:v>0.75157290090390727</c:v>
                </c:pt>
                <c:pt idx="128">
                  <c:v>0.74282275207780202</c:v>
                </c:pt>
                <c:pt idx="129">
                  <c:v>0.73749353417527386</c:v>
                </c:pt>
                <c:pt idx="130">
                  <c:v>0.73406738004395433</c:v>
                </c:pt>
                <c:pt idx="131">
                  <c:v>0.7336808925512861</c:v>
                </c:pt>
                <c:pt idx="132">
                  <c:v>0.73564453174804423</c:v>
                </c:pt>
                <c:pt idx="133">
                  <c:v>0.74940460271528553</c:v>
                </c:pt>
                <c:pt idx="134">
                  <c:v>0.75032182382051238</c:v>
                </c:pt>
                <c:pt idx="135">
                  <c:v>0.75237834234199041</c:v>
                </c:pt>
                <c:pt idx="136">
                  <c:v>0.75320770726915065</c:v>
                </c:pt>
                <c:pt idx="137">
                  <c:v>0.75807558013040433</c:v>
                </c:pt>
                <c:pt idx="138">
                  <c:v>0.76496686139102077</c:v>
                </c:pt>
                <c:pt idx="139">
                  <c:v>0.76631854238667541</c:v>
                </c:pt>
                <c:pt idx="140">
                  <c:v>0.76643485441972781</c:v>
                </c:pt>
                <c:pt idx="141">
                  <c:v>0.76706759959410076</c:v>
                </c:pt>
                <c:pt idx="142">
                  <c:v>0.76499325038362376</c:v>
                </c:pt>
                <c:pt idx="143">
                  <c:v>0.76711860378113517</c:v>
                </c:pt>
                <c:pt idx="144">
                  <c:v>0.76377475696592401</c:v>
                </c:pt>
                <c:pt idx="145">
                  <c:v>0.77824267418696125</c:v>
                </c:pt>
                <c:pt idx="146">
                  <c:v>0.78664096456225707</c:v>
                </c:pt>
                <c:pt idx="147">
                  <c:v>0.79248377529087244</c:v>
                </c:pt>
                <c:pt idx="148">
                  <c:v>0.78862218126392447</c:v>
                </c:pt>
                <c:pt idx="149">
                  <c:v>0.79074648795383673</c:v>
                </c:pt>
                <c:pt idx="150">
                  <c:v>0.78937755212227345</c:v>
                </c:pt>
                <c:pt idx="151">
                  <c:v>0.78601034227757238</c:v>
                </c:pt>
                <c:pt idx="152">
                  <c:v>0.787448817049622</c:v>
                </c:pt>
                <c:pt idx="153">
                  <c:v>0.78650547340678811</c:v>
                </c:pt>
                <c:pt idx="154">
                  <c:v>0.78699882224933504</c:v>
                </c:pt>
                <c:pt idx="155">
                  <c:v>0.78847709988050463</c:v>
                </c:pt>
                <c:pt idx="156">
                  <c:v>0.78721989752201316</c:v>
                </c:pt>
                <c:pt idx="157">
                  <c:v>0.79025811152533487</c:v>
                </c:pt>
                <c:pt idx="158">
                  <c:v>0.79278426515286649</c:v>
                </c:pt>
                <c:pt idx="159">
                  <c:v>0.80045415914814166</c:v>
                </c:pt>
                <c:pt idx="160">
                  <c:v>0.79625798867940811</c:v>
                </c:pt>
                <c:pt idx="161">
                  <c:v>0.7983742275360759</c:v>
                </c:pt>
                <c:pt idx="162">
                  <c:v>0.79887096086339915</c:v>
                </c:pt>
                <c:pt idx="163">
                  <c:v>0.79690979496908254</c:v>
                </c:pt>
                <c:pt idx="164">
                  <c:v>0.80823698314125125</c:v>
                </c:pt>
                <c:pt idx="165">
                  <c:v>0.81722934507050093</c:v>
                </c:pt>
                <c:pt idx="166">
                  <c:v>0.81811335535039198</c:v>
                </c:pt>
                <c:pt idx="167">
                  <c:v>0.81646090179466491</c:v>
                </c:pt>
                <c:pt idx="168">
                  <c:v>0.8122917560126629</c:v>
                </c:pt>
                <c:pt idx="169">
                  <c:v>0.811941991050385</c:v>
                </c:pt>
                <c:pt idx="170">
                  <c:v>0.81640590625352139</c:v>
                </c:pt>
                <c:pt idx="171">
                  <c:v>0.81845857639866837</c:v>
                </c:pt>
                <c:pt idx="172">
                  <c:v>0.82141605742806689</c:v>
                </c:pt>
                <c:pt idx="173">
                  <c:v>0.81888206708886835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MWH'!$B$7:$FS$7</c:f>
              <c:numCache>
                <c:formatCode>0.00%</c:formatCode>
                <c:ptCount val="174"/>
                <c:pt idx="0">
                  <c:v>8.6755409326962726E-2</c:v>
                </c:pt>
                <c:pt idx="1">
                  <c:v>0.17905952937999453</c:v>
                </c:pt>
                <c:pt idx="2">
                  <c:v>0.1906812104503483</c:v>
                </c:pt>
                <c:pt idx="3">
                  <c:v>0.23283626048148212</c:v>
                </c:pt>
                <c:pt idx="4">
                  <c:v>0.2764979567798127</c:v>
                </c:pt>
                <c:pt idx="5">
                  <c:v>0.33029524989032655</c:v>
                </c:pt>
                <c:pt idx="6">
                  <c:v>0.33328880057288357</c:v>
                </c:pt>
                <c:pt idx="7">
                  <c:v>0.32512590772570726</c:v>
                </c:pt>
                <c:pt idx="8">
                  <c:v>0.39948824530062726</c:v>
                </c:pt>
                <c:pt idx="9">
                  <c:v>0.42803612915536626</c:v>
                </c:pt>
                <c:pt idx="10">
                  <c:v>0.44721597263606833</c:v>
                </c:pt>
                <c:pt idx="11">
                  <c:v>0.48047528486873337</c:v>
                </c:pt>
                <c:pt idx="12">
                  <c:v>0.47561062324456926</c:v>
                </c:pt>
                <c:pt idx="13">
                  <c:v>0.50211105963611857</c:v>
                </c:pt>
                <c:pt idx="14">
                  <c:v>0.50493466811794396</c:v>
                </c:pt>
                <c:pt idx="15">
                  <c:v>0.48040394154202853</c:v>
                </c:pt>
                <c:pt idx="16">
                  <c:v>0.49271995822292708</c:v>
                </c:pt>
                <c:pt idx="17">
                  <c:v>0.50053220120147668</c:v>
                </c:pt>
                <c:pt idx="18">
                  <c:v>0.51243300620936494</c:v>
                </c:pt>
                <c:pt idx="19">
                  <c:v>0.53227966640752</c:v>
                </c:pt>
                <c:pt idx="20">
                  <c:v>0.56003109613889612</c:v>
                </c:pt>
                <c:pt idx="21">
                  <c:v>0.60008532592877817</c:v>
                </c:pt>
                <c:pt idx="22">
                  <c:v>0.61826325067342736</c:v>
                </c:pt>
                <c:pt idx="23">
                  <c:v>0.6266654135995664</c:v>
                </c:pt>
                <c:pt idx="24">
                  <c:v>0.6302430639921528</c:v>
                </c:pt>
                <c:pt idx="25">
                  <c:v>0.6388865926117282</c:v>
                </c:pt>
                <c:pt idx="26">
                  <c:v>0.65777208256385133</c:v>
                </c:pt>
                <c:pt idx="27">
                  <c:v>0.67357228791606605</c:v>
                </c:pt>
                <c:pt idx="28">
                  <c:v>0.68864781918351259</c:v>
                </c:pt>
                <c:pt idx="29">
                  <c:v>0.68052968103367972</c:v>
                </c:pt>
                <c:pt idx="30">
                  <c:v>0.69707410811262427</c:v>
                </c:pt>
                <c:pt idx="31">
                  <c:v>0.71454901545460436</c:v>
                </c:pt>
                <c:pt idx="32">
                  <c:v>0.73475288493664703</c:v>
                </c:pt>
                <c:pt idx="33">
                  <c:v>0.75743816130614527</c:v>
                </c:pt>
                <c:pt idx="34">
                  <c:v>0.76621709560428219</c:v>
                </c:pt>
                <c:pt idx="35">
                  <c:v>0.77343969390620615</c:v>
                </c:pt>
                <c:pt idx="36">
                  <c:v>0.77739177841860507</c:v>
                </c:pt>
                <c:pt idx="37">
                  <c:v>0.78243159885603009</c:v>
                </c:pt>
                <c:pt idx="38">
                  <c:v>0.79148097152613317</c:v>
                </c:pt>
                <c:pt idx="39">
                  <c:v>0.79799482803319299</c:v>
                </c:pt>
                <c:pt idx="40">
                  <c:v>0.8017351618089934</c:v>
                </c:pt>
                <c:pt idx="41">
                  <c:v>0.79462648845376316</c:v>
                </c:pt>
                <c:pt idx="42">
                  <c:v>0.7978097088395647</c:v>
                </c:pt>
                <c:pt idx="43">
                  <c:v>0.80136391440838373</c:v>
                </c:pt>
                <c:pt idx="44">
                  <c:v>0.81386532904672981</c:v>
                </c:pt>
                <c:pt idx="45">
                  <c:v>0.81776309698580851</c:v>
                </c:pt>
                <c:pt idx="46">
                  <c:v>0.82573345881582716</c:v>
                </c:pt>
                <c:pt idx="47">
                  <c:v>0.8225662895564948</c:v>
                </c:pt>
                <c:pt idx="48">
                  <c:v>0.81718731791772792</c:v>
                </c:pt>
                <c:pt idx="49">
                  <c:v>0.82352187843451374</c:v>
                </c:pt>
                <c:pt idx="50">
                  <c:v>0.82600821080237186</c:v>
                </c:pt>
                <c:pt idx="51">
                  <c:v>0.83359062677527196</c:v>
                </c:pt>
                <c:pt idx="52">
                  <c:v>0.82937286942999522</c:v>
                </c:pt>
                <c:pt idx="53">
                  <c:v>0.82864127665404808</c:v>
                </c:pt>
                <c:pt idx="54">
                  <c:v>0.82942335833254355</c:v>
                </c:pt>
                <c:pt idx="55">
                  <c:v>0.83971415513021486</c:v>
                </c:pt>
                <c:pt idx="56">
                  <c:v>0.84771017357090461</c:v>
                </c:pt>
                <c:pt idx="57">
                  <c:v>0.89356127587740464</c:v>
                </c:pt>
                <c:pt idx="58">
                  <c:v>0.89548066108881452</c:v>
                </c:pt>
                <c:pt idx="59">
                  <c:v>0.89608432781488401</c:v>
                </c:pt>
                <c:pt idx="60">
                  <c:v>0.85416891839728248</c:v>
                </c:pt>
                <c:pt idx="61">
                  <c:v>0.86062568470155842</c:v>
                </c:pt>
                <c:pt idx="62">
                  <c:v>0.86835182765717578</c:v>
                </c:pt>
                <c:pt idx="63">
                  <c:v>0.87600147483912238</c:v>
                </c:pt>
                <c:pt idx="64">
                  <c:v>0.8715028226525865</c:v>
                </c:pt>
                <c:pt idx="65">
                  <c:v>0.87445633064729766</c:v>
                </c:pt>
                <c:pt idx="66">
                  <c:v>0.87119798999665521</c:v>
                </c:pt>
                <c:pt idx="67">
                  <c:v>0.87569657347636509</c:v>
                </c:pt>
                <c:pt idx="68">
                  <c:v>0.88470562760769311</c:v>
                </c:pt>
                <c:pt idx="69">
                  <c:v>0.88999063498533026</c:v>
                </c:pt>
                <c:pt idx="70">
                  <c:v>0.89617012295243237</c:v>
                </c:pt>
                <c:pt idx="71">
                  <c:v>0.89799184886001115</c:v>
                </c:pt>
                <c:pt idx="72">
                  <c:v>0.89442644187337006</c:v>
                </c:pt>
                <c:pt idx="73">
                  <c:v>0.89831966413812214</c:v>
                </c:pt>
                <c:pt idx="74">
                  <c:v>0.90425662754806513</c:v>
                </c:pt>
                <c:pt idx="75">
                  <c:v>0.90500334380088387</c:v>
                </c:pt>
                <c:pt idx="76">
                  <c:v>0.90522308702143062</c:v>
                </c:pt>
                <c:pt idx="77">
                  <c:v>0.90081525128965267</c:v>
                </c:pt>
                <c:pt idx="78">
                  <c:v>0.90114695489874475</c:v>
                </c:pt>
                <c:pt idx="79">
                  <c:v>0.90320790042305776</c:v>
                </c:pt>
                <c:pt idx="80">
                  <c:v>0.90557995639189981</c:v>
                </c:pt>
                <c:pt idx="81">
                  <c:v>0.91175450400508751</c:v>
                </c:pt>
                <c:pt idx="82">
                  <c:v>0.91667442086755335</c:v>
                </c:pt>
                <c:pt idx="83">
                  <c:v>0.91931117689659214</c:v>
                </c:pt>
                <c:pt idx="84">
                  <c:v>0.91974286828402996</c:v>
                </c:pt>
                <c:pt idx="85">
                  <c:v>0.92415497893252496</c:v>
                </c:pt>
                <c:pt idx="86">
                  <c:v>0.92707983479788392</c:v>
                </c:pt>
                <c:pt idx="87">
                  <c:v>0.92801298863494441</c:v>
                </c:pt>
                <c:pt idx="88">
                  <c:v>0.9284104463238847</c:v>
                </c:pt>
                <c:pt idx="89">
                  <c:v>0.92827063073511318</c:v>
                </c:pt>
                <c:pt idx="90">
                  <c:v>0.92637556266930754</c:v>
                </c:pt>
                <c:pt idx="91">
                  <c:v>0.92923426514946161</c:v>
                </c:pt>
                <c:pt idx="92">
                  <c:v>0.9350613791568565</c:v>
                </c:pt>
                <c:pt idx="93">
                  <c:v>0.94069135986204511</c:v>
                </c:pt>
                <c:pt idx="94">
                  <c:v>0.94430159124953017</c:v>
                </c:pt>
                <c:pt idx="95">
                  <c:v>0.94483819125689383</c:v>
                </c:pt>
                <c:pt idx="96">
                  <c:v>0.93947006673557198</c:v>
                </c:pt>
                <c:pt idx="97">
                  <c:v>0.94427210997882616</c:v>
                </c:pt>
                <c:pt idx="98">
                  <c:v>0.94609335659209559</c:v>
                </c:pt>
                <c:pt idx="99">
                  <c:v>0.95044199366003268</c:v>
                </c:pt>
                <c:pt idx="100">
                  <c:v>0.95058172401354579</c:v>
                </c:pt>
                <c:pt idx="101">
                  <c:v>0.9491028271404246</c:v>
                </c:pt>
                <c:pt idx="102">
                  <c:v>0.9479916346017877</c:v>
                </c:pt>
                <c:pt idx="103">
                  <c:v>0.94608687952794002</c:v>
                </c:pt>
                <c:pt idx="104">
                  <c:v>0.95064760582303043</c:v>
                </c:pt>
                <c:pt idx="105">
                  <c:v>0.95346804698037324</c:v>
                </c:pt>
                <c:pt idx="106">
                  <c:v>0.95622372213617723</c:v>
                </c:pt>
                <c:pt idx="107">
                  <c:v>0.95602657686494508</c:v>
                </c:pt>
                <c:pt idx="108">
                  <c:v>0.9553734370434982</c:v>
                </c:pt>
                <c:pt idx="109">
                  <c:v>0.95431066289509281</c:v>
                </c:pt>
                <c:pt idx="110">
                  <c:v>0.95843774854817887</c:v>
                </c:pt>
                <c:pt idx="111">
                  <c:v>0.95867976964730828</c:v>
                </c:pt>
                <c:pt idx="112">
                  <c:v>0.95891484352549128</c:v>
                </c:pt>
                <c:pt idx="113">
                  <c:v>0.95714086027581402</c:v>
                </c:pt>
                <c:pt idx="114">
                  <c:v>0.95644216802996718</c:v>
                </c:pt>
                <c:pt idx="115">
                  <c:v>0.95774317579883672</c:v>
                </c:pt>
                <c:pt idx="116">
                  <c:v>0.95913642406585009</c:v>
                </c:pt>
                <c:pt idx="117">
                  <c:v>0.96039230995774172</c:v>
                </c:pt>
                <c:pt idx="118">
                  <c:v>0.9626026957386653</c:v>
                </c:pt>
                <c:pt idx="119">
                  <c:v>0.9632075034445563</c:v>
                </c:pt>
                <c:pt idx="120">
                  <c:v>0.96178395194164346</c:v>
                </c:pt>
                <c:pt idx="121">
                  <c:v>0.96383877078064317</c:v>
                </c:pt>
                <c:pt idx="122">
                  <c:v>0.9645216680942863</c:v>
                </c:pt>
                <c:pt idx="123">
                  <c:v>0.96476775150726424</c:v>
                </c:pt>
                <c:pt idx="124">
                  <c:v>0.96408403612626781</c:v>
                </c:pt>
                <c:pt idx="125">
                  <c:v>0.96360985762733697</c:v>
                </c:pt>
                <c:pt idx="126">
                  <c:v>0.96195163140589612</c:v>
                </c:pt>
                <c:pt idx="127">
                  <c:v>0.96164380156043472</c:v>
                </c:pt>
                <c:pt idx="128">
                  <c:v>0.96412793474226677</c:v>
                </c:pt>
                <c:pt idx="129">
                  <c:v>0.96567983008637681</c:v>
                </c:pt>
                <c:pt idx="130">
                  <c:v>0.96695336877770488</c:v>
                </c:pt>
                <c:pt idx="131">
                  <c:v>0.96782662094181693</c:v>
                </c:pt>
                <c:pt idx="132">
                  <c:v>0.96699949834238752</c:v>
                </c:pt>
                <c:pt idx="133">
                  <c:v>0.96935254679441951</c:v>
                </c:pt>
                <c:pt idx="134">
                  <c:v>0.97055229692477518</c:v>
                </c:pt>
                <c:pt idx="135">
                  <c:v>0.97056573348264275</c:v>
                </c:pt>
                <c:pt idx="136">
                  <c:v>0.97068266835708694</c:v>
                </c:pt>
                <c:pt idx="137">
                  <c:v>0.97045518410182563</c:v>
                </c:pt>
                <c:pt idx="138">
                  <c:v>0.9694877214813663</c:v>
                </c:pt>
                <c:pt idx="139">
                  <c:v>0.96954105182399275</c:v>
                </c:pt>
                <c:pt idx="140">
                  <c:v>0.97106817975044168</c:v>
                </c:pt>
                <c:pt idx="141">
                  <c:v>0.97254430135765135</c:v>
                </c:pt>
                <c:pt idx="142">
                  <c:v>0.97261436513502253</c:v>
                </c:pt>
                <c:pt idx="143">
                  <c:v>0.97320596018415639</c:v>
                </c:pt>
                <c:pt idx="144">
                  <c:v>0.97026189610704328</c:v>
                </c:pt>
                <c:pt idx="145">
                  <c:v>0.97374366965329173</c:v>
                </c:pt>
                <c:pt idx="146">
                  <c:v>0.97462373315076489</c:v>
                </c:pt>
                <c:pt idx="147">
                  <c:v>0.97622472134162219</c:v>
                </c:pt>
                <c:pt idx="148">
                  <c:v>0.97646746794238193</c:v>
                </c:pt>
                <c:pt idx="149">
                  <c:v>0.97573002778970996</c:v>
                </c:pt>
                <c:pt idx="150">
                  <c:v>0.97486041482555419</c:v>
                </c:pt>
                <c:pt idx="151">
                  <c:v>0.97502082600690232</c:v>
                </c:pt>
                <c:pt idx="152">
                  <c:v>0.9759389028098896</c:v>
                </c:pt>
                <c:pt idx="153">
                  <c:v>0.97676438938993748</c:v>
                </c:pt>
                <c:pt idx="154">
                  <c:v>0.97746675835637942</c:v>
                </c:pt>
                <c:pt idx="155">
                  <c:v>0.97784262824623003</c:v>
                </c:pt>
                <c:pt idx="156">
                  <c:v>0.97545775433920401</c:v>
                </c:pt>
                <c:pt idx="157">
                  <c:v>0.97656937916024034</c:v>
                </c:pt>
                <c:pt idx="158">
                  <c:v>0.97709005900033397</c:v>
                </c:pt>
                <c:pt idx="159">
                  <c:v>0.97970641871667197</c:v>
                </c:pt>
                <c:pt idx="160">
                  <c:v>0.97987230462112085</c:v>
                </c:pt>
                <c:pt idx="161">
                  <c:v>0.97976729507180882</c:v>
                </c:pt>
                <c:pt idx="162">
                  <c:v>0.97943130035060599</c:v>
                </c:pt>
                <c:pt idx="163">
                  <c:v>0.97935689238867407</c:v>
                </c:pt>
                <c:pt idx="164">
                  <c:v>0.98058579948702629</c:v>
                </c:pt>
                <c:pt idx="165">
                  <c:v>0.98141862780426181</c:v>
                </c:pt>
                <c:pt idx="166">
                  <c:v>0.98285023918932546</c:v>
                </c:pt>
                <c:pt idx="167">
                  <c:v>0.98317684747269518</c:v>
                </c:pt>
                <c:pt idx="168">
                  <c:v>0.98204741505053916</c:v>
                </c:pt>
                <c:pt idx="169">
                  <c:v>0.98383810387061499</c:v>
                </c:pt>
                <c:pt idx="170">
                  <c:v>0.98518278331961029</c:v>
                </c:pt>
                <c:pt idx="171">
                  <c:v>0.98543330107788396</c:v>
                </c:pt>
                <c:pt idx="172">
                  <c:v>0.98525795389081183</c:v>
                </c:pt>
                <c:pt idx="173">
                  <c:v>0.9849955654387923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MWH'!$B$8:$FS$8</c:f>
              <c:numCache>
                <c:formatCode>0.00%</c:formatCode>
                <c:ptCount val="174"/>
                <c:pt idx="0">
                  <c:v>5.2727567019302389E-2</c:v>
                </c:pt>
                <c:pt idx="1">
                  <c:v>0.16904647835094033</c:v>
                </c:pt>
                <c:pt idx="2">
                  <c:v>0.20779952600685686</c:v>
                </c:pt>
                <c:pt idx="3">
                  <c:v>0.21207616448836122</c:v>
                </c:pt>
                <c:pt idx="4">
                  <c:v>0.32502704175955893</c:v>
                </c:pt>
                <c:pt idx="5">
                  <c:v>0.23362421598239816</c:v>
                </c:pt>
                <c:pt idx="6">
                  <c:v>0.38573519651693472</c:v>
                </c:pt>
                <c:pt idx="7">
                  <c:v>0.33387894971612181</c:v>
                </c:pt>
                <c:pt idx="8">
                  <c:v>0.38225995961664105</c:v>
                </c:pt>
                <c:pt idx="9">
                  <c:v>0.44430396301556446</c:v>
                </c:pt>
                <c:pt idx="10">
                  <c:v>0.41726857229891884</c:v>
                </c:pt>
                <c:pt idx="11">
                  <c:v>0.41242603756250218</c:v>
                </c:pt>
                <c:pt idx="12">
                  <c:v>0.41863932410870758</c:v>
                </c:pt>
                <c:pt idx="13">
                  <c:v>0.45691154715263438</c:v>
                </c:pt>
                <c:pt idx="14">
                  <c:v>0.46703783078643307</c:v>
                </c:pt>
                <c:pt idx="15">
                  <c:v>0.46526785783980829</c:v>
                </c:pt>
                <c:pt idx="16">
                  <c:v>0.46829105696476786</c:v>
                </c:pt>
                <c:pt idx="17">
                  <c:v>0.48198469771460178</c:v>
                </c:pt>
                <c:pt idx="18">
                  <c:v>0.47424563580278828</c:v>
                </c:pt>
                <c:pt idx="19">
                  <c:v>0.49236094800299746</c:v>
                </c:pt>
                <c:pt idx="20">
                  <c:v>0.54183783026794885</c:v>
                </c:pt>
                <c:pt idx="21">
                  <c:v>0.57067319493926183</c:v>
                </c:pt>
                <c:pt idx="22">
                  <c:v>0.57303573267428687</c:v>
                </c:pt>
                <c:pt idx="23">
                  <c:v>0.5641662773081878</c:v>
                </c:pt>
                <c:pt idx="24">
                  <c:v>0.57696821681761135</c:v>
                </c:pt>
                <c:pt idx="25">
                  <c:v>0.60705957770744023</c:v>
                </c:pt>
                <c:pt idx="26">
                  <c:v>0.6273857793605504</c:v>
                </c:pt>
                <c:pt idx="27">
                  <c:v>0.64538882301189615</c:v>
                </c:pt>
                <c:pt idx="28">
                  <c:v>0.66733953899358611</c:v>
                </c:pt>
                <c:pt idx="29">
                  <c:v>0.66694493237563557</c:v>
                </c:pt>
                <c:pt idx="30">
                  <c:v>0.67392675837101934</c:v>
                </c:pt>
                <c:pt idx="31">
                  <c:v>0.69535527705615352</c:v>
                </c:pt>
                <c:pt idx="32">
                  <c:v>0.71893450170621764</c:v>
                </c:pt>
                <c:pt idx="33">
                  <c:v>0.75149654745337235</c:v>
                </c:pt>
                <c:pt idx="34">
                  <c:v>0.74930069377498931</c:v>
                </c:pt>
                <c:pt idx="35">
                  <c:v>0.74103284436175498</c:v>
                </c:pt>
                <c:pt idx="36">
                  <c:v>0.71424001671225545</c:v>
                </c:pt>
                <c:pt idx="37">
                  <c:v>0.75701091251626496</c:v>
                </c:pt>
                <c:pt idx="38">
                  <c:v>0.76406256004303885</c:v>
                </c:pt>
                <c:pt idx="39">
                  <c:v>0.79046575428859733</c:v>
                </c:pt>
                <c:pt idx="40">
                  <c:v>0.79273285949747541</c:v>
                </c:pt>
                <c:pt idx="41">
                  <c:v>0.78951557669881345</c:v>
                </c:pt>
                <c:pt idx="42">
                  <c:v>0.7863777445683412</c:v>
                </c:pt>
                <c:pt idx="43">
                  <c:v>0.80007075022449592</c:v>
                </c:pt>
                <c:pt idx="44">
                  <c:v>0.81376664409839761</c:v>
                </c:pt>
                <c:pt idx="45">
                  <c:v>0.82142925537008071</c:v>
                </c:pt>
                <c:pt idx="46">
                  <c:v>0.81641868162314757</c:v>
                </c:pt>
                <c:pt idx="47">
                  <c:v>0.79948012338405017</c:v>
                </c:pt>
                <c:pt idx="48">
                  <c:v>0.79250410498580759</c:v>
                </c:pt>
                <c:pt idx="49">
                  <c:v>0.81198208822029572</c:v>
                </c:pt>
                <c:pt idx="50">
                  <c:v>0.82264626902107574</c:v>
                </c:pt>
                <c:pt idx="51">
                  <c:v>0.83496296296296302</c:v>
                </c:pt>
                <c:pt idx="52">
                  <c:v>0.83394588449588869</c:v>
                </c:pt>
                <c:pt idx="53">
                  <c:v>0.82971940893242568</c:v>
                </c:pt>
                <c:pt idx="54">
                  <c:v>0.83021335208615454</c:v>
                </c:pt>
                <c:pt idx="55">
                  <c:v>0.8280189002397792</c:v>
                </c:pt>
                <c:pt idx="56">
                  <c:v>0.80431316519650475</c:v>
                </c:pt>
                <c:pt idx="57">
                  <c:v>0.8612279707995748</c:v>
                </c:pt>
                <c:pt idx="58">
                  <c:v>0.86996187782457646</c:v>
                </c:pt>
                <c:pt idx="59">
                  <c:v>0.86282881749989038</c:v>
                </c:pt>
                <c:pt idx="60">
                  <c:v>0.85517658772768979</c:v>
                </c:pt>
                <c:pt idx="61">
                  <c:v>0.86510068620774805</c:v>
                </c:pt>
                <c:pt idx="62">
                  <c:v>0.87359247594805645</c:v>
                </c:pt>
                <c:pt idx="63">
                  <c:v>0.88290587932314313</c:v>
                </c:pt>
                <c:pt idx="64">
                  <c:v>0.88031385890067082</c:v>
                </c:pt>
                <c:pt idx="65">
                  <c:v>0.88051213623077895</c:v>
                </c:pt>
                <c:pt idx="66">
                  <c:v>0.87835495498737493</c:v>
                </c:pt>
                <c:pt idx="67">
                  <c:v>0.87457466705725939</c:v>
                </c:pt>
                <c:pt idx="68">
                  <c:v>0.88550628722700198</c:v>
                </c:pt>
                <c:pt idx="69">
                  <c:v>0.88823245719797439</c:v>
                </c:pt>
                <c:pt idx="70">
                  <c:v>0.89503235890966926</c:v>
                </c:pt>
                <c:pt idx="71">
                  <c:v>0.89763345115825532</c:v>
                </c:pt>
                <c:pt idx="72">
                  <c:v>0.88813582401802404</c:v>
                </c:pt>
                <c:pt idx="73">
                  <c:v>0.89053417070925012</c:v>
                </c:pt>
                <c:pt idx="74">
                  <c:v>0.89802427443679556</c:v>
                </c:pt>
                <c:pt idx="75">
                  <c:v>0.89812811796388681</c:v>
                </c:pt>
                <c:pt idx="76">
                  <c:v>0.8993414081814971</c:v>
                </c:pt>
                <c:pt idx="77">
                  <c:v>0.89525668018966431</c:v>
                </c:pt>
                <c:pt idx="78">
                  <c:v>0.89052548444419377</c:v>
                </c:pt>
                <c:pt idx="79">
                  <c:v>0.8899186319128396</c:v>
                </c:pt>
                <c:pt idx="80">
                  <c:v>0.90417057304398341</c:v>
                </c:pt>
                <c:pt idx="81">
                  <c:v>0.90978620700901813</c:v>
                </c:pt>
                <c:pt idx="82">
                  <c:v>0.91296884628385933</c:v>
                </c:pt>
                <c:pt idx="83">
                  <c:v>0.91204635554721858</c:v>
                </c:pt>
                <c:pt idx="84">
                  <c:v>0.90689267099646032</c:v>
                </c:pt>
                <c:pt idx="85">
                  <c:v>0.90824906632887059</c:v>
                </c:pt>
                <c:pt idx="86">
                  <c:v>0.91186576957211019</c:v>
                </c:pt>
                <c:pt idx="87">
                  <c:v>0.91158064131600902</c:v>
                </c:pt>
                <c:pt idx="88">
                  <c:v>0.91659443320812872</c:v>
                </c:pt>
                <c:pt idx="89">
                  <c:v>0.91809288643364217</c:v>
                </c:pt>
                <c:pt idx="90">
                  <c:v>0.91498778576057871</c:v>
                </c:pt>
                <c:pt idx="91">
                  <c:v>0.91602295236419562</c:v>
                </c:pt>
                <c:pt idx="92">
                  <c:v>0.91866957999514443</c:v>
                </c:pt>
                <c:pt idx="93">
                  <c:v>0.93349321518335604</c:v>
                </c:pt>
                <c:pt idx="94">
                  <c:v>0.93593953100463589</c:v>
                </c:pt>
                <c:pt idx="95">
                  <c:v>0.93463329647870808</c:v>
                </c:pt>
                <c:pt idx="96">
                  <c:v>0.93080792526434653</c:v>
                </c:pt>
                <c:pt idx="97">
                  <c:v>0.92971583408601399</c:v>
                </c:pt>
                <c:pt idx="98">
                  <c:v>0.93292366865238852</c:v>
                </c:pt>
                <c:pt idx="99">
                  <c:v>0.9389960759878645</c:v>
                </c:pt>
                <c:pt idx="100">
                  <c:v>0.94349180748506289</c:v>
                </c:pt>
                <c:pt idx="101">
                  <c:v>0.94190925780225543</c:v>
                </c:pt>
                <c:pt idx="102">
                  <c:v>0.93992616561586106</c:v>
                </c:pt>
                <c:pt idx="103">
                  <c:v>0.93326795235464632</c:v>
                </c:pt>
                <c:pt idx="104">
                  <c:v>0.93795579964618592</c:v>
                </c:pt>
                <c:pt idx="105">
                  <c:v>0.94377617512075673</c:v>
                </c:pt>
                <c:pt idx="106">
                  <c:v>0.94581907244010421</c:v>
                </c:pt>
                <c:pt idx="107">
                  <c:v>0.94594842797824819</c:v>
                </c:pt>
                <c:pt idx="108">
                  <c:v>0.94336780656552921</c:v>
                </c:pt>
                <c:pt idx="109">
                  <c:v>0.94163966075984284</c:v>
                </c:pt>
                <c:pt idx="110">
                  <c:v>0.94601763243161785</c:v>
                </c:pt>
                <c:pt idx="111">
                  <c:v>0.94539380701528974</c:v>
                </c:pt>
                <c:pt idx="112">
                  <c:v>0.94636498785307666</c:v>
                </c:pt>
                <c:pt idx="113">
                  <c:v>0.94600429586385415</c:v>
                </c:pt>
                <c:pt idx="114">
                  <c:v>0.94024589176820927</c:v>
                </c:pt>
                <c:pt idx="115">
                  <c:v>0.93721388311426124</c:v>
                </c:pt>
                <c:pt idx="116">
                  <c:v>0.94532746285085301</c:v>
                </c:pt>
                <c:pt idx="117">
                  <c:v>0.95324969190051922</c:v>
                </c:pt>
                <c:pt idx="118">
                  <c:v>0.95215206631463345</c:v>
                </c:pt>
                <c:pt idx="119">
                  <c:v>0.94910614610573318</c:v>
                </c:pt>
                <c:pt idx="120">
                  <c:v>0.94823242584315315</c:v>
                </c:pt>
                <c:pt idx="121">
                  <c:v>0.9491605598270062</c:v>
                </c:pt>
                <c:pt idx="122">
                  <c:v>0.95129678315068089</c:v>
                </c:pt>
                <c:pt idx="123">
                  <c:v>0.95394809650287737</c:v>
                </c:pt>
                <c:pt idx="124">
                  <c:v>0.95312329172374322</c:v>
                </c:pt>
                <c:pt idx="125">
                  <c:v>0.95588904047294221</c:v>
                </c:pt>
                <c:pt idx="126">
                  <c:v>0.95124486886809645</c:v>
                </c:pt>
                <c:pt idx="127">
                  <c:v>0.94984524625579025</c:v>
                </c:pt>
                <c:pt idx="128">
                  <c:v>0.95390053828231702</c:v>
                </c:pt>
                <c:pt idx="129">
                  <c:v>0.96042664234501285</c:v>
                </c:pt>
                <c:pt idx="130">
                  <c:v>0.96192357375727044</c:v>
                </c:pt>
                <c:pt idx="131">
                  <c:v>0.96066554959348538</c:v>
                </c:pt>
                <c:pt idx="132">
                  <c:v>0.95455072613172176</c:v>
                </c:pt>
                <c:pt idx="133">
                  <c:v>0.95920957472454227</c:v>
                </c:pt>
                <c:pt idx="134">
                  <c:v>0.96057029264634142</c:v>
                </c:pt>
                <c:pt idx="135">
                  <c:v>0.96305434256916356</c:v>
                </c:pt>
                <c:pt idx="136">
                  <c:v>0.96176559607520185</c:v>
                </c:pt>
                <c:pt idx="137">
                  <c:v>0.96363479262672813</c:v>
                </c:pt>
                <c:pt idx="138">
                  <c:v>0.96372082372376788</c:v>
                </c:pt>
                <c:pt idx="139">
                  <c:v>0.96170050406801155</c:v>
                </c:pt>
                <c:pt idx="140">
                  <c:v>0.96350837157890978</c:v>
                </c:pt>
                <c:pt idx="141">
                  <c:v>0.96844348400264124</c:v>
                </c:pt>
                <c:pt idx="142">
                  <c:v>0.96875107832244078</c:v>
                </c:pt>
                <c:pt idx="143">
                  <c:v>0.96605712485306772</c:v>
                </c:pt>
                <c:pt idx="144">
                  <c:v>0.96440677966101696</c:v>
                </c:pt>
                <c:pt idx="145">
                  <c:v>0.9665637668761855</c:v>
                </c:pt>
                <c:pt idx="146">
                  <c:v>0.96666965078884126</c:v>
                </c:pt>
                <c:pt idx="147">
                  <c:v>0.9668378129308971</c:v>
                </c:pt>
                <c:pt idx="148">
                  <c:v>0.96929811079484329</c:v>
                </c:pt>
                <c:pt idx="149">
                  <c:v>0.97004441689908072</c:v>
                </c:pt>
                <c:pt idx="150">
                  <c:v>0.97109747353325737</c:v>
                </c:pt>
                <c:pt idx="151">
                  <c:v>0.96707477887406901</c:v>
                </c:pt>
                <c:pt idx="152">
                  <c:v>0.96853013639480834</c:v>
                </c:pt>
                <c:pt idx="153">
                  <c:v>0.97244839262523053</c:v>
                </c:pt>
                <c:pt idx="154">
                  <c:v>0.97356813969557832</c:v>
                </c:pt>
                <c:pt idx="155">
                  <c:v>0.97296607388138623</c:v>
                </c:pt>
                <c:pt idx="156">
                  <c:v>0.97011055556200043</c:v>
                </c:pt>
                <c:pt idx="157">
                  <c:v>0.97240212941786941</c:v>
                </c:pt>
                <c:pt idx="158">
                  <c:v>0.97223306021589284</c:v>
                </c:pt>
                <c:pt idx="159">
                  <c:v>0.97383931543597879</c:v>
                </c:pt>
                <c:pt idx="160">
                  <c:v>0.97552652697881748</c:v>
                </c:pt>
                <c:pt idx="161">
                  <c:v>0.97651487668674808</c:v>
                </c:pt>
                <c:pt idx="162">
                  <c:v>0.9753100200390149</c:v>
                </c:pt>
                <c:pt idx="163">
                  <c:v>0.97032940044820559</c:v>
                </c:pt>
                <c:pt idx="164">
                  <c:v>0.97174905667176292</c:v>
                </c:pt>
                <c:pt idx="165">
                  <c:v>0.97545871559633024</c:v>
                </c:pt>
                <c:pt idx="166">
                  <c:v>0.97772815957963843</c:v>
                </c:pt>
                <c:pt idx="167">
                  <c:v>0.97630181081188483</c:v>
                </c:pt>
                <c:pt idx="168">
                  <c:v>0.97403886609866419</c:v>
                </c:pt>
                <c:pt idx="169">
                  <c:v>0.97794435338412899</c:v>
                </c:pt>
                <c:pt idx="170">
                  <c:v>0.97912609313552246</c:v>
                </c:pt>
                <c:pt idx="171">
                  <c:v>0.97960964307710352</c:v>
                </c:pt>
                <c:pt idx="172">
                  <c:v>0.9809628875311156</c:v>
                </c:pt>
                <c:pt idx="173">
                  <c:v>0.98137989205918352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MWH'!$B$9:$FS$9</c:f>
              <c:numCache>
                <c:formatCode>0.00%</c:formatCode>
                <c:ptCount val="174"/>
                <c:pt idx="0">
                  <c:v>0.11487436791872935</c:v>
                </c:pt>
                <c:pt idx="1">
                  <c:v>0.19553766832421154</c:v>
                </c:pt>
                <c:pt idx="2">
                  <c:v>0.23302888586555282</c:v>
                </c:pt>
                <c:pt idx="3">
                  <c:v>0.31268628109559582</c:v>
                </c:pt>
                <c:pt idx="4">
                  <c:v>0.28444806508282211</c:v>
                </c:pt>
                <c:pt idx="5">
                  <c:v>0.34094185844590275</c:v>
                </c:pt>
                <c:pt idx="6">
                  <c:v>0.28737570111670752</c:v>
                </c:pt>
                <c:pt idx="7">
                  <c:v>0.29076179747287301</c:v>
                </c:pt>
                <c:pt idx="8">
                  <c:v>0.32080672170795893</c:v>
                </c:pt>
                <c:pt idx="9">
                  <c:v>0.40828619583375647</c:v>
                </c:pt>
                <c:pt idx="10">
                  <c:v>0.40282893379460211</c:v>
                </c:pt>
                <c:pt idx="11">
                  <c:v>0.38863027179140258</c:v>
                </c:pt>
                <c:pt idx="12">
                  <c:v>0.37815582103808332</c:v>
                </c:pt>
                <c:pt idx="13">
                  <c:v>0.39420131367724476</c:v>
                </c:pt>
                <c:pt idx="14">
                  <c:v>0.40215273009730285</c:v>
                </c:pt>
                <c:pt idx="15">
                  <c:v>0.41158510947601468</c:v>
                </c:pt>
                <c:pt idx="16">
                  <c:v>0.38450264400178868</c:v>
                </c:pt>
                <c:pt idx="17">
                  <c:v>0.41007789223663277</c:v>
                </c:pt>
                <c:pt idx="18">
                  <c:v>0.41649905099818796</c:v>
                </c:pt>
                <c:pt idx="19">
                  <c:v>0.40459658911529917</c:v>
                </c:pt>
                <c:pt idx="20">
                  <c:v>0.45786306970353913</c:v>
                </c:pt>
                <c:pt idx="21">
                  <c:v>0.46243357070447538</c:v>
                </c:pt>
                <c:pt idx="22">
                  <c:v>0.50939819433517242</c:v>
                </c:pt>
                <c:pt idx="23">
                  <c:v>0.51144437391238795</c:v>
                </c:pt>
                <c:pt idx="24">
                  <c:v>0.51525470424552988</c:v>
                </c:pt>
                <c:pt idx="25">
                  <c:v>0.52377408794934521</c:v>
                </c:pt>
                <c:pt idx="26">
                  <c:v>0.54696723427028227</c:v>
                </c:pt>
                <c:pt idx="27">
                  <c:v>0.56396851608581489</c:v>
                </c:pt>
                <c:pt idx="28">
                  <c:v>0.55783152292281846</c:v>
                </c:pt>
                <c:pt idx="29">
                  <c:v>0.5680161837654496</c:v>
                </c:pt>
                <c:pt idx="30">
                  <c:v>0.54395713798215284</c:v>
                </c:pt>
                <c:pt idx="31">
                  <c:v>0.5568535134241539</c:v>
                </c:pt>
                <c:pt idx="32">
                  <c:v>0.57503093015291329</c:v>
                </c:pt>
                <c:pt idx="33">
                  <c:v>0.58396798330866762</c:v>
                </c:pt>
                <c:pt idx="34">
                  <c:v>0.6004707060081319</c:v>
                </c:pt>
                <c:pt idx="35">
                  <c:v>0.57921517992811555</c:v>
                </c:pt>
                <c:pt idx="36">
                  <c:v>0.60388077852448363</c:v>
                </c:pt>
                <c:pt idx="37">
                  <c:v>0.63546794506555093</c:v>
                </c:pt>
                <c:pt idx="38">
                  <c:v>0.63863820886369105</c:v>
                </c:pt>
                <c:pt idx="39">
                  <c:v>0.64246799723616377</c:v>
                </c:pt>
                <c:pt idx="40">
                  <c:v>0.65543234114298976</c:v>
                </c:pt>
                <c:pt idx="41">
                  <c:v>0.64854233221214486</c:v>
                </c:pt>
                <c:pt idx="42">
                  <c:v>0.63272655085935725</c:v>
                </c:pt>
                <c:pt idx="43">
                  <c:v>0.65972308632476429</c:v>
                </c:pt>
                <c:pt idx="44">
                  <c:v>0.66772256881690328</c:v>
                </c:pt>
                <c:pt idx="45">
                  <c:v>0.67288766077558759</c:v>
                </c:pt>
                <c:pt idx="46">
                  <c:v>0.68126027376821285</c:v>
                </c:pt>
                <c:pt idx="47">
                  <c:v>0.67563020707354815</c:v>
                </c:pt>
                <c:pt idx="48">
                  <c:v>0.66688134983164626</c:v>
                </c:pt>
                <c:pt idx="49">
                  <c:v>0.67135989433513521</c:v>
                </c:pt>
                <c:pt idx="50">
                  <c:v>0.66772337426744233</c:v>
                </c:pt>
                <c:pt idx="51">
                  <c:v>0.67701625917072528</c:v>
                </c:pt>
                <c:pt idx="52">
                  <c:v>0.68091866557444902</c:v>
                </c:pt>
                <c:pt idx="53">
                  <c:v>0.66744421928721454</c:v>
                </c:pt>
                <c:pt idx="54">
                  <c:v>0.6732087864193298</c:v>
                </c:pt>
                <c:pt idx="55">
                  <c:v>0.68331489751905028</c:v>
                </c:pt>
                <c:pt idx="56">
                  <c:v>0.6931625401490451</c:v>
                </c:pt>
                <c:pt idx="57">
                  <c:v>0.7061106740739882</c:v>
                </c:pt>
                <c:pt idx="58">
                  <c:v>0.7189293426935498</c:v>
                </c:pt>
                <c:pt idx="59">
                  <c:v>0.71047195037530697</c:v>
                </c:pt>
                <c:pt idx="60">
                  <c:v>0.69398508361349009</c:v>
                </c:pt>
                <c:pt idx="61">
                  <c:v>0.70008490468502715</c:v>
                </c:pt>
                <c:pt idx="62">
                  <c:v>0.71656805791757405</c:v>
                </c:pt>
                <c:pt idx="63">
                  <c:v>0.73019668099811585</c:v>
                </c:pt>
                <c:pt idx="64">
                  <c:v>0.74003975936208832</c:v>
                </c:pt>
                <c:pt idx="65">
                  <c:v>0.72695195310688576</c:v>
                </c:pt>
                <c:pt idx="66">
                  <c:v>0.72896782886270428</c:v>
                </c:pt>
                <c:pt idx="67">
                  <c:v>0.73221099897569919</c:v>
                </c:pt>
                <c:pt idx="68">
                  <c:v>0.74522311009134279</c:v>
                </c:pt>
                <c:pt idx="69">
                  <c:v>0.75368964232867308</c:v>
                </c:pt>
                <c:pt idx="70">
                  <c:v>0.76021881815160752</c:v>
                </c:pt>
                <c:pt idx="71">
                  <c:v>0.7682824960152268</c:v>
                </c:pt>
                <c:pt idx="72">
                  <c:v>0.75940666128320367</c:v>
                </c:pt>
                <c:pt idx="73">
                  <c:v>0.7659582748065501</c:v>
                </c:pt>
                <c:pt idx="74">
                  <c:v>0.76970569405111844</c:v>
                </c:pt>
                <c:pt idx="75">
                  <c:v>0.77627845379192661</c:v>
                </c:pt>
                <c:pt idx="76">
                  <c:v>0.77915323614884391</c:v>
                </c:pt>
                <c:pt idx="77">
                  <c:v>0.7801490827712888</c:v>
                </c:pt>
                <c:pt idx="78">
                  <c:v>0.77739831475818466</c:v>
                </c:pt>
                <c:pt idx="79">
                  <c:v>0.78911587101801761</c:v>
                </c:pt>
                <c:pt idx="80">
                  <c:v>0.80810798322673072</c:v>
                </c:pt>
                <c:pt idx="81">
                  <c:v>0.82843423060974464</c:v>
                </c:pt>
                <c:pt idx="82">
                  <c:v>0.8353987134993911</c:v>
                </c:pt>
                <c:pt idx="83">
                  <c:v>0.838474876922915</c:v>
                </c:pt>
                <c:pt idx="84">
                  <c:v>0.83502006909503179</c:v>
                </c:pt>
                <c:pt idx="85">
                  <c:v>0.83129995993696926</c:v>
                </c:pt>
                <c:pt idx="86">
                  <c:v>0.84098420791415152</c:v>
                </c:pt>
                <c:pt idx="87">
                  <c:v>0.84616874204049852</c:v>
                </c:pt>
                <c:pt idx="88">
                  <c:v>0.85193472098716738</c:v>
                </c:pt>
                <c:pt idx="89">
                  <c:v>0.85769544482865101</c:v>
                </c:pt>
                <c:pt idx="90">
                  <c:v>0.85455824894071297</c:v>
                </c:pt>
                <c:pt idx="91">
                  <c:v>0.85649325692102263</c:v>
                </c:pt>
                <c:pt idx="92">
                  <c:v>0.86393581095108385</c:v>
                </c:pt>
                <c:pt idx="93">
                  <c:v>0.86909343626590208</c:v>
                </c:pt>
                <c:pt idx="94">
                  <c:v>0.87032543058012135</c:v>
                </c:pt>
                <c:pt idx="95">
                  <c:v>0.87167676895676338</c:v>
                </c:pt>
                <c:pt idx="96">
                  <c:v>0.8617945609085379</c:v>
                </c:pt>
                <c:pt idx="97">
                  <c:v>0.86586542303138891</c:v>
                </c:pt>
                <c:pt idx="98">
                  <c:v>0.87005600301365549</c:v>
                </c:pt>
                <c:pt idx="99">
                  <c:v>0.87558391002185798</c:v>
                </c:pt>
                <c:pt idx="100">
                  <c:v>0.87623032028767545</c:v>
                </c:pt>
                <c:pt idx="101">
                  <c:v>0.87490540681050044</c:v>
                </c:pt>
                <c:pt idx="102">
                  <c:v>0.87755097369437918</c:v>
                </c:pt>
                <c:pt idx="103">
                  <c:v>0.86905437338625335</c:v>
                </c:pt>
                <c:pt idx="104">
                  <c:v>0.87713821420633575</c:v>
                </c:pt>
                <c:pt idx="105">
                  <c:v>0.88336733819479296</c:v>
                </c:pt>
                <c:pt idx="106">
                  <c:v>0.88627058672128178</c:v>
                </c:pt>
                <c:pt idx="107">
                  <c:v>0.88718230572444989</c:v>
                </c:pt>
                <c:pt idx="108">
                  <c:v>0.87917684778022553</c:v>
                </c:pt>
                <c:pt idx="109">
                  <c:v>0.87135812703469062</c:v>
                </c:pt>
                <c:pt idx="110">
                  <c:v>0.88846344806615529</c:v>
                </c:pt>
                <c:pt idx="111">
                  <c:v>0.87618428745172372</c:v>
                </c:pt>
                <c:pt idx="112">
                  <c:v>0.88257468815045481</c:v>
                </c:pt>
                <c:pt idx="113">
                  <c:v>0.87971981937213861</c:v>
                </c:pt>
                <c:pt idx="114">
                  <c:v>0.87758812120735419</c:v>
                </c:pt>
                <c:pt idx="115">
                  <c:v>0.87812491243611424</c:v>
                </c:pt>
                <c:pt idx="116">
                  <c:v>0.87954914966458431</c:v>
                </c:pt>
                <c:pt idx="117">
                  <c:v>0.88575630332040756</c:v>
                </c:pt>
                <c:pt idx="118">
                  <c:v>0.89080775595751427</c:v>
                </c:pt>
                <c:pt idx="119">
                  <c:v>0.89180419880428952</c:v>
                </c:pt>
                <c:pt idx="120">
                  <c:v>0.8850063096309394</c:v>
                </c:pt>
                <c:pt idx="121">
                  <c:v>0.88747099134338581</c:v>
                </c:pt>
                <c:pt idx="122">
                  <c:v>0.89144740109747278</c:v>
                </c:pt>
                <c:pt idx="123">
                  <c:v>0.89513459641420368</c:v>
                </c:pt>
                <c:pt idx="124">
                  <c:v>0.91283922017797481</c:v>
                </c:pt>
                <c:pt idx="125">
                  <c:v>0.98369397178520679</c:v>
                </c:pt>
                <c:pt idx="126">
                  <c:v>0.99429607019013944</c:v>
                </c:pt>
                <c:pt idx="127">
                  <c:v>0.99447210676521358</c:v>
                </c:pt>
                <c:pt idx="128">
                  <c:v>0.99489796063855906</c:v>
                </c:pt>
                <c:pt idx="129">
                  <c:v>0.99573951557241414</c:v>
                </c:pt>
                <c:pt idx="130">
                  <c:v>0.99592453397853198</c:v>
                </c:pt>
                <c:pt idx="131">
                  <c:v>0.99586628411193734</c:v>
                </c:pt>
                <c:pt idx="132">
                  <c:v>0.99456067822406313</c:v>
                </c:pt>
                <c:pt idx="133">
                  <c:v>0.99679384956064265</c:v>
                </c:pt>
                <c:pt idx="134">
                  <c:v>0.99539618528505813</c:v>
                </c:pt>
                <c:pt idx="135">
                  <c:v>0.99643233219746929</c:v>
                </c:pt>
                <c:pt idx="136">
                  <c:v>0.99698713016473262</c:v>
                </c:pt>
                <c:pt idx="137">
                  <c:v>0.9961385818289078</c:v>
                </c:pt>
                <c:pt idx="138">
                  <c:v>0.99563856976599596</c:v>
                </c:pt>
                <c:pt idx="139">
                  <c:v>0.99572342313979723</c:v>
                </c:pt>
                <c:pt idx="140">
                  <c:v>0.99596349727465006</c:v>
                </c:pt>
                <c:pt idx="141">
                  <c:v>0.99707667401284505</c:v>
                </c:pt>
                <c:pt idx="142">
                  <c:v>0.99729909718577281</c:v>
                </c:pt>
                <c:pt idx="143">
                  <c:v>0.99639945404197183</c:v>
                </c:pt>
                <c:pt idx="144">
                  <c:v>0.99604433584977992</c:v>
                </c:pt>
                <c:pt idx="145">
                  <c:v>0.99619595225815638</c:v>
                </c:pt>
                <c:pt idx="146">
                  <c:v>0.9966258846552708</c:v>
                </c:pt>
                <c:pt idx="147">
                  <c:v>0.99734675965423536</c:v>
                </c:pt>
                <c:pt idx="148">
                  <c:v>0.99700793506024288</c:v>
                </c:pt>
                <c:pt idx="149">
                  <c:v>0.99696311548143501</c:v>
                </c:pt>
                <c:pt idx="150">
                  <c:v>0.99660768931565646</c:v>
                </c:pt>
                <c:pt idx="151">
                  <c:v>0.99664653498666267</c:v>
                </c:pt>
                <c:pt idx="152">
                  <c:v>0.99680651558256383</c:v>
                </c:pt>
                <c:pt idx="153">
                  <c:v>0.99717533044811768</c:v>
                </c:pt>
                <c:pt idx="154">
                  <c:v>0.99702892908995344</c:v>
                </c:pt>
                <c:pt idx="155">
                  <c:v>0.99685736950020543</c:v>
                </c:pt>
                <c:pt idx="156">
                  <c:v>0.99602241024641069</c:v>
                </c:pt>
                <c:pt idx="157">
                  <c:v>0.99627532329861135</c:v>
                </c:pt>
                <c:pt idx="158">
                  <c:v>0.99657512561289829</c:v>
                </c:pt>
                <c:pt idx="159">
                  <c:v>0.9972438874916697</c:v>
                </c:pt>
                <c:pt idx="160">
                  <c:v>0.99721332957353992</c:v>
                </c:pt>
                <c:pt idx="161">
                  <c:v>0.99688556578399945</c:v>
                </c:pt>
                <c:pt idx="162">
                  <c:v>0.99594788374530419</c:v>
                </c:pt>
                <c:pt idx="163">
                  <c:v>0.99603116209866482</c:v>
                </c:pt>
                <c:pt idx="164">
                  <c:v>0.99617187981874045</c:v>
                </c:pt>
                <c:pt idx="165">
                  <c:v>0.99648153156872865</c:v>
                </c:pt>
                <c:pt idx="166">
                  <c:v>0.99701370151257929</c:v>
                </c:pt>
                <c:pt idx="167">
                  <c:v>0.99644981751063977</c:v>
                </c:pt>
                <c:pt idx="168">
                  <c:v>0.99600816083133437</c:v>
                </c:pt>
                <c:pt idx="169">
                  <c:v>0.99621821005927758</c:v>
                </c:pt>
                <c:pt idx="170">
                  <c:v>0.99694146640583403</c:v>
                </c:pt>
                <c:pt idx="171">
                  <c:v>0.99696409261043006</c:v>
                </c:pt>
                <c:pt idx="172">
                  <c:v>0.99703750050800288</c:v>
                </c:pt>
                <c:pt idx="173">
                  <c:v>0.99669295683402825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MWH'!$B$12:$FS$12</c:f>
              <c:numCache>
                <c:formatCode>0.00%</c:formatCode>
                <c:ptCount val="174"/>
                <c:pt idx="0">
                  <c:v>4.7214260682664676E-2</c:v>
                </c:pt>
                <c:pt idx="1">
                  <c:v>0.12505325254843808</c:v>
                </c:pt>
                <c:pt idx="2">
                  <c:v>0.19579453604255728</c:v>
                </c:pt>
                <c:pt idx="3">
                  <c:v>0.21494588605608242</c:v>
                </c:pt>
                <c:pt idx="4">
                  <c:v>0.22213246651500632</c:v>
                </c:pt>
                <c:pt idx="5">
                  <c:v>0.25772701842984302</c:v>
                </c:pt>
                <c:pt idx="6">
                  <c:v>0.27278282349824973</c:v>
                </c:pt>
                <c:pt idx="7">
                  <c:v>0.26142754613570113</c:v>
                </c:pt>
                <c:pt idx="8">
                  <c:v>0.29578533384234923</c:v>
                </c:pt>
                <c:pt idx="9">
                  <c:v>0.32809134994642253</c:v>
                </c:pt>
                <c:pt idx="10">
                  <c:v>0.28055662169265294</c:v>
                </c:pt>
                <c:pt idx="11">
                  <c:v>0.33037225751939375</c:v>
                </c:pt>
                <c:pt idx="12">
                  <c:v>0.34028928650361351</c:v>
                </c:pt>
                <c:pt idx="13">
                  <c:v>0.35654636843014503</c:v>
                </c:pt>
                <c:pt idx="14">
                  <c:v>0.37992291126061006</c:v>
                </c:pt>
                <c:pt idx="15">
                  <c:v>0.35652799958712833</c:v>
                </c:pt>
                <c:pt idx="16">
                  <c:v>0.36180213688507079</c:v>
                </c:pt>
                <c:pt idx="17">
                  <c:v>0.3629535493543915</c:v>
                </c:pt>
                <c:pt idx="18">
                  <c:v>0.38273008394946201</c:v>
                </c:pt>
                <c:pt idx="19">
                  <c:v>0.38721381076122535</c:v>
                </c:pt>
                <c:pt idx="20">
                  <c:v>0.39980434581891122</c:v>
                </c:pt>
                <c:pt idx="21">
                  <c:v>0.41228533378360765</c:v>
                </c:pt>
                <c:pt idx="22">
                  <c:v>0.42446081014107484</c:v>
                </c:pt>
                <c:pt idx="23">
                  <c:v>0.44127759772092628</c:v>
                </c:pt>
                <c:pt idx="24">
                  <c:v>0.44307616266734945</c:v>
                </c:pt>
                <c:pt idx="25">
                  <c:v>0.44416689936524123</c:v>
                </c:pt>
                <c:pt idx="26">
                  <c:v>0.45215548458310489</c:v>
                </c:pt>
                <c:pt idx="27">
                  <c:v>0.47187687919161958</c:v>
                </c:pt>
                <c:pt idx="28">
                  <c:v>0.47710511906744124</c:v>
                </c:pt>
                <c:pt idx="29">
                  <c:v>0.48683216228699211</c:v>
                </c:pt>
                <c:pt idx="30">
                  <c:v>0.50358960306602407</c:v>
                </c:pt>
                <c:pt idx="31">
                  <c:v>0.51808594236014183</c:v>
                </c:pt>
                <c:pt idx="32">
                  <c:v>0.53128446506026716</c:v>
                </c:pt>
                <c:pt idx="33">
                  <c:v>0.5448246241053829</c:v>
                </c:pt>
                <c:pt idx="34">
                  <c:v>0.55817831082373148</c:v>
                </c:pt>
                <c:pt idx="35">
                  <c:v>0.55480325974052414</c:v>
                </c:pt>
                <c:pt idx="36">
                  <c:v>0.5599371026858726</c:v>
                </c:pt>
                <c:pt idx="37">
                  <c:v>0.5782511022180078</c:v>
                </c:pt>
                <c:pt idx="38">
                  <c:v>0.59710167936007597</c:v>
                </c:pt>
                <c:pt idx="39">
                  <c:v>0.60882166374972446</c:v>
                </c:pt>
                <c:pt idx="40">
                  <c:v>0.61790082979160388</c:v>
                </c:pt>
                <c:pt idx="41">
                  <c:v>0.62097532679635636</c:v>
                </c:pt>
                <c:pt idx="42">
                  <c:v>0.62798287907169414</c:v>
                </c:pt>
                <c:pt idx="43">
                  <c:v>0.64289235478010787</c:v>
                </c:pt>
                <c:pt idx="44">
                  <c:v>0.65160007853157675</c:v>
                </c:pt>
                <c:pt idx="45">
                  <c:v>0.65309805877635441</c:v>
                </c:pt>
                <c:pt idx="46">
                  <c:v>0.65911595881256424</c:v>
                </c:pt>
                <c:pt idx="47">
                  <c:v>0.65386774874349973</c:v>
                </c:pt>
                <c:pt idx="48">
                  <c:v>0.65706384140151597</c:v>
                </c:pt>
                <c:pt idx="49">
                  <c:v>0.65532560422571118</c:v>
                </c:pt>
                <c:pt idx="50">
                  <c:v>0.66406427679654478</c:v>
                </c:pt>
                <c:pt idx="51">
                  <c:v>0.66362069424314341</c:v>
                </c:pt>
                <c:pt idx="52">
                  <c:v>0.66424069010457198</c:v>
                </c:pt>
                <c:pt idx="53">
                  <c:v>0.66574292815898051</c:v>
                </c:pt>
                <c:pt idx="54">
                  <c:v>0.66843592258869911</c:v>
                </c:pt>
                <c:pt idx="55">
                  <c:v>0.6679884018591552</c:v>
                </c:pt>
                <c:pt idx="56">
                  <c:v>0.6747556677242339</c:v>
                </c:pt>
                <c:pt idx="57">
                  <c:v>0.68896268317601006</c:v>
                </c:pt>
                <c:pt idx="58">
                  <c:v>0.69431681368767173</c:v>
                </c:pt>
                <c:pt idx="59">
                  <c:v>0.696597232265042</c:v>
                </c:pt>
                <c:pt idx="60">
                  <c:v>0.68493101467805584</c:v>
                </c:pt>
                <c:pt idx="61">
                  <c:v>0.68489536184355393</c:v>
                </c:pt>
                <c:pt idx="62">
                  <c:v>0.69091733595332194</c:v>
                </c:pt>
                <c:pt idx="63">
                  <c:v>0.69792821270078642</c:v>
                </c:pt>
                <c:pt idx="64">
                  <c:v>0.70177461612460734</c:v>
                </c:pt>
                <c:pt idx="65">
                  <c:v>0.70029823119862566</c:v>
                </c:pt>
                <c:pt idx="66">
                  <c:v>0.69707379241198941</c:v>
                </c:pt>
                <c:pt idx="67">
                  <c:v>0.69636912985026012</c:v>
                </c:pt>
                <c:pt idx="68">
                  <c:v>0.69904379547068585</c:v>
                </c:pt>
                <c:pt idx="69">
                  <c:v>0.70058153179880367</c:v>
                </c:pt>
                <c:pt idx="70">
                  <c:v>0.70511109118992255</c:v>
                </c:pt>
                <c:pt idx="71">
                  <c:v>0.70856863037822981</c:v>
                </c:pt>
                <c:pt idx="72">
                  <c:v>0.70869574166604643</c:v>
                </c:pt>
                <c:pt idx="73">
                  <c:v>0.70581163723513529</c:v>
                </c:pt>
                <c:pt idx="74">
                  <c:v>0.7116565607601899</c:v>
                </c:pt>
                <c:pt idx="75">
                  <c:v>0.71462008805103838</c:v>
                </c:pt>
                <c:pt idx="76">
                  <c:v>0.71523707329828479</c:v>
                </c:pt>
                <c:pt idx="77">
                  <c:v>0.72281843211299601</c:v>
                </c:pt>
                <c:pt idx="78">
                  <c:v>0.71481262878672791</c:v>
                </c:pt>
                <c:pt idx="79">
                  <c:v>0.71273267086581082</c:v>
                </c:pt>
                <c:pt idx="80">
                  <c:v>0.71821880183750419</c:v>
                </c:pt>
                <c:pt idx="81">
                  <c:v>0.73384641290223429</c:v>
                </c:pt>
                <c:pt idx="82">
                  <c:v>0.71826413515995824</c:v>
                </c:pt>
                <c:pt idx="83">
                  <c:v>0.72444170377128125</c:v>
                </c:pt>
                <c:pt idx="84">
                  <c:v>0.72167795731275786</c:v>
                </c:pt>
                <c:pt idx="85">
                  <c:v>0.72409555692088978</c:v>
                </c:pt>
                <c:pt idx="86">
                  <c:v>0.73298374232273578</c:v>
                </c:pt>
                <c:pt idx="87">
                  <c:v>0.73527819375675374</c:v>
                </c:pt>
                <c:pt idx="88">
                  <c:v>0.74042182382173372</c:v>
                </c:pt>
                <c:pt idx="89">
                  <c:v>0.7437435851878671</c:v>
                </c:pt>
                <c:pt idx="90">
                  <c:v>0.74286457903778758</c:v>
                </c:pt>
                <c:pt idx="91">
                  <c:v>0.7464304703882193</c:v>
                </c:pt>
                <c:pt idx="92">
                  <c:v>0.75647557394798448</c:v>
                </c:pt>
                <c:pt idx="93">
                  <c:v>0.76177613522879484</c:v>
                </c:pt>
                <c:pt idx="94">
                  <c:v>0.76325692455905492</c:v>
                </c:pt>
                <c:pt idx="95">
                  <c:v>0.7653788648592702</c:v>
                </c:pt>
                <c:pt idx="96">
                  <c:v>0.75587078669876184</c:v>
                </c:pt>
                <c:pt idx="97">
                  <c:v>0.76120193840342476</c:v>
                </c:pt>
                <c:pt idx="98">
                  <c:v>0.76414006250485222</c:v>
                </c:pt>
                <c:pt idx="99">
                  <c:v>0.76857311931096128</c:v>
                </c:pt>
                <c:pt idx="100">
                  <c:v>0.77448099263396153</c:v>
                </c:pt>
                <c:pt idx="101">
                  <c:v>0.7736204014251542</c:v>
                </c:pt>
                <c:pt idx="102">
                  <c:v>0.77472389511043349</c:v>
                </c:pt>
                <c:pt idx="103">
                  <c:v>0.77510052967169074</c:v>
                </c:pt>
                <c:pt idx="104">
                  <c:v>0.77947169864846955</c:v>
                </c:pt>
                <c:pt idx="105">
                  <c:v>0.78728908394906449</c:v>
                </c:pt>
                <c:pt idx="106">
                  <c:v>0.78504222019711201</c:v>
                </c:pt>
                <c:pt idx="107">
                  <c:v>0.78742797470820725</c:v>
                </c:pt>
                <c:pt idx="108">
                  <c:v>0.78266479391625443</c:v>
                </c:pt>
                <c:pt idx="109">
                  <c:v>0.78463546141351304</c:v>
                </c:pt>
                <c:pt idx="110">
                  <c:v>0.79340303828451486</c:v>
                </c:pt>
                <c:pt idx="111">
                  <c:v>0.79745991143569972</c:v>
                </c:pt>
                <c:pt idx="112">
                  <c:v>0.80064168483989151</c:v>
                </c:pt>
                <c:pt idx="113">
                  <c:v>0.80476321118203353</c:v>
                </c:pt>
                <c:pt idx="114">
                  <c:v>0.80140749725742111</c:v>
                </c:pt>
                <c:pt idx="115">
                  <c:v>0.80239438009454711</c:v>
                </c:pt>
                <c:pt idx="116">
                  <c:v>0.8028787180292406</c:v>
                </c:pt>
                <c:pt idx="117">
                  <c:v>0.80442143329322047</c:v>
                </c:pt>
                <c:pt idx="118">
                  <c:v>0.80775138664489132</c:v>
                </c:pt>
                <c:pt idx="119">
                  <c:v>0.80665560179440976</c:v>
                </c:pt>
                <c:pt idx="120">
                  <c:v>0.80506406760922122</c:v>
                </c:pt>
                <c:pt idx="121">
                  <c:v>0.80858692315550307</c:v>
                </c:pt>
                <c:pt idx="122">
                  <c:v>0.81183238182499196</c:v>
                </c:pt>
                <c:pt idx="123">
                  <c:v>0.81379819838303924</c:v>
                </c:pt>
                <c:pt idx="124">
                  <c:v>0.8154383319889863</c:v>
                </c:pt>
                <c:pt idx="125">
                  <c:v>0.81704835166431511</c:v>
                </c:pt>
                <c:pt idx="126">
                  <c:v>0.81848176878273504</c:v>
                </c:pt>
                <c:pt idx="127">
                  <c:v>0.81691063183468138</c:v>
                </c:pt>
                <c:pt idx="128">
                  <c:v>0.81366039199988183</c:v>
                </c:pt>
                <c:pt idx="129">
                  <c:v>0.81217662412007219</c:v>
                </c:pt>
                <c:pt idx="130">
                  <c:v>0.81170382431038335</c:v>
                </c:pt>
                <c:pt idx="131">
                  <c:v>0.81265727165802171</c:v>
                </c:pt>
                <c:pt idx="132">
                  <c:v>0.81041939450836931</c:v>
                </c:pt>
                <c:pt idx="133">
                  <c:v>0.81581747662185344</c:v>
                </c:pt>
                <c:pt idx="134">
                  <c:v>0.81678968063126389</c:v>
                </c:pt>
                <c:pt idx="135">
                  <c:v>0.82090010421129622</c:v>
                </c:pt>
                <c:pt idx="136">
                  <c:v>0.82048403413881077</c:v>
                </c:pt>
                <c:pt idx="137">
                  <c:v>0.82506885672426611</c:v>
                </c:pt>
                <c:pt idx="138">
                  <c:v>0.827716435259369</c:v>
                </c:pt>
                <c:pt idx="139">
                  <c:v>0.8282472336933987</c:v>
                </c:pt>
                <c:pt idx="140">
                  <c:v>0.82868859491606428</c:v>
                </c:pt>
                <c:pt idx="141">
                  <c:v>0.83206589450353285</c:v>
                </c:pt>
                <c:pt idx="142">
                  <c:v>0.83184456910043503</c:v>
                </c:pt>
                <c:pt idx="143">
                  <c:v>0.8330278882344313</c:v>
                </c:pt>
                <c:pt idx="144">
                  <c:v>0.82886578516752174</c:v>
                </c:pt>
                <c:pt idx="145">
                  <c:v>0.83468125625731449</c:v>
                </c:pt>
                <c:pt idx="146">
                  <c:v>0.83901290343433998</c:v>
                </c:pt>
                <c:pt idx="147">
                  <c:v>0.84326123028314592</c:v>
                </c:pt>
                <c:pt idx="148">
                  <c:v>0.84010523573288953</c:v>
                </c:pt>
                <c:pt idx="149">
                  <c:v>0.84092540054554243</c:v>
                </c:pt>
                <c:pt idx="150">
                  <c:v>0.83811451364082123</c:v>
                </c:pt>
                <c:pt idx="151">
                  <c:v>0.83614752245997526</c:v>
                </c:pt>
                <c:pt idx="152">
                  <c:v>0.83723333372555131</c:v>
                </c:pt>
                <c:pt idx="153">
                  <c:v>0.8360055862140221</c:v>
                </c:pt>
                <c:pt idx="154">
                  <c:v>0.83594677206154966</c:v>
                </c:pt>
                <c:pt idx="155">
                  <c:v>0.83705481573873608</c:v>
                </c:pt>
                <c:pt idx="156">
                  <c:v>0.83358750208447374</c:v>
                </c:pt>
                <c:pt idx="157">
                  <c:v>0.83338731967440394</c:v>
                </c:pt>
                <c:pt idx="158">
                  <c:v>0.83513887780484319</c:v>
                </c:pt>
                <c:pt idx="159">
                  <c:v>0.83949233858380889</c:v>
                </c:pt>
                <c:pt idx="160">
                  <c:v>0.83935016869854739</c:v>
                </c:pt>
                <c:pt idx="161">
                  <c:v>0.84118508546044612</c:v>
                </c:pt>
                <c:pt idx="162">
                  <c:v>0.83633634340314855</c:v>
                </c:pt>
                <c:pt idx="163">
                  <c:v>0.8348847769965726</c:v>
                </c:pt>
                <c:pt idx="164">
                  <c:v>0.84030692318516997</c:v>
                </c:pt>
                <c:pt idx="165">
                  <c:v>0.84445566175541664</c:v>
                </c:pt>
                <c:pt idx="166">
                  <c:v>0.84563996004345177</c:v>
                </c:pt>
                <c:pt idx="167">
                  <c:v>0.84417639697015223</c:v>
                </c:pt>
                <c:pt idx="168">
                  <c:v>0.8404714412048182</c:v>
                </c:pt>
                <c:pt idx="169">
                  <c:v>0.84034599483820871</c:v>
                </c:pt>
                <c:pt idx="170">
                  <c:v>0.84498240112255585</c:v>
                </c:pt>
                <c:pt idx="171">
                  <c:v>0.84620036384319375</c:v>
                </c:pt>
                <c:pt idx="172">
                  <c:v>0.8489500520700769</c:v>
                </c:pt>
                <c:pt idx="173">
                  <c:v>0.84719581042846936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MWH'!$A$10</c:f>
              <c:strCache>
                <c:ptCount val="1"/>
                <c:pt idx="0">
                  <c:v>Sharyland Utilitites LP</c:v>
                </c:pt>
              </c:strCache>
            </c:strRef>
          </c:tx>
          <c:cat>
            <c:numRef>
              <c:f>'non-res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MWH'!$B$10:$FS$10</c:f>
              <c:numCache>
                <c:formatCode>0.00%</c:formatCode>
                <c:ptCount val="174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MWH'!$A$11</c:f>
              <c:strCache>
                <c:ptCount val="1"/>
                <c:pt idx="0">
                  <c:v>Sharyland Utilitites LP McAllen</c:v>
                </c:pt>
              </c:strCache>
            </c:strRef>
          </c:tx>
          <c:cat>
            <c:numRef>
              <c:f>'non-res MWH'!$B$4:$FS$4</c:f>
              <c:numCache>
                <c:formatCode>mmm\-yy</c:formatCode>
                <c:ptCount val="17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</c:numCache>
            </c:numRef>
          </c:cat>
          <c:val>
            <c:numRef>
              <c:f>'non-res MWH'!$B$11:$FS$11</c:f>
              <c:numCache>
                <c:formatCode>0.00%</c:formatCode>
                <c:ptCount val="174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626112"/>
        <c:axId val="372622192"/>
      </c:lineChart>
      <c:dateAx>
        <c:axId val="372626112"/>
        <c:scaling>
          <c:orientation val="minMax"/>
          <c:max val="42705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22192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7262219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261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883229309255011E-2"/>
          <c:y val="0.85166347812661525"/>
          <c:w val="0.91036917036088172"/>
          <c:h val="0.148336405865933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% of Non-Price-to-Beat Customers with Competitive Contracts</a:t>
            </a:r>
          </a:p>
        </c:rich>
      </c:tx>
      <c:layout>
        <c:manualLayout>
          <c:xMode val="edge"/>
          <c:yMode val="edge"/>
          <c:x val="0.16666701662292221"/>
          <c:y val="2.9702970297029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00034179743424"/>
          <c:y val="0.1633663366336634"/>
          <c:w val="0.61000099284015763"/>
          <c:h val="0.69059405940594054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NON PTB AFF'!$A$9</c:f>
              <c:strCache>
                <c:ptCount val="1"/>
                <c:pt idx="0">
                  <c:v>% Competitive Contract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NON PTB AFF'!$B$3:$M$3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'NOT UPDATED - NON PTB AFF'!$B$9:$M$9</c:f>
              <c:numCache>
                <c:formatCode>0.00%</c:formatCode>
                <c:ptCount val="12"/>
                <c:pt idx="0">
                  <c:v>0.50189681335356606</c:v>
                </c:pt>
                <c:pt idx="1">
                  <c:v>0.53755690440060699</c:v>
                </c:pt>
                <c:pt idx="2">
                  <c:v>0.59673748103186641</c:v>
                </c:pt>
                <c:pt idx="3">
                  <c:v>0.64605462822458271</c:v>
                </c:pt>
                <c:pt idx="4">
                  <c:v>0.69271623672230653</c:v>
                </c:pt>
                <c:pt idx="5">
                  <c:v>0.73786039453717756</c:v>
                </c:pt>
                <c:pt idx="6">
                  <c:v>0.78603945371775419</c:v>
                </c:pt>
                <c:pt idx="7">
                  <c:v>0.84901365705614562</c:v>
                </c:pt>
                <c:pt idx="8">
                  <c:v>0.87101669195751141</c:v>
                </c:pt>
                <c:pt idx="9">
                  <c:v>0.90060698027314112</c:v>
                </c:pt>
                <c:pt idx="10">
                  <c:v>0.91160849772382402</c:v>
                </c:pt>
                <c:pt idx="11">
                  <c:v>0.91540212443095603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621016"/>
        <c:axId val="372622584"/>
      </c:lineChart>
      <c:catAx>
        <c:axId val="372621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22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2622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2101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Commercial Customers with Competitive REP</a:t>
            </a:r>
          </a:p>
        </c:rich>
      </c:tx>
      <c:layout>
        <c:manualLayout>
          <c:xMode val="edge"/>
          <c:yMode val="edge"/>
          <c:x val="0.15106382978723562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68085106382977"/>
          <c:y val="0.25257763744568185"/>
          <c:w val="0.77021276595744015"/>
          <c:h val="0.54896976301969613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SM COM'!$A$5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COM'!$B$5:$J$5</c:f>
              <c:numCache>
                <c:formatCode>0.00%</c:formatCode>
                <c:ptCount val="9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'NOT UPDATED - SM COM'!$A$6</c:f>
              <c:strCache>
                <c:ptCount val="1"/>
                <c:pt idx="0">
                  <c:v>Small Commercial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COM'!$B$6:$J$6</c:f>
              <c:numCache>
                <c:formatCode>0.00%</c:formatCode>
                <c:ptCount val="9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'NOT UPDATED - SM COM'!$A$7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COM'!$B$7:$J$7</c:f>
              <c:numCache>
                <c:formatCode>0.00%</c:formatCode>
                <c:ptCount val="9"/>
              </c:numCache>
            </c:numRef>
          </c:val>
          <c:smooth val="0"/>
        </c:ser>
        <c:ser>
          <c:idx val="3"/>
          <c:order val="3"/>
          <c:tx>
            <c:strRef>
              <c:f>'NOT UPDATED - SM COM'!$A$8</c:f>
              <c:strCache>
                <c:ptCount val="1"/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COM'!$B$8:$J$8</c:f>
              <c:numCache>
                <c:formatCode>0.00%</c:formatCode>
                <c:ptCount val="9"/>
              </c:numCache>
            </c:numRef>
          </c:val>
          <c:smooth val="0"/>
        </c:ser>
        <c:ser>
          <c:idx val="4"/>
          <c:order val="4"/>
          <c:tx>
            <c:strRef>
              <c:f>'NOT UPDATED - SM COM'!$A$9</c:f>
              <c:strCache>
                <c:ptCount val="1"/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star"/>
            <c:size val="9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COM'!$B$9:$J$9</c:f>
              <c:numCache>
                <c:formatCode>0.00%</c:formatCode>
                <c:ptCount val="9"/>
              </c:numCache>
            </c:numRef>
          </c:val>
          <c:smooth val="0"/>
        </c:ser>
        <c:ser>
          <c:idx val="5"/>
          <c:order val="5"/>
          <c:tx>
            <c:strRef>
              <c:f>'NOT UPDATED - SM COM'!$A$10</c:f>
              <c:strCache>
                <c:ptCount val="1"/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COM'!$B$10:$J$10</c:f>
              <c:numCache>
                <c:formatCode>0.00%</c:formatCode>
                <c:ptCount val="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622976"/>
        <c:axId val="372624152"/>
      </c:lineChart>
      <c:catAx>
        <c:axId val="37262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24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2624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26229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23404255319845E-2"/>
          <c:y val="0.92010417512243958"/>
          <c:w val="0.84468085106383595"/>
          <c:h val="6.18556701030931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701041</xdr:colOff>
      <xdr:row>9</xdr:row>
      <xdr:rowOff>0</xdr:rowOff>
    </xdr:from>
    <xdr:to>
      <xdr:col>8</xdr:col>
      <xdr:colOff>38100</xdr:colOff>
      <xdr:row>28</xdr:row>
      <xdr:rowOff>95250</xdr:rowOff>
    </xdr:to>
    <xdr:graphicFrame macro="">
      <xdr:nvGraphicFramePr>
        <xdr:cNvPr id="194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15241</xdr:colOff>
      <xdr:row>30</xdr:row>
      <xdr:rowOff>9525</xdr:rowOff>
    </xdr:from>
    <xdr:to>
      <xdr:col>8</xdr:col>
      <xdr:colOff>22861</xdr:colOff>
      <xdr:row>50</xdr:row>
      <xdr:rowOff>133350</xdr:rowOff>
    </xdr:to>
    <xdr:graphicFrame macro="">
      <xdr:nvGraphicFramePr>
        <xdr:cNvPr id="1947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94267</xdr:colOff>
      <xdr:row>13</xdr:row>
      <xdr:rowOff>133546</xdr:rowOff>
    </xdr:from>
    <xdr:to>
      <xdr:col>15</xdr:col>
      <xdr:colOff>542041</xdr:colOff>
      <xdr:row>37</xdr:row>
      <xdr:rowOff>141402</xdr:rowOff>
    </xdr:to>
    <xdr:graphicFrame macro="">
      <xdr:nvGraphicFramePr>
        <xdr:cNvPr id="184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133348</xdr:colOff>
      <xdr:row>18</xdr:row>
      <xdr:rowOff>85725</xdr:rowOff>
    </xdr:from>
    <xdr:to>
      <xdr:col>12</xdr:col>
      <xdr:colOff>228600</xdr:colOff>
      <xdr:row>39</xdr:row>
      <xdr:rowOff>93345</xdr:rowOff>
    </xdr:to>
    <xdr:graphicFrame macro="">
      <xdr:nvGraphicFramePr>
        <xdr:cNvPr id="309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40004</xdr:colOff>
      <xdr:row>12</xdr:row>
      <xdr:rowOff>91440</xdr:rowOff>
    </xdr:from>
    <xdr:to>
      <xdr:col>15</xdr:col>
      <xdr:colOff>552449</xdr:colOff>
      <xdr:row>42</xdr:row>
      <xdr:rowOff>30479</xdr:rowOff>
    </xdr:to>
    <xdr:graphicFrame macro="">
      <xdr:nvGraphicFramePr>
        <xdr:cNvPr id="513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16</xdr:row>
      <xdr:rowOff>28575</xdr:rowOff>
    </xdr:from>
    <xdr:to>
      <xdr:col>15</xdr:col>
      <xdr:colOff>609600</xdr:colOff>
      <xdr:row>46</xdr:row>
      <xdr:rowOff>38100</xdr:rowOff>
    </xdr:to>
    <xdr:graphicFrame macro="">
      <xdr:nvGraphicFramePr>
        <xdr:cNvPr id="615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314324</xdr:colOff>
      <xdr:row>17</xdr:row>
      <xdr:rowOff>38100</xdr:rowOff>
    </xdr:from>
    <xdr:to>
      <xdr:col>11</xdr:col>
      <xdr:colOff>533399</xdr:colOff>
      <xdr:row>40</xdr:row>
      <xdr:rowOff>22860</xdr:rowOff>
    </xdr:to>
    <xdr:graphicFrame macro="">
      <xdr:nvGraphicFramePr>
        <xdr:cNvPr id="718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10</xdr:row>
      <xdr:rowOff>19050</xdr:rowOff>
    </xdr:from>
    <xdr:to>
      <xdr:col>10</xdr:col>
      <xdr:colOff>266700</xdr:colOff>
      <xdr:row>33</xdr:row>
      <xdr:rowOff>142875</xdr:rowOff>
    </xdr:to>
    <xdr:graphicFrame macro="">
      <xdr:nvGraphicFramePr>
        <xdr:cNvPr id="8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11</xdr:row>
      <xdr:rowOff>133350</xdr:rowOff>
    </xdr:from>
    <xdr:to>
      <xdr:col>7</xdr:col>
      <xdr:colOff>428625</xdr:colOff>
      <xdr:row>34</xdr:row>
      <xdr:rowOff>104775</xdr:rowOff>
    </xdr:to>
    <xdr:graphicFrame macro="">
      <xdr:nvGraphicFramePr>
        <xdr:cNvPr id="17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992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aryland%20Utilities%20LP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cor"/>
      <sheetName val="Centerpoint"/>
      <sheetName val="AEP Central"/>
      <sheetName val="AEP North"/>
      <sheetName val="TNMP"/>
      <sheetName val="Sharyland Utilities LP "/>
      <sheetName val="Sharyland Utilities LP McAllen"/>
      <sheetName val="TOTAL"/>
      <sheetName val="Total Chart"/>
      <sheetName val="Prim&amp;Trans"/>
      <sheetName val="res # of cust"/>
      <sheetName val="res MWH"/>
      <sheetName val="non-res # of cust"/>
      <sheetName val="non-res MWH"/>
      <sheetName val="Sheet1"/>
      <sheetName val="NOT UPDATED - NON PTB AFF"/>
      <sheetName val="NOT UPDATED - SM COM"/>
      <sheetName val="Percentage by Class"/>
      <sheetName val="Number of Res Cust w a C-REP"/>
      <sheetName val="Sheet2"/>
      <sheetName val="Sheet3"/>
      <sheetName val="Sheet4"/>
      <sheetName val="Sheet5"/>
      <sheetName val="Sheet6"/>
      <sheetName val="Sheet7"/>
      <sheetName val="Sharyland Utilities LP"/>
      <sheetName val="Sheet8"/>
      <sheetName val="Sheet10"/>
      <sheetName val=""/>
      <sheetName val="Sharyland Utilitites LP"/>
    </sheetNames>
    <sheetDataSet>
      <sheetData sheetId="0">
        <row r="8">
          <cell r="FO8">
            <v>1080572</v>
          </cell>
        </row>
      </sheetData>
      <sheetData sheetId="1"/>
      <sheetData sheetId="2"/>
      <sheetData sheetId="3"/>
      <sheetData sheetId="4">
        <row r="38">
          <cell r="FL38">
            <v>38375</v>
          </cell>
          <cell r="FM38">
            <v>38082</v>
          </cell>
          <cell r="FN38">
            <v>37786</v>
          </cell>
          <cell r="FO38">
            <v>37576</v>
          </cell>
          <cell r="FP38">
            <v>37380</v>
          </cell>
          <cell r="FQ38">
            <v>37194</v>
          </cell>
          <cell r="FR38">
            <v>37030</v>
          </cell>
          <cell r="FS38">
            <v>36802</v>
          </cell>
          <cell r="FT38">
            <v>36565</v>
          </cell>
        </row>
      </sheetData>
      <sheetData sheetId="5">
        <row r="8">
          <cell r="FO8">
            <v>0</v>
          </cell>
        </row>
        <row r="17">
          <cell r="FL17">
            <v>22504</v>
          </cell>
          <cell r="FM17">
            <v>21507</v>
          </cell>
          <cell r="FN17">
            <v>23099</v>
          </cell>
          <cell r="FO17">
            <v>20699</v>
          </cell>
          <cell r="FP17">
            <v>22219</v>
          </cell>
          <cell r="FQ17">
            <v>23071</v>
          </cell>
          <cell r="FR17">
            <v>21665</v>
          </cell>
          <cell r="FS17">
            <v>22932</v>
          </cell>
          <cell r="FT17">
            <v>22998</v>
          </cell>
        </row>
        <row r="24"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</row>
        <row r="25">
          <cell r="FL25">
            <v>897</v>
          </cell>
          <cell r="FM25">
            <v>914</v>
          </cell>
          <cell r="FN25">
            <v>962</v>
          </cell>
          <cell r="FO25">
            <v>943</v>
          </cell>
          <cell r="FP25">
            <v>981</v>
          </cell>
          <cell r="FQ25">
            <v>1049</v>
          </cell>
          <cell r="FR25">
            <v>991</v>
          </cell>
          <cell r="FS25">
            <v>1066</v>
          </cell>
          <cell r="FT25">
            <v>1104</v>
          </cell>
        </row>
        <row r="31"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</row>
        <row r="32">
          <cell r="FL32">
            <v>2828</v>
          </cell>
          <cell r="FM32">
            <v>2720</v>
          </cell>
          <cell r="FN32">
            <v>3042</v>
          </cell>
          <cell r="FO32">
            <v>3011</v>
          </cell>
          <cell r="FP32">
            <v>3011</v>
          </cell>
          <cell r="FQ32">
            <v>3011</v>
          </cell>
          <cell r="FR32">
            <v>2705</v>
          </cell>
          <cell r="FS32">
            <v>2931</v>
          </cell>
          <cell r="FT32">
            <v>2929</v>
          </cell>
        </row>
        <row r="39">
          <cell r="FL39">
            <v>49370</v>
          </cell>
          <cell r="FM39">
            <v>46206</v>
          </cell>
          <cell r="FN39">
            <v>50719</v>
          </cell>
          <cell r="FO39">
            <v>44447</v>
          </cell>
          <cell r="FP39">
            <v>48984</v>
          </cell>
          <cell r="FQ39">
            <v>51352</v>
          </cell>
          <cell r="FR39">
            <v>48118</v>
          </cell>
          <cell r="FS39">
            <v>51410</v>
          </cell>
          <cell r="FT39">
            <v>51575</v>
          </cell>
        </row>
        <row r="51"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</row>
        <row r="52">
          <cell r="FL52">
            <v>35750</v>
          </cell>
          <cell r="FM52">
            <v>19425</v>
          </cell>
          <cell r="FN52">
            <v>32764</v>
          </cell>
          <cell r="FO52">
            <v>30949.3</v>
          </cell>
          <cell r="FP52">
            <v>33975.459000000003</v>
          </cell>
          <cell r="FQ52">
            <v>26618.971000000001</v>
          </cell>
          <cell r="FR52">
            <v>19539.2</v>
          </cell>
          <cell r="FS52">
            <v>20891.099999999999</v>
          </cell>
          <cell r="FT52">
            <v>26692.2</v>
          </cell>
        </row>
        <row r="61"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</row>
        <row r="62">
          <cell r="FL62">
            <v>66705</v>
          </cell>
          <cell r="FM62">
            <v>80506</v>
          </cell>
          <cell r="FN62">
            <v>60491</v>
          </cell>
          <cell r="FO62">
            <v>52938.940999999999</v>
          </cell>
          <cell r="FP62">
            <v>54511.822999999997</v>
          </cell>
          <cell r="FQ62">
            <v>56081.803</v>
          </cell>
          <cell r="FR62">
            <v>50413.3</v>
          </cell>
          <cell r="FS62">
            <v>53490.9</v>
          </cell>
          <cell r="FT62">
            <v>52008.5</v>
          </cell>
        </row>
        <row r="71"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</row>
        <row r="72">
          <cell r="FL72">
            <v>149549</v>
          </cell>
          <cell r="FM72">
            <v>83756</v>
          </cell>
          <cell r="FN72">
            <v>127626</v>
          </cell>
          <cell r="FO72">
            <v>130677.64799999999</v>
          </cell>
          <cell r="FP72">
            <v>110867.55799999999</v>
          </cell>
          <cell r="FQ72">
            <v>113558.20600000001</v>
          </cell>
          <cell r="FR72">
            <v>104838.3</v>
          </cell>
          <cell r="FS72">
            <v>112893.7</v>
          </cell>
          <cell r="FT72">
            <v>126197.8</v>
          </cell>
        </row>
        <row r="78"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</row>
        <row r="79">
          <cell r="FL79">
            <v>181</v>
          </cell>
          <cell r="FM79">
            <v>175</v>
          </cell>
          <cell r="FN79">
            <v>195</v>
          </cell>
          <cell r="FO79">
            <v>164.38</v>
          </cell>
          <cell r="FP79">
            <v>179.48</v>
          </cell>
          <cell r="FQ79">
            <v>211.05</v>
          </cell>
          <cell r="FR79">
            <v>177.6</v>
          </cell>
          <cell r="FS79">
            <v>192.6</v>
          </cell>
          <cell r="FT79">
            <v>192.5</v>
          </cell>
        </row>
        <row r="85"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</row>
        <row r="86">
          <cell r="FL86">
            <v>252185</v>
          </cell>
          <cell r="FM86">
            <v>183862</v>
          </cell>
          <cell r="FN86">
            <v>221076</v>
          </cell>
          <cell r="FO86">
            <v>214730.26899999997</v>
          </cell>
          <cell r="FP86">
            <v>199534.32</v>
          </cell>
          <cell r="FQ86">
            <v>196470.03</v>
          </cell>
          <cell r="FR86">
            <v>174968.4</v>
          </cell>
          <cell r="FS86">
            <v>187468.30000000002</v>
          </cell>
          <cell r="FT86">
            <v>205091</v>
          </cell>
        </row>
      </sheetData>
      <sheetData sheetId="6">
        <row r="16"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FZ98"/>
  <sheetViews>
    <sheetView tabSelected="1" zoomScaleNormal="100" workbookViewId="0">
      <pane xSplit="2" ySplit="5" topLeftCell="FO6" activePane="bottomRight" state="frozen"/>
      <selection activeCell="EB37" sqref="EB37"/>
      <selection pane="topRight" activeCell="EB37" sqref="EB37"/>
      <selection pane="bottomLeft" activeCell="EB37" sqref="EB37"/>
      <selection pane="bottomRight" activeCell="GE5" sqref="GE5"/>
    </sheetView>
  </sheetViews>
  <sheetFormatPr defaultColWidth="9.109375" defaultRowHeight="13.2" x14ac:dyDescent="0.25"/>
  <cols>
    <col min="1" max="1" width="9.109375" style="2"/>
    <col min="2" max="2" width="27.88671875" style="1" customWidth="1"/>
    <col min="3" max="3" width="13" style="2" bestFit="1" customWidth="1"/>
    <col min="4" max="4" width="12.33203125" style="2" customWidth="1"/>
    <col min="5" max="5" width="12" style="2" customWidth="1"/>
    <col min="6" max="6" width="11.6640625" style="2" customWidth="1"/>
    <col min="7" max="7" width="11.88671875" style="2" customWidth="1"/>
    <col min="8" max="8" width="11.6640625" style="6" customWidth="1"/>
    <col min="9" max="9" width="12.88671875" style="2" customWidth="1"/>
    <col min="10" max="10" width="13" style="2" bestFit="1" customWidth="1"/>
    <col min="11" max="11" width="12.44140625" style="2" customWidth="1"/>
    <col min="12" max="15" width="13" style="2" bestFit="1" customWidth="1"/>
    <col min="16" max="16" width="12.33203125" style="2" customWidth="1"/>
    <col min="17" max="17" width="12" style="2" customWidth="1"/>
    <col min="18" max="18" width="11.6640625" style="2" customWidth="1"/>
    <col min="19" max="19" width="11.88671875" style="2" customWidth="1"/>
    <col min="20" max="20" width="11.6640625" style="6" customWidth="1"/>
    <col min="21" max="21" width="12.88671875" style="2" customWidth="1"/>
    <col min="22" max="22" width="14" style="2" bestFit="1" customWidth="1"/>
    <col min="23" max="23" width="12.44140625" style="2" customWidth="1"/>
    <col min="24" max="27" width="13" style="2" bestFit="1" customWidth="1"/>
    <col min="28" max="28" width="12.33203125" style="2" customWidth="1"/>
    <col min="29" max="29" width="12" style="2" customWidth="1"/>
    <col min="30" max="30" width="11.6640625" style="2" customWidth="1"/>
    <col min="31" max="31" width="11.88671875" style="2" customWidth="1"/>
    <col min="32" max="32" width="11.6640625" style="6" customWidth="1"/>
    <col min="33" max="33" width="12.88671875" style="2" customWidth="1"/>
    <col min="34" max="34" width="14" style="2" bestFit="1" customWidth="1"/>
    <col min="35" max="35" width="12.44140625" style="2" customWidth="1"/>
    <col min="36" max="39" width="13" style="2" bestFit="1" customWidth="1"/>
    <col min="40" max="40" width="12.33203125" style="2" customWidth="1"/>
    <col min="41" max="41" width="12" style="2" customWidth="1"/>
    <col min="42" max="42" width="11.6640625" style="2" customWidth="1"/>
    <col min="43" max="43" width="11.88671875" style="2" customWidth="1"/>
    <col min="44" max="44" width="11.6640625" style="6" customWidth="1"/>
    <col min="45" max="45" width="12.88671875" style="2" customWidth="1"/>
    <col min="46" max="46" width="14" style="2" bestFit="1" customWidth="1"/>
    <col min="47" max="47" width="12.44140625" style="2" customWidth="1"/>
    <col min="48" max="51" width="13" style="2" bestFit="1" customWidth="1"/>
    <col min="52" max="52" width="12.33203125" style="2" customWidth="1"/>
    <col min="53" max="53" width="12" style="2" customWidth="1"/>
    <col min="54" max="54" width="11.6640625" style="2" customWidth="1"/>
    <col min="55" max="55" width="11.88671875" style="2" customWidth="1"/>
    <col min="56" max="56" width="11.6640625" style="6" customWidth="1"/>
    <col min="57" max="57" width="12.88671875" style="2" customWidth="1"/>
    <col min="58" max="58" width="14" style="2" bestFit="1" customWidth="1"/>
    <col min="59" max="59" width="12.44140625" style="2" customWidth="1"/>
    <col min="60" max="63" width="13" style="2" bestFit="1" customWidth="1"/>
    <col min="64" max="64" width="12.33203125" style="2" customWidth="1"/>
    <col min="65" max="65" width="12" style="2" customWidth="1"/>
    <col min="66" max="66" width="11.6640625" style="2" customWidth="1"/>
    <col min="67" max="67" width="11.88671875" style="2" customWidth="1"/>
    <col min="68" max="68" width="11.6640625" style="6" customWidth="1"/>
    <col min="69" max="69" width="12.88671875" style="2" customWidth="1"/>
    <col min="70" max="70" width="14" style="2" bestFit="1" customWidth="1"/>
    <col min="71" max="71" width="12.44140625" style="2" customWidth="1"/>
    <col min="72" max="75" width="13" style="2" bestFit="1" customWidth="1"/>
    <col min="76" max="76" width="12.33203125" style="2" customWidth="1"/>
    <col min="77" max="77" width="12" style="2" customWidth="1"/>
    <col min="78" max="78" width="11.6640625" style="2" customWidth="1"/>
    <col min="79" max="79" width="11.88671875" style="2" customWidth="1"/>
    <col min="80" max="80" width="13.44140625" style="6" customWidth="1"/>
    <col min="81" max="81" width="12.88671875" style="2" customWidth="1"/>
    <col min="82" max="82" width="13" style="2" bestFit="1" customWidth="1"/>
    <col min="83" max="83" width="12.44140625" style="2" customWidth="1"/>
    <col min="84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8" width="13" style="2" customWidth="1"/>
    <col min="109" max="109" width="10.33203125" style="2" customWidth="1"/>
    <col min="110" max="110" width="12.44140625" style="2" customWidth="1"/>
    <col min="111" max="122" width="13" style="2" customWidth="1"/>
    <col min="123" max="123" width="11.6640625" style="2" customWidth="1"/>
    <col min="124" max="124" width="11.33203125" style="302" customWidth="1"/>
    <col min="125" max="125" width="10.5546875" style="2" customWidth="1"/>
    <col min="126" max="127" width="11.6640625" style="2" customWidth="1"/>
    <col min="128" max="128" width="11.44140625" style="2" customWidth="1"/>
    <col min="129" max="129" width="11.5546875" style="2" customWidth="1"/>
    <col min="130" max="130" width="11.33203125" style="302" customWidth="1"/>
    <col min="131" max="131" width="12.33203125" style="2" customWidth="1"/>
    <col min="132" max="132" width="10.6640625" style="2" customWidth="1"/>
    <col min="133" max="133" width="10.33203125" style="2" customWidth="1"/>
    <col min="134" max="134" width="11.44140625" style="2" customWidth="1"/>
    <col min="135" max="135" width="10.44140625" style="302" bestFit="1" customWidth="1"/>
    <col min="136" max="140" width="10.44140625" style="2" bestFit="1" customWidth="1"/>
    <col min="141" max="141" width="11.44140625" style="2" customWidth="1"/>
    <col min="142" max="142" width="11.5546875" style="2" customWidth="1"/>
    <col min="143" max="143" width="12.6640625" style="2" customWidth="1"/>
    <col min="144" max="144" width="11.33203125" style="2" customWidth="1"/>
    <col min="145" max="145" width="10.33203125" style="2" customWidth="1"/>
    <col min="146" max="146" width="10.6640625" style="2" customWidth="1"/>
    <col min="147" max="147" width="11.5546875" style="2" customWidth="1"/>
    <col min="148" max="148" width="11.44140625" style="2" bestFit="1" customWidth="1"/>
    <col min="149" max="151" width="10.44140625" style="2" bestFit="1" customWidth="1"/>
    <col min="152" max="152" width="11.88671875" style="2" customWidth="1"/>
    <col min="153" max="153" width="11.33203125" style="2" customWidth="1"/>
    <col min="154" max="154" width="11.6640625" style="2" customWidth="1"/>
    <col min="155" max="155" width="11.33203125" style="2" customWidth="1"/>
    <col min="156" max="156" width="10.44140625" style="2" bestFit="1" customWidth="1"/>
    <col min="157" max="157" width="11.33203125" style="2" customWidth="1"/>
    <col min="158" max="158" width="10.6640625" style="2" customWidth="1"/>
    <col min="159" max="164" width="10.44140625" style="2" bestFit="1" customWidth="1"/>
    <col min="165" max="165" width="11.33203125" style="2" customWidth="1"/>
    <col min="166" max="166" width="12.33203125" style="2" customWidth="1"/>
    <col min="167" max="167" width="11.44140625" style="2" customWidth="1"/>
    <col min="168" max="168" width="12" style="2" customWidth="1"/>
    <col min="169" max="169" width="11.109375" style="2" customWidth="1"/>
    <col min="170" max="170" width="12.33203125" style="2" customWidth="1"/>
    <col min="171" max="173" width="10.44140625" style="2" bestFit="1" customWidth="1"/>
    <col min="174" max="174" width="10.33203125" style="2" customWidth="1"/>
    <col min="175" max="175" width="10.6640625" style="2" customWidth="1"/>
    <col min="176" max="176" width="11.109375" style="2" customWidth="1"/>
    <col min="177" max="16384" width="9.109375" style="2"/>
  </cols>
  <sheetData>
    <row r="2" spans="2:182" x14ac:dyDescent="0.25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s="68" customFormat="1" ht="13.8" thickBot="1" x14ac:dyDescent="0.3">
      <c r="C3" s="576" t="s">
        <v>86</v>
      </c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 t="s">
        <v>86</v>
      </c>
      <c r="P3" s="576"/>
      <c r="Q3" s="576"/>
      <c r="R3" s="576"/>
      <c r="S3" s="576"/>
      <c r="T3" s="576"/>
      <c r="U3" s="576"/>
      <c r="V3" s="576"/>
      <c r="W3" s="576"/>
      <c r="X3" s="576"/>
      <c r="Y3" s="576"/>
      <c r="Z3" s="576"/>
      <c r="AA3" s="576" t="s">
        <v>86</v>
      </c>
      <c r="AB3" s="576"/>
      <c r="AC3" s="576"/>
      <c r="AD3" s="576"/>
      <c r="AE3" s="576"/>
      <c r="AF3" s="576"/>
      <c r="AG3" s="576"/>
      <c r="AH3" s="576"/>
      <c r="AI3" s="576"/>
      <c r="AJ3" s="576"/>
      <c r="AK3" s="576"/>
      <c r="AL3" s="576"/>
      <c r="AM3" s="576" t="s">
        <v>86</v>
      </c>
      <c r="AN3" s="576"/>
      <c r="AO3" s="576"/>
      <c r="AP3" s="576"/>
      <c r="AQ3" s="576"/>
      <c r="AR3" s="576"/>
      <c r="AS3" s="576"/>
      <c r="AT3" s="576"/>
      <c r="AU3" s="576"/>
      <c r="AV3" s="576"/>
      <c r="AW3" s="576"/>
      <c r="AX3" s="576"/>
      <c r="AY3" s="576" t="s">
        <v>86</v>
      </c>
      <c r="AZ3" s="576"/>
      <c r="BA3" s="576"/>
      <c r="BB3" s="576"/>
      <c r="BC3" s="576"/>
      <c r="BD3" s="576"/>
      <c r="BE3" s="576"/>
      <c r="BF3" s="576"/>
      <c r="BG3" s="576"/>
      <c r="BH3" s="576"/>
      <c r="BI3" s="576"/>
      <c r="BJ3" s="576"/>
      <c r="BK3" s="576" t="s">
        <v>86</v>
      </c>
      <c r="BL3" s="576"/>
      <c r="BM3" s="576"/>
      <c r="BN3" s="576"/>
      <c r="BO3" s="576"/>
      <c r="BP3" s="576"/>
      <c r="BQ3" s="576"/>
      <c r="BR3" s="576"/>
      <c r="BS3" s="576"/>
      <c r="BT3" s="576"/>
      <c r="BU3" s="576"/>
      <c r="BV3" s="576"/>
      <c r="BW3" s="576" t="s">
        <v>86</v>
      </c>
      <c r="BX3" s="576"/>
      <c r="BY3" s="576"/>
      <c r="BZ3" s="576"/>
      <c r="CA3" s="576"/>
      <c r="CB3" s="576"/>
      <c r="CC3" s="576"/>
      <c r="CD3" s="576"/>
      <c r="CE3" s="576"/>
      <c r="CF3" s="576"/>
      <c r="CG3" s="576"/>
      <c r="CH3" s="576"/>
      <c r="CI3" s="576" t="s">
        <v>86</v>
      </c>
      <c r="CJ3" s="576"/>
      <c r="CK3" s="576"/>
      <c r="CL3" s="576"/>
      <c r="CM3" s="576"/>
      <c r="CN3" s="576"/>
      <c r="CO3" s="576"/>
      <c r="CP3" s="576"/>
      <c r="CQ3" s="576"/>
      <c r="CR3" s="576"/>
      <c r="CS3" s="576"/>
      <c r="CT3" s="576"/>
      <c r="CU3" s="576" t="s">
        <v>86</v>
      </c>
      <c r="CV3" s="576"/>
      <c r="CW3" s="576"/>
      <c r="CX3" s="576"/>
      <c r="CY3" s="576"/>
      <c r="CZ3" s="576"/>
      <c r="DA3" s="576"/>
      <c r="DB3" s="576"/>
      <c r="DC3" s="576"/>
      <c r="DD3" s="576"/>
      <c r="DE3" s="576"/>
      <c r="DF3" s="576"/>
      <c r="DG3" s="576" t="s">
        <v>86</v>
      </c>
      <c r="DH3" s="576"/>
      <c r="DI3" s="576"/>
      <c r="DJ3" s="576"/>
      <c r="DK3" s="576"/>
      <c r="DL3" s="576"/>
      <c r="DM3" s="576"/>
      <c r="DN3" s="576"/>
      <c r="DO3" s="576"/>
      <c r="DP3" s="576"/>
      <c r="DQ3" s="576"/>
      <c r="DR3" s="576"/>
      <c r="DS3" s="576" t="s">
        <v>86</v>
      </c>
      <c r="DT3" s="576"/>
      <c r="DU3" s="576"/>
      <c r="DV3" s="576"/>
      <c r="DW3" s="576"/>
      <c r="DX3" s="576"/>
      <c r="DY3" s="576"/>
      <c r="DZ3" s="576"/>
      <c r="EA3" s="576"/>
      <c r="EB3" s="576"/>
      <c r="EC3" s="576"/>
      <c r="ED3" s="576"/>
      <c r="EE3" s="576" t="s">
        <v>86</v>
      </c>
      <c r="EF3" s="576"/>
      <c r="EG3" s="576"/>
      <c r="EH3" s="576"/>
      <c r="EI3" s="576"/>
      <c r="EJ3" s="576"/>
      <c r="EK3" s="576"/>
      <c r="EL3" s="576"/>
      <c r="EM3" s="576"/>
      <c r="EN3" s="576"/>
      <c r="EO3" s="576"/>
      <c r="EP3" s="576"/>
      <c r="EQ3" s="576" t="s">
        <v>86</v>
      </c>
      <c r="ER3" s="576"/>
      <c r="ES3" s="576"/>
      <c r="ET3" s="576"/>
      <c r="EU3" s="576"/>
      <c r="EV3" s="576"/>
      <c r="EW3" s="576"/>
      <c r="EX3" s="576"/>
      <c r="EY3" s="576"/>
      <c r="EZ3" s="576"/>
      <c r="FA3" s="576"/>
      <c r="FB3" s="576"/>
      <c r="FC3" s="576" t="s">
        <v>86</v>
      </c>
      <c r="FD3" s="576"/>
      <c r="FE3" s="576"/>
      <c r="FF3" s="576"/>
      <c r="FG3" s="576"/>
      <c r="FH3" s="576"/>
      <c r="FI3" s="576"/>
      <c r="FJ3" s="576"/>
      <c r="FK3" s="576"/>
      <c r="FL3" s="576"/>
      <c r="FM3" s="576"/>
      <c r="FN3" s="576"/>
      <c r="FO3" s="576" t="s">
        <v>86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2:182" s="270" customFormat="1" ht="13.8" thickBot="1" x14ac:dyDescent="0.3">
      <c r="C4" s="572">
        <v>2002</v>
      </c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4"/>
      <c r="O4" s="572">
        <v>2003</v>
      </c>
      <c r="P4" s="573"/>
      <c r="Q4" s="573"/>
      <c r="R4" s="573"/>
      <c r="S4" s="573"/>
      <c r="T4" s="573"/>
      <c r="U4" s="573"/>
      <c r="V4" s="573"/>
      <c r="W4" s="573"/>
      <c r="X4" s="573"/>
      <c r="Y4" s="573"/>
      <c r="Z4" s="574"/>
      <c r="AA4" s="572">
        <v>2004</v>
      </c>
      <c r="AB4" s="573"/>
      <c r="AC4" s="573"/>
      <c r="AD4" s="573"/>
      <c r="AE4" s="573"/>
      <c r="AF4" s="573"/>
      <c r="AG4" s="573"/>
      <c r="AH4" s="573"/>
      <c r="AI4" s="573"/>
      <c r="AJ4" s="573"/>
      <c r="AK4" s="573"/>
      <c r="AL4" s="574"/>
      <c r="AM4" s="572">
        <v>2005</v>
      </c>
      <c r="AN4" s="573"/>
      <c r="AO4" s="573"/>
      <c r="AP4" s="573"/>
      <c r="AQ4" s="573"/>
      <c r="AR4" s="573"/>
      <c r="AS4" s="573"/>
      <c r="AT4" s="573"/>
      <c r="AU4" s="573"/>
      <c r="AV4" s="573"/>
      <c r="AW4" s="573"/>
      <c r="AX4" s="574"/>
      <c r="AY4" s="572">
        <v>2006</v>
      </c>
      <c r="AZ4" s="573"/>
      <c r="BA4" s="573"/>
      <c r="BB4" s="573"/>
      <c r="BC4" s="573"/>
      <c r="BD4" s="573"/>
      <c r="BE4" s="573"/>
      <c r="BF4" s="573"/>
      <c r="BG4" s="573"/>
      <c r="BH4" s="573"/>
      <c r="BI4" s="573"/>
      <c r="BJ4" s="574"/>
      <c r="BK4" s="572">
        <v>2007</v>
      </c>
      <c r="BL4" s="573"/>
      <c r="BM4" s="573"/>
      <c r="BN4" s="573"/>
      <c r="BO4" s="573"/>
      <c r="BP4" s="573"/>
      <c r="BQ4" s="573"/>
      <c r="BR4" s="573"/>
      <c r="BS4" s="573"/>
      <c r="BT4" s="573"/>
      <c r="BU4" s="573"/>
      <c r="BV4" s="574"/>
      <c r="BW4" s="572">
        <v>2008</v>
      </c>
      <c r="BX4" s="573"/>
      <c r="BY4" s="573"/>
      <c r="BZ4" s="573"/>
      <c r="CA4" s="573"/>
      <c r="CB4" s="573"/>
      <c r="CC4" s="573"/>
      <c r="CD4" s="573"/>
      <c r="CE4" s="573"/>
      <c r="CF4" s="573"/>
      <c r="CG4" s="573"/>
      <c r="CH4" s="574"/>
      <c r="CI4" s="572">
        <v>2009</v>
      </c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4"/>
      <c r="CU4" s="577">
        <v>2010</v>
      </c>
      <c r="CV4" s="578"/>
      <c r="CW4" s="578"/>
      <c r="CX4" s="578"/>
      <c r="CY4" s="578"/>
      <c r="CZ4" s="578"/>
      <c r="DA4" s="578"/>
      <c r="DB4" s="578"/>
      <c r="DC4" s="578"/>
      <c r="DD4" s="578"/>
      <c r="DE4" s="578"/>
      <c r="DF4" s="574"/>
      <c r="DG4" s="572">
        <v>2011</v>
      </c>
      <c r="DH4" s="573"/>
      <c r="DI4" s="573"/>
      <c r="DJ4" s="573"/>
      <c r="DK4" s="573"/>
      <c r="DL4" s="573"/>
      <c r="DM4" s="573"/>
      <c r="DN4" s="573"/>
      <c r="DO4" s="573"/>
      <c r="DP4" s="573"/>
      <c r="DQ4" s="573"/>
      <c r="DR4" s="574"/>
      <c r="DS4" s="572">
        <v>2012</v>
      </c>
      <c r="DT4" s="573"/>
      <c r="DU4" s="573"/>
      <c r="DV4" s="573"/>
      <c r="DW4" s="573"/>
      <c r="DX4" s="573"/>
      <c r="DY4" s="573"/>
      <c r="DZ4" s="573"/>
      <c r="EA4" s="573"/>
      <c r="EB4" s="573"/>
      <c r="EC4" s="573"/>
      <c r="ED4" s="574"/>
      <c r="EE4" s="572">
        <v>2013</v>
      </c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4"/>
      <c r="EQ4" s="572">
        <v>2014</v>
      </c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4"/>
      <c r="FC4" s="572">
        <v>2015</v>
      </c>
      <c r="FD4" s="573"/>
      <c r="FE4" s="573"/>
      <c r="FF4" s="573"/>
      <c r="FG4" s="573"/>
      <c r="FH4" s="573"/>
      <c r="FI4" s="573"/>
      <c r="FJ4" s="573"/>
      <c r="FK4" s="573"/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2:182" s="221" customFormat="1" ht="13.8" thickBot="1" x14ac:dyDescent="0.3">
      <c r="B5" s="219"/>
      <c r="C5" s="220" t="s">
        <v>72</v>
      </c>
      <c r="D5" s="211" t="s">
        <v>73</v>
      </c>
      <c r="E5" s="211" t="s">
        <v>2</v>
      </c>
      <c r="F5" s="211" t="s">
        <v>3</v>
      </c>
      <c r="G5" s="211" t="s">
        <v>4</v>
      </c>
      <c r="H5" s="211" t="s">
        <v>5</v>
      </c>
      <c r="I5" s="211" t="s">
        <v>6</v>
      </c>
      <c r="J5" s="211" t="s">
        <v>7</v>
      </c>
      <c r="K5" s="211" t="s">
        <v>68</v>
      </c>
      <c r="L5" s="211" t="s">
        <v>69</v>
      </c>
      <c r="M5" s="211" t="s">
        <v>70</v>
      </c>
      <c r="N5" s="212" t="s">
        <v>71</v>
      </c>
      <c r="O5" s="220" t="s">
        <v>72</v>
      </c>
      <c r="P5" s="211" t="s">
        <v>73</v>
      </c>
      <c r="Q5" s="211" t="s">
        <v>2</v>
      </c>
      <c r="R5" s="211" t="s">
        <v>3</v>
      </c>
      <c r="S5" s="211" t="s">
        <v>4</v>
      </c>
      <c r="T5" s="211" t="s">
        <v>5</v>
      </c>
      <c r="U5" s="211" t="s">
        <v>6</v>
      </c>
      <c r="V5" s="211" t="s">
        <v>7</v>
      </c>
      <c r="W5" s="211" t="s">
        <v>68</v>
      </c>
      <c r="X5" s="211" t="s">
        <v>69</v>
      </c>
      <c r="Y5" s="211" t="s">
        <v>70</v>
      </c>
      <c r="Z5" s="212" t="s">
        <v>71</v>
      </c>
      <c r="AA5" s="220" t="s">
        <v>72</v>
      </c>
      <c r="AB5" s="211" t="s">
        <v>73</v>
      </c>
      <c r="AC5" s="211" t="s">
        <v>2</v>
      </c>
      <c r="AD5" s="211" t="s">
        <v>3</v>
      </c>
      <c r="AE5" s="211" t="s">
        <v>4</v>
      </c>
      <c r="AF5" s="211" t="s">
        <v>5</v>
      </c>
      <c r="AG5" s="211" t="s">
        <v>6</v>
      </c>
      <c r="AH5" s="211" t="s">
        <v>7</v>
      </c>
      <c r="AI5" s="211" t="s">
        <v>68</v>
      </c>
      <c r="AJ5" s="211" t="s">
        <v>69</v>
      </c>
      <c r="AK5" s="211" t="s">
        <v>70</v>
      </c>
      <c r="AL5" s="212" t="s">
        <v>71</v>
      </c>
      <c r="AM5" s="220" t="s">
        <v>72</v>
      </c>
      <c r="AN5" s="211" t="s">
        <v>73</v>
      </c>
      <c r="AO5" s="211" t="s">
        <v>2</v>
      </c>
      <c r="AP5" s="211" t="s">
        <v>3</v>
      </c>
      <c r="AQ5" s="211" t="s">
        <v>4</v>
      </c>
      <c r="AR5" s="211" t="s">
        <v>5</v>
      </c>
      <c r="AS5" s="211" t="s">
        <v>6</v>
      </c>
      <c r="AT5" s="211" t="s">
        <v>7</v>
      </c>
      <c r="AU5" s="211" t="s">
        <v>68</v>
      </c>
      <c r="AV5" s="211" t="s">
        <v>69</v>
      </c>
      <c r="AW5" s="211" t="s">
        <v>70</v>
      </c>
      <c r="AX5" s="212" t="s">
        <v>71</v>
      </c>
      <c r="AY5" s="220" t="s">
        <v>72</v>
      </c>
      <c r="AZ5" s="211" t="s">
        <v>73</v>
      </c>
      <c r="BA5" s="211" t="s">
        <v>2</v>
      </c>
      <c r="BB5" s="211" t="s">
        <v>3</v>
      </c>
      <c r="BC5" s="211" t="s">
        <v>4</v>
      </c>
      <c r="BD5" s="211" t="s">
        <v>5</v>
      </c>
      <c r="BE5" s="211" t="s">
        <v>6</v>
      </c>
      <c r="BF5" s="211" t="s">
        <v>7</v>
      </c>
      <c r="BG5" s="211" t="s">
        <v>68</v>
      </c>
      <c r="BH5" s="211" t="s">
        <v>69</v>
      </c>
      <c r="BI5" s="211" t="s">
        <v>70</v>
      </c>
      <c r="BJ5" s="212" t="s">
        <v>71</v>
      </c>
      <c r="BK5" s="220" t="s">
        <v>72</v>
      </c>
      <c r="BL5" s="211" t="s">
        <v>73</v>
      </c>
      <c r="BM5" s="211" t="s">
        <v>2</v>
      </c>
      <c r="BN5" s="211" t="s">
        <v>3</v>
      </c>
      <c r="BO5" s="211" t="s">
        <v>4</v>
      </c>
      <c r="BP5" s="211" t="s">
        <v>5</v>
      </c>
      <c r="BQ5" s="211" t="s">
        <v>6</v>
      </c>
      <c r="BR5" s="211" t="s">
        <v>7</v>
      </c>
      <c r="BS5" s="211" t="s">
        <v>68</v>
      </c>
      <c r="BT5" s="211" t="s">
        <v>69</v>
      </c>
      <c r="BU5" s="211" t="s">
        <v>70</v>
      </c>
      <c r="BV5" s="212" t="s">
        <v>71</v>
      </c>
      <c r="BW5" s="220" t="s">
        <v>72</v>
      </c>
      <c r="BX5" s="211" t="s">
        <v>73</v>
      </c>
      <c r="BY5" s="211" t="s">
        <v>2</v>
      </c>
      <c r="BZ5" s="211" t="s">
        <v>3</v>
      </c>
      <c r="CA5" s="211" t="s">
        <v>4</v>
      </c>
      <c r="CB5" s="211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2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304" t="s">
        <v>72</v>
      </c>
      <c r="DH5" s="304" t="s">
        <v>73</v>
      </c>
      <c r="DI5" s="304" t="s">
        <v>2</v>
      </c>
      <c r="DJ5" s="304" t="s">
        <v>3</v>
      </c>
      <c r="DK5" s="304" t="s">
        <v>4</v>
      </c>
      <c r="DL5" s="304" t="s">
        <v>5</v>
      </c>
      <c r="DM5" s="304" t="s">
        <v>6</v>
      </c>
      <c r="DN5" s="304" t="s">
        <v>7</v>
      </c>
      <c r="DO5" s="304" t="s">
        <v>68</v>
      </c>
      <c r="DP5" s="304" t="s">
        <v>69</v>
      </c>
      <c r="DQ5" s="304" t="s">
        <v>70</v>
      </c>
      <c r="DR5" s="304" t="s">
        <v>71</v>
      </c>
      <c r="DS5" s="304" t="s">
        <v>72</v>
      </c>
      <c r="DT5" s="304" t="s">
        <v>73</v>
      </c>
      <c r="DU5" s="304" t="s">
        <v>2</v>
      </c>
      <c r="DV5" s="304" t="s">
        <v>3</v>
      </c>
      <c r="DW5" s="304" t="s">
        <v>4</v>
      </c>
      <c r="DX5" s="304" t="s">
        <v>5</v>
      </c>
      <c r="DY5" s="304" t="s">
        <v>6</v>
      </c>
      <c r="DZ5" s="304" t="s">
        <v>7</v>
      </c>
      <c r="EA5" s="304" t="s">
        <v>68</v>
      </c>
      <c r="EB5" s="304" t="s">
        <v>69</v>
      </c>
      <c r="EC5" s="304" t="s">
        <v>70</v>
      </c>
      <c r="ED5" s="304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2:182" s="68" customFormat="1" x14ac:dyDescent="0.25">
      <c r="B6" s="222" t="s">
        <v>12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4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4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4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4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4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4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  <c r="DT6" s="297"/>
      <c r="DZ6" s="297"/>
      <c r="EE6" s="297"/>
    </row>
    <row r="7" spans="2:182" s="68" customFormat="1" x14ac:dyDescent="0.25">
      <c r="B7" s="87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8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8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8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8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8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8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  <c r="DT7" s="297"/>
      <c r="DZ7" s="297"/>
      <c r="EE7" s="297"/>
    </row>
    <row r="8" spans="2:182" s="68" customFormat="1" x14ac:dyDescent="0.25">
      <c r="B8" s="87" t="s">
        <v>1</v>
      </c>
      <c r="C8" s="71">
        <v>1948790</v>
      </c>
      <c r="D8" s="69">
        <v>1948790</v>
      </c>
      <c r="E8" s="69">
        <v>2284493</v>
      </c>
      <c r="F8" s="69">
        <v>2289730</v>
      </c>
      <c r="G8" s="69">
        <v>2268645</v>
      </c>
      <c r="H8" s="69">
        <v>2303681</v>
      </c>
      <c r="I8" s="69">
        <v>2285233</v>
      </c>
      <c r="J8" s="69">
        <v>2261967</v>
      </c>
      <c r="K8" s="69">
        <v>2258073</v>
      </c>
      <c r="L8" s="69">
        <v>2267179</v>
      </c>
      <c r="M8" s="69">
        <v>2260939</v>
      </c>
      <c r="N8" s="89">
        <v>2255644</v>
      </c>
      <c r="O8" s="71">
        <v>2257450</v>
      </c>
      <c r="P8" s="69">
        <v>2250480</v>
      </c>
      <c r="Q8" s="69">
        <v>2234292</v>
      </c>
      <c r="R8" s="69">
        <v>2214981</v>
      </c>
      <c r="S8" s="69">
        <v>2206419</v>
      </c>
      <c r="T8" s="69">
        <v>2187170</v>
      </c>
      <c r="U8" s="69">
        <v>2175973</v>
      </c>
      <c r="V8" s="69">
        <v>2165060</v>
      </c>
      <c r="W8" s="69">
        <v>2144898</v>
      </c>
      <c r="X8" s="69">
        <v>2127762</v>
      </c>
      <c r="Y8" s="69">
        <v>2118773</v>
      </c>
      <c r="Z8" s="89">
        <v>2113383</v>
      </c>
      <c r="AA8" s="71">
        <v>2116576</v>
      </c>
      <c r="AB8" s="69">
        <v>2114840</v>
      </c>
      <c r="AC8" s="69">
        <v>2113568</v>
      </c>
      <c r="AD8" s="69">
        <v>2112506</v>
      </c>
      <c r="AE8" s="69">
        <v>2107225</v>
      </c>
      <c r="AF8" s="69">
        <v>2101401</v>
      </c>
      <c r="AG8" s="69">
        <v>2090762</v>
      </c>
      <c r="AH8" s="69">
        <v>2076908</v>
      </c>
      <c r="AI8" s="69">
        <v>2058538</v>
      </c>
      <c r="AJ8" s="69">
        <v>2042747</v>
      </c>
      <c r="AK8" s="69">
        <v>2027210</v>
      </c>
      <c r="AL8" s="89">
        <v>2015832</v>
      </c>
      <c r="AM8" s="71">
        <v>2006271</v>
      </c>
      <c r="AN8" s="69">
        <v>1998264</v>
      </c>
      <c r="AO8" s="69">
        <v>1985627</v>
      </c>
      <c r="AP8" s="69">
        <v>1970553</v>
      </c>
      <c r="AQ8" s="69">
        <v>1950803</v>
      </c>
      <c r="AR8" s="69">
        <v>1923973</v>
      </c>
      <c r="AS8" s="69">
        <v>1902679</v>
      </c>
      <c r="AT8" s="69">
        <v>1881169</v>
      </c>
      <c r="AU8" s="69">
        <v>1860322</v>
      </c>
      <c r="AV8" s="69">
        <v>1844895</v>
      </c>
      <c r="AW8" s="69">
        <v>1830428</v>
      </c>
      <c r="AX8" s="89">
        <v>1822619</v>
      </c>
      <c r="AY8" s="71">
        <v>1815208</v>
      </c>
      <c r="AZ8" s="69">
        <v>1809662</v>
      </c>
      <c r="BA8" s="69">
        <v>1801834</v>
      </c>
      <c r="BB8" s="69">
        <v>1792211</v>
      </c>
      <c r="BC8" s="69">
        <v>1781467</v>
      </c>
      <c r="BD8" s="69">
        <v>1768043</v>
      </c>
      <c r="BE8" s="69">
        <v>1756263</v>
      </c>
      <c r="BF8" s="69">
        <v>1739987</v>
      </c>
      <c r="BG8" s="69">
        <v>1720981</v>
      </c>
      <c r="BH8" s="69">
        <v>1702831</v>
      </c>
      <c r="BI8" s="69">
        <v>1686520</v>
      </c>
      <c r="BJ8" s="89">
        <v>1675485</v>
      </c>
      <c r="BK8" s="71">
        <v>1668179</v>
      </c>
      <c r="BL8" s="69">
        <v>1660357</v>
      </c>
      <c r="BM8" s="69">
        <v>1646565</v>
      </c>
      <c r="BN8" s="69">
        <v>1630635</v>
      </c>
      <c r="BO8" s="69">
        <v>1617961</v>
      </c>
      <c r="BP8" s="69">
        <v>1610252</v>
      </c>
      <c r="BQ8" s="69">
        <v>1605805</v>
      </c>
      <c r="BR8" s="69">
        <v>1601643</v>
      </c>
      <c r="BS8" s="69">
        <v>1598981</v>
      </c>
      <c r="BT8" s="69">
        <v>1596915</v>
      </c>
      <c r="BU8" s="69">
        <v>1595047</v>
      </c>
      <c r="BV8" s="89">
        <v>1593092</v>
      </c>
      <c r="BW8" s="71">
        <v>1593195</v>
      </c>
      <c r="BX8" s="69">
        <v>1589354</v>
      </c>
      <c r="BY8" s="69">
        <v>1586971</v>
      </c>
      <c r="BZ8" s="69">
        <v>1581724</v>
      </c>
      <c r="CA8" s="69">
        <v>1581157</v>
      </c>
      <c r="CB8" s="69">
        <v>1581094</v>
      </c>
      <c r="CC8" s="69">
        <v>1579104</v>
      </c>
      <c r="CD8" s="69">
        <v>1581675</v>
      </c>
      <c r="CE8" s="69">
        <v>1583868</v>
      </c>
      <c r="CF8" s="69">
        <v>1584367</v>
      </c>
      <c r="CG8" s="69">
        <v>1585266</v>
      </c>
      <c r="CH8" s="89">
        <v>1587417</v>
      </c>
      <c r="CI8" s="71">
        <v>1585913</v>
      </c>
      <c r="CJ8" s="69">
        <v>1586839</v>
      </c>
      <c r="CK8" s="69">
        <v>1590152</v>
      </c>
      <c r="CL8" s="69">
        <v>1589694</v>
      </c>
      <c r="CM8" s="69">
        <v>1585879</v>
      </c>
      <c r="CN8" s="69">
        <v>1580690</v>
      </c>
      <c r="CO8" s="69">
        <v>1573118</v>
      </c>
      <c r="CP8" s="69">
        <v>1563403</v>
      </c>
      <c r="CQ8" s="69">
        <v>1549154</v>
      </c>
      <c r="CR8" s="69">
        <v>1539878</v>
      </c>
      <c r="CS8" s="69">
        <v>1532696</v>
      </c>
      <c r="CT8" s="89">
        <v>1525725</v>
      </c>
      <c r="CU8" s="69">
        <v>1520976</v>
      </c>
      <c r="CV8" s="69">
        <v>1512575</v>
      </c>
      <c r="CW8" s="69">
        <v>1503827</v>
      </c>
      <c r="CX8" s="69">
        <v>1496385</v>
      </c>
      <c r="CY8" s="69">
        <v>1489552</v>
      </c>
      <c r="CZ8" s="69">
        <v>1481432</v>
      </c>
      <c r="DA8" s="69">
        <v>1472397</v>
      </c>
      <c r="DB8" s="69">
        <v>1461285</v>
      </c>
      <c r="DC8" s="69">
        <v>1448021</v>
      </c>
      <c r="DD8" s="69">
        <v>1434459</v>
      </c>
      <c r="DE8" s="69">
        <v>1424882</v>
      </c>
      <c r="DF8" s="89">
        <v>1415689</v>
      </c>
      <c r="DG8" s="68">
        <v>1406262</v>
      </c>
      <c r="DH8" s="68">
        <v>1395906</v>
      </c>
      <c r="DI8" s="68">
        <v>1384383</v>
      </c>
      <c r="DJ8" s="68">
        <v>1373444</v>
      </c>
      <c r="DK8" s="68">
        <v>1364248</v>
      </c>
      <c r="DL8" s="68">
        <v>1354778</v>
      </c>
      <c r="DM8" s="68">
        <v>1342744</v>
      </c>
      <c r="DN8" s="68">
        <v>1328922</v>
      </c>
      <c r="DO8" s="68">
        <v>1316384</v>
      </c>
      <c r="DP8" s="68">
        <v>1304988</v>
      </c>
      <c r="DQ8" s="68">
        <v>1297375</v>
      </c>
      <c r="DR8" s="68">
        <v>1290879</v>
      </c>
      <c r="DS8" s="68">
        <v>1283915</v>
      </c>
      <c r="DT8" s="297">
        <v>1277014</v>
      </c>
      <c r="DU8" s="68">
        <v>1270312</v>
      </c>
      <c r="DV8" s="351">
        <v>1261255</v>
      </c>
      <c r="DW8" s="351">
        <v>1256269</v>
      </c>
      <c r="DX8" s="351">
        <v>1250102</v>
      </c>
      <c r="DY8" s="68">
        <v>1244021</v>
      </c>
      <c r="DZ8" s="297">
        <v>1237492</v>
      </c>
      <c r="EA8" s="68">
        <v>1231318</v>
      </c>
      <c r="EB8" s="68">
        <v>1226235</v>
      </c>
      <c r="EC8" s="68">
        <v>1221621</v>
      </c>
      <c r="ED8" s="68">
        <v>1218569</v>
      </c>
      <c r="EE8" s="297">
        <v>1214643</v>
      </c>
      <c r="EF8" s="68">
        <v>1209902</v>
      </c>
      <c r="EG8" s="68">
        <v>1204186</v>
      </c>
      <c r="EH8" s="68">
        <v>1198150</v>
      </c>
      <c r="EI8" s="68">
        <v>1194051</v>
      </c>
      <c r="EJ8" s="68">
        <v>1190015</v>
      </c>
      <c r="EK8" s="68">
        <v>1184056</v>
      </c>
      <c r="EL8" s="68">
        <v>1179986</v>
      </c>
      <c r="EM8" s="68">
        <v>1176292</v>
      </c>
      <c r="EN8" s="68">
        <v>1171738</v>
      </c>
      <c r="EO8" s="68">
        <v>1167735</v>
      </c>
      <c r="EP8" s="68">
        <v>1166181</v>
      </c>
      <c r="EQ8" s="68">
        <v>1164328</v>
      </c>
      <c r="ER8" s="68">
        <v>1158989</v>
      </c>
      <c r="ES8" s="68">
        <v>1153570</v>
      </c>
      <c r="ET8" s="68">
        <v>1149980</v>
      </c>
      <c r="EU8" s="68">
        <v>1147065</v>
      </c>
      <c r="EV8" s="68">
        <v>1143297</v>
      </c>
      <c r="EW8" s="68">
        <v>1138283</v>
      </c>
      <c r="EX8" s="68">
        <v>1132278</v>
      </c>
      <c r="EY8" s="68">
        <v>1127689</v>
      </c>
      <c r="EZ8" s="68">
        <v>1124096</v>
      </c>
      <c r="FA8" s="68">
        <v>1121316</v>
      </c>
      <c r="FB8" s="68">
        <v>1118835</v>
      </c>
      <c r="FC8" s="68">
        <v>1117889</v>
      </c>
      <c r="FD8" s="68">
        <v>1116274</v>
      </c>
      <c r="FE8" s="68">
        <v>1114027</v>
      </c>
      <c r="FF8" s="68">
        <v>1109848</v>
      </c>
      <c r="FG8" s="68">
        <v>1106380</v>
      </c>
      <c r="FH8" s="68">
        <v>1103276</v>
      </c>
      <c r="FI8" s="68">
        <v>1099754</v>
      </c>
      <c r="FJ8" s="68">
        <v>1096622</v>
      </c>
      <c r="FK8" s="68">
        <v>1092845</v>
      </c>
      <c r="FL8" s="68">
        <v>1088552</v>
      </c>
      <c r="FM8" s="68">
        <v>1085422</v>
      </c>
      <c r="FN8" s="68">
        <v>1083094</v>
      </c>
      <c r="FO8" s="68">
        <v>1080572</v>
      </c>
      <c r="FP8" s="68">
        <v>1077441</v>
      </c>
      <c r="FQ8" s="68">
        <v>1074351</v>
      </c>
      <c r="FR8" s="68">
        <v>1071281</v>
      </c>
      <c r="FS8" s="68">
        <v>1069198</v>
      </c>
      <c r="FT8" s="68">
        <v>1066729</v>
      </c>
    </row>
    <row r="9" spans="2:182" s="68" customFormat="1" ht="13.8" thickBot="1" x14ac:dyDescent="0.3">
      <c r="B9" s="90" t="s">
        <v>8</v>
      </c>
      <c r="C9" s="72">
        <v>37211</v>
      </c>
      <c r="D9" s="92">
        <v>46099</v>
      </c>
      <c r="E9" s="92">
        <v>50137</v>
      </c>
      <c r="F9" s="92">
        <v>52660</v>
      </c>
      <c r="G9" s="92">
        <v>64636</v>
      </c>
      <c r="H9" s="92">
        <v>80778</v>
      </c>
      <c r="I9" s="92">
        <v>65117</v>
      </c>
      <c r="J9" s="92">
        <v>140535</v>
      </c>
      <c r="K9" s="92">
        <v>146814</v>
      </c>
      <c r="L9" s="92">
        <v>152383</v>
      </c>
      <c r="M9" s="92">
        <v>160174</v>
      </c>
      <c r="N9" s="93">
        <v>169885</v>
      </c>
      <c r="O9" s="72">
        <v>168843</v>
      </c>
      <c r="P9" s="92">
        <v>178248</v>
      </c>
      <c r="Q9" s="92">
        <v>193826</v>
      </c>
      <c r="R9" s="92">
        <v>209371</v>
      </c>
      <c r="S9" s="92">
        <v>221366</v>
      </c>
      <c r="T9" s="92">
        <v>237454</v>
      </c>
      <c r="U9" s="92">
        <v>251290</v>
      </c>
      <c r="V9" s="92">
        <v>267181</v>
      </c>
      <c r="W9" s="92">
        <v>289871</v>
      </c>
      <c r="X9" s="92">
        <v>309011</v>
      </c>
      <c r="Y9" s="92">
        <v>320784</v>
      </c>
      <c r="Z9" s="93">
        <v>332118</v>
      </c>
      <c r="AA9" s="72">
        <v>334148</v>
      </c>
      <c r="AB9" s="92">
        <v>338671</v>
      </c>
      <c r="AC9" s="92">
        <v>343023</v>
      </c>
      <c r="AD9" s="92">
        <v>348687</v>
      </c>
      <c r="AE9" s="92">
        <v>355546</v>
      </c>
      <c r="AF9" s="92">
        <v>365081</v>
      </c>
      <c r="AG9" s="92">
        <v>378515</v>
      </c>
      <c r="AH9" s="92">
        <v>396924</v>
      </c>
      <c r="AI9" s="92">
        <v>416488</v>
      </c>
      <c r="AJ9" s="92">
        <v>435415</v>
      </c>
      <c r="AK9" s="92">
        <v>454206</v>
      </c>
      <c r="AL9" s="93">
        <v>467926</v>
      </c>
      <c r="AM9" s="72">
        <v>481159</v>
      </c>
      <c r="AN9" s="92">
        <v>494563</v>
      </c>
      <c r="AO9" s="92">
        <v>512730</v>
      </c>
      <c r="AP9" s="92">
        <v>531643</v>
      </c>
      <c r="AQ9" s="92">
        <v>556444</v>
      </c>
      <c r="AR9" s="92">
        <v>587729</v>
      </c>
      <c r="AS9" s="92">
        <v>613654</v>
      </c>
      <c r="AT9" s="92">
        <v>637797</v>
      </c>
      <c r="AU9" s="92">
        <v>663514</v>
      </c>
      <c r="AV9" s="92">
        <v>680442</v>
      </c>
      <c r="AW9" s="92">
        <v>695410</v>
      </c>
      <c r="AX9" s="93">
        <v>705578</v>
      </c>
      <c r="AY9" s="72">
        <v>714643</v>
      </c>
      <c r="AZ9" s="92">
        <v>726393</v>
      </c>
      <c r="BA9" s="92">
        <v>738250</v>
      </c>
      <c r="BB9" s="92">
        <v>751821</v>
      </c>
      <c r="BC9" s="92">
        <v>766635</v>
      </c>
      <c r="BD9" s="92">
        <v>783944</v>
      </c>
      <c r="BE9" s="92">
        <v>800220</v>
      </c>
      <c r="BF9" s="92">
        <v>821571</v>
      </c>
      <c r="BG9" s="92">
        <v>844256</v>
      </c>
      <c r="BH9" s="92">
        <v>861009</v>
      </c>
      <c r="BI9" s="92">
        <v>879093</v>
      </c>
      <c r="BJ9" s="93">
        <v>896087</v>
      </c>
      <c r="BK9" s="72">
        <v>907611</v>
      </c>
      <c r="BL9" s="92">
        <v>920846</v>
      </c>
      <c r="BM9" s="92">
        <v>935974</v>
      </c>
      <c r="BN9" s="92">
        <v>955011</v>
      </c>
      <c r="BO9" s="92">
        <v>970281</v>
      </c>
      <c r="BP9" s="92">
        <v>982242</v>
      </c>
      <c r="BQ9" s="92">
        <v>992478</v>
      </c>
      <c r="BR9" s="92">
        <v>1000979</v>
      </c>
      <c r="BS9" s="92">
        <v>1007290</v>
      </c>
      <c r="BT9" s="92">
        <v>1011049</v>
      </c>
      <c r="BU9" s="92">
        <v>1015974</v>
      </c>
      <c r="BV9" s="93">
        <v>1020357</v>
      </c>
      <c r="BW9" s="72">
        <v>1023687</v>
      </c>
      <c r="BX9" s="92">
        <v>1029490</v>
      </c>
      <c r="BY9" s="92">
        <v>1035458</v>
      </c>
      <c r="BZ9" s="92">
        <v>1041326</v>
      </c>
      <c r="CA9" s="92">
        <v>1079173</v>
      </c>
      <c r="CB9" s="92">
        <v>1047195</v>
      </c>
      <c r="CC9" s="92">
        <v>1054733</v>
      </c>
      <c r="CD9" s="92">
        <v>1056005</v>
      </c>
      <c r="CE9" s="92">
        <v>1053602</v>
      </c>
      <c r="CF9" s="92">
        <v>1055612</v>
      </c>
      <c r="CG9" s="92">
        <v>1057367</v>
      </c>
      <c r="CH9" s="93">
        <v>1059010</v>
      </c>
      <c r="CI9" s="72">
        <v>1060240</v>
      </c>
      <c r="CJ9" s="92">
        <v>1061880</v>
      </c>
      <c r="CK9" s="92">
        <v>1063135</v>
      </c>
      <c r="CL9" s="92">
        <v>1066087</v>
      </c>
      <c r="CM9" s="92">
        <v>1071684</v>
      </c>
      <c r="CN9" s="92">
        <v>1080230</v>
      </c>
      <c r="CO9" s="92">
        <v>1091271</v>
      </c>
      <c r="CP9" s="92">
        <v>1103253</v>
      </c>
      <c r="CQ9" s="92">
        <v>1116738</v>
      </c>
      <c r="CR9" s="92">
        <v>1125694</v>
      </c>
      <c r="CS9" s="92">
        <v>1134667</v>
      </c>
      <c r="CT9" s="93">
        <v>1144950</v>
      </c>
      <c r="CU9" s="91">
        <v>1152693</v>
      </c>
      <c r="CV9" s="92">
        <v>1166328</v>
      </c>
      <c r="CW9" s="92">
        <v>1176959</v>
      </c>
      <c r="CX9" s="92">
        <v>1184597</v>
      </c>
      <c r="CY9" s="92">
        <v>1193798</v>
      </c>
      <c r="CZ9" s="92">
        <v>1204501</v>
      </c>
      <c r="DA9" s="92">
        <v>1216648</v>
      </c>
      <c r="DB9" s="92">
        <v>1232087</v>
      </c>
      <c r="DC9" s="92">
        <v>1245118</v>
      </c>
      <c r="DD9" s="92">
        <v>1258186</v>
      </c>
      <c r="DE9" s="92">
        <v>1270104</v>
      </c>
      <c r="DF9" s="93">
        <v>1281328</v>
      </c>
      <c r="DG9" s="68">
        <v>1293710</v>
      </c>
      <c r="DH9" s="68">
        <v>1307711</v>
      </c>
      <c r="DI9" s="68">
        <v>1321941</v>
      </c>
      <c r="DJ9" s="92">
        <v>1335007</v>
      </c>
      <c r="DK9" s="92">
        <v>1345181</v>
      </c>
      <c r="DL9" s="92">
        <v>1356071</v>
      </c>
      <c r="DM9" s="92">
        <v>1371321</v>
      </c>
      <c r="DN9" s="92">
        <v>1389477</v>
      </c>
      <c r="DO9" s="92">
        <v>1400549</v>
      </c>
      <c r="DP9" s="92">
        <v>1412171</v>
      </c>
      <c r="DQ9" s="92">
        <v>1423443</v>
      </c>
      <c r="DR9" s="92">
        <v>1433186</v>
      </c>
      <c r="DS9" s="92">
        <v>1442255</v>
      </c>
      <c r="DT9" s="276">
        <v>1453156</v>
      </c>
      <c r="DU9" s="92">
        <v>1463750</v>
      </c>
      <c r="DV9" s="352">
        <v>1474673</v>
      </c>
      <c r="DW9" s="352">
        <v>1482824</v>
      </c>
      <c r="DX9" s="352">
        <v>1491630</v>
      </c>
      <c r="DY9" s="92">
        <v>1499126</v>
      </c>
      <c r="DZ9" s="276">
        <v>1507378</v>
      </c>
      <c r="EA9" s="92">
        <v>1515605</v>
      </c>
      <c r="EB9" s="92">
        <v>1523098</v>
      </c>
      <c r="EC9" s="92">
        <v>1530899</v>
      </c>
      <c r="ED9" s="92">
        <v>1536426</v>
      </c>
      <c r="EE9" s="276">
        <v>1542102</v>
      </c>
      <c r="EF9" s="92">
        <v>1551094</v>
      </c>
      <c r="EG9" s="92">
        <v>1560662</v>
      </c>
      <c r="EH9" s="92">
        <v>1570166</v>
      </c>
      <c r="EI9" s="92">
        <v>1577641</v>
      </c>
      <c r="EJ9" s="92">
        <v>1584717</v>
      </c>
      <c r="EK9" s="92">
        <v>1593288</v>
      </c>
      <c r="EL9" s="92">
        <v>1601728</v>
      </c>
      <c r="EM9" s="92">
        <v>1606918</v>
      </c>
      <c r="EN9" s="92">
        <v>1613889</v>
      </c>
      <c r="EO9" s="92">
        <v>1621191</v>
      </c>
      <c r="EP9" s="92">
        <v>1625104</v>
      </c>
      <c r="EQ9" s="92">
        <v>1629957</v>
      </c>
      <c r="ER9" s="92">
        <v>1639211</v>
      </c>
      <c r="ES9" s="92">
        <v>1647798</v>
      </c>
      <c r="ET9" s="92">
        <v>1655520</v>
      </c>
      <c r="EU9" s="92">
        <v>1662096</v>
      </c>
      <c r="EV9" s="92">
        <v>1668883</v>
      </c>
      <c r="EW9" s="92">
        <v>1677613</v>
      </c>
      <c r="EX9" s="92">
        <v>1687229</v>
      </c>
      <c r="EY9" s="92">
        <v>1694581</v>
      </c>
      <c r="EZ9" s="92">
        <v>1701316</v>
      </c>
      <c r="FA9" s="92">
        <v>1707819</v>
      </c>
      <c r="FB9" s="92">
        <v>1713588</v>
      </c>
      <c r="FC9" s="92">
        <v>1718105</v>
      </c>
      <c r="FD9" s="92">
        <v>1724716</v>
      </c>
      <c r="FE9" s="92">
        <v>1730307</v>
      </c>
      <c r="FF9" s="92">
        <v>1738065</v>
      </c>
      <c r="FG9" s="92">
        <v>1744731</v>
      </c>
      <c r="FH9" s="92">
        <v>1751622</v>
      </c>
      <c r="FI9" s="92">
        <v>1758658</v>
      </c>
      <c r="FJ9" s="92">
        <v>1765996</v>
      </c>
      <c r="FK9" s="92">
        <v>1772141</v>
      </c>
      <c r="FL9" s="92">
        <v>1780095</v>
      </c>
      <c r="FM9" s="92">
        <v>1786165</v>
      </c>
      <c r="FN9" s="92">
        <v>1792370</v>
      </c>
      <c r="FO9" s="92">
        <v>1797825</v>
      </c>
      <c r="FP9" s="92">
        <v>1805585</v>
      </c>
      <c r="FQ9" s="92">
        <v>1813916</v>
      </c>
      <c r="FR9" s="92">
        <v>1821220</v>
      </c>
      <c r="FS9" s="92">
        <v>1827296</v>
      </c>
      <c r="FT9" s="92">
        <v>1833474</v>
      </c>
    </row>
    <row r="10" spans="2:182" s="221" customFormat="1" ht="13.8" thickTop="1" x14ac:dyDescent="0.25">
      <c r="B10" s="87" t="s">
        <v>9</v>
      </c>
      <c r="C10" s="106">
        <f t="shared" ref="C10:H10" si="0">SUM(C8:C9)</f>
        <v>1986001</v>
      </c>
      <c r="D10" s="94">
        <f t="shared" si="0"/>
        <v>1994889</v>
      </c>
      <c r="E10" s="94">
        <f t="shared" si="0"/>
        <v>2334630</v>
      </c>
      <c r="F10" s="94">
        <f t="shared" si="0"/>
        <v>2342390</v>
      </c>
      <c r="G10" s="94">
        <f t="shared" si="0"/>
        <v>2333281</v>
      </c>
      <c r="H10" s="94">
        <f t="shared" si="0"/>
        <v>2384459</v>
      </c>
      <c r="I10" s="94">
        <f t="shared" ref="I10:Q10" si="1">SUM(I8:I9)</f>
        <v>2350350</v>
      </c>
      <c r="J10" s="94">
        <f t="shared" si="1"/>
        <v>2402502</v>
      </c>
      <c r="K10" s="94">
        <f t="shared" si="1"/>
        <v>2404887</v>
      </c>
      <c r="L10" s="94">
        <f t="shared" si="1"/>
        <v>2419562</v>
      </c>
      <c r="M10" s="94">
        <f t="shared" si="1"/>
        <v>2421113</v>
      </c>
      <c r="N10" s="96">
        <f t="shared" si="1"/>
        <v>2425529</v>
      </c>
      <c r="O10" s="106">
        <f t="shared" si="1"/>
        <v>2426293</v>
      </c>
      <c r="P10" s="94">
        <f t="shared" si="1"/>
        <v>2428728</v>
      </c>
      <c r="Q10" s="94">
        <f t="shared" si="1"/>
        <v>2428118</v>
      </c>
      <c r="R10" s="94">
        <f t="shared" ref="R10:W10" si="2">SUM(R8:R9)</f>
        <v>2424352</v>
      </c>
      <c r="S10" s="94">
        <f t="shared" si="2"/>
        <v>2427785</v>
      </c>
      <c r="T10" s="94">
        <f t="shared" si="2"/>
        <v>2424624</v>
      </c>
      <c r="U10" s="94">
        <f t="shared" si="2"/>
        <v>2427263</v>
      </c>
      <c r="V10" s="94">
        <f t="shared" si="2"/>
        <v>2432241</v>
      </c>
      <c r="W10" s="94">
        <f t="shared" si="2"/>
        <v>2434769</v>
      </c>
      <c r="X10" s="94">
        <f t="shared" ref="X10:AC10" si="3">SUM(X8:X9)</f>
        <v>2436773</v>
      </c>
      <c r="Y10" s="94">
        <f t="shared" si="3"/>
        <v>2439557</v>
      </c>
      <c r="Z10" s="96">
        <f t="shared" si="3"/>
        <v>2445501</v>
      </c>
      <c r="AA10" s="106">
        <f t="shared" si="3"/>
        <v>2450724</v>
      </c>
      <c r="AB10" s="94">
        <f t="shared" si="3"/>
        <v>2453511</v>
      </c>
      <c r="AC10" s="94">
        <f t="shared" si="3"/>
        <v>2456591</v>
      </c>
      <c r="AD10" s="94">
        <f t="shared" ref="AD10:AI10" si="4">SUM(AD8:AD9)</f>
        <v>2461193</v>
      </c>
      <c r="AE10" s="94">
        <f t="shared" si="4"/>
        <v>2462771</v>
      </c>
      <c r="AF10" s="94">
        <f t="shared" si="4"/>
        <v>2466482</v>
      </c>
      <c r="AG10" s="94">
        <f t="shared" si="4"/>
        <v>2469277</v>
      </c>
      <c r="AH10" s="94">
        <f t="shared" si="4"/>
        <v>2473832</v>
      </c>
      <c r="AI10" s="94">
        <f t="shared" si="4"/>
        <v>2475026</v>
      </c>
      <c r="AJ10" s="94">
        <f t="shared" ref="AJ10:AP10" si="5">SUM(AJ8:AJ9)</f>
        <v>2478162</v>
      </c>
      <c r="AK10" s="94">
        <f t="shared" si="5"/>
        <v>2481416</v>
      </c>
      <c r="AL10" s="96">
        <f t="shared" si="5"/>
        <v>2483758</v>
      </c>
      <c r="AM10" s="106">
        <f t="shared" si="5"/>
        <v>2487430</v>
      </c>
      <c r="AN10" s="94">
        <f t="shared" si="5"/>
        <v>2492827</v>
      </c>
      <c r="AO10" s="94">
        <f t="shared" si="5"/>
        <v>2498357</v>
      </c>
      <c r="AP10" s="94">
        <f t="shared" si="5"/>
        <v>2502196</v>
      </c>
      <c r="AQ10" s="94">
        <f t="shared" ref="AQ10:AX10" si="6">SUM(AQ8:AQ9)</f>
        <v>2507247</v>
      </c>
      <c r="AR10" s="94">
        <f t="shared" si="6"/>
        <v>2511702</v>
      </c>
      <c r="AS10" s="94">
        <f t="shared" si="6"/>
        <v>2516333</v>
      </c>
      <c r="AT10" s="94">
        <f t="shared" si="6"/>
        <v>2518966</v>
      </c>
      <c r="AU10" s="94">
        <f t="shared" si="6"/>
        <v>2523836</v>
      </c>
      <c r="AV10" s="94">
        <f t="shared" si="6"/>
        <v>2525337</v>
      </c>
      <c r="AW10" s="94">
        <f t="shared" si="6"/>
        <v>2525838</v>
      </c>
      <c r="AX10" s="96">
        <f t="shared" si="6"/>
        <v>2528197</v>
      </c>
      <c r="AY10" s="106">
        <f t="shared" ref="AY10:BJ10" si="7">SUM(AY8:AY9)</f>
        <v>2529851</v>
      </c>
      <c r="AZ10" s="94">
        <f t="shared" si="7"/>
        <v>2536055</v>
      </c>
      <c r="BA10" s="94">
        <f t="shared" si="7"/>
        <v>2540084</v>
      </c>
      <c r="BB10" s="94">
        <f t="shared" si="7"/>
        <v>2544032</v>
      </c>
      <c r="BC10" s="94">
        <f t="shared" si="7"/>
        <v>2548102</v>
      </c>
      <c r="BD10" s="94">
        <f t="shared" si="7"/>
        <v>2551987</v>
      </c>
      <c r="BE10" s="94">
        <f t="shared" si="7"/>
        <v>2556483</v>
      </c>
      <c r="BF10" s="94">
        <f t="shared" si="7"/>
        <v>2561558</v>
      </c>
      <c r="BG10" s="94">
        <f t="shared" si="7"/>
        <v>2565237</v>
      </c>
      <c r="BH10" s="94">
        <f t="shared" si="7"/>
        <v>2563840</v>
      </c>
      <c r="BI10" s="94">
        <f t="shared" si="7"/>
        <v>2565613</v>
      </c>
      <c r="BJ10" s="96">
        <f t="shared" si="7"/>
        <v>2571572</v>
      </c>
      <c r="BK10" s="106">
        <f t="shared" ref="BK10:BP10" si="8">SUM(BK8:BK9)</f>
        <v>2575790</v>
      </c>
      <c r="BL10" s="94">
        <f t="shared" si="8"/>
        <v>2581203</v>
      </c>
      <c r="BM10" s="94">
        <f t="shared" si="8"/>
        <v>2582539</v>
      </c>
      <c r="BN10" s="94">
        <f t="shared" si="8"/>
        <v>2585646</v>
      </c>
      <c r="BO10" s="94">
        <f t="shared" si="8"/>
        <v>2588242</v>
      </c>
      <c r="BP10" s="94">
        <f t="shared" si="8"/>
        <v>2592494</v>
      </c>
      <c r="BQ10" s="94">
        <f t="shared" ref="BQ10:CB10" si="9">SUM(BQ8:BQ9)</f>
        <v>2598283</v>
      </c>
      <c r="BR10" s="94">
        <f t="shared" si="9"/>
        <v>2602622</v>
      </c>
      <c r="BS10" s="94">
        <f t="shared" si="9"/>
        <v>2606271</v>
      </c>
      <c r="BT10" s="94">
        <f t="shared" si="9"/>
        <v>2607964</v>
      </c>
      <c r="BU10" s="94">
        <f t="shared" si="9"/>
        <v>2611021</v>
      </c>
      <c r="BV10" s="96">
        <f t="shared" si="9"/>
        <v>2613449</v>
      </c>
      <c r="BW10" s="106">
        <f t="shared" si="9"/>
        <v>2616882</v>
      </c>
      <c r="BX10" s="94">
        <f t="shared" si="9"/>
        <v>2618844</v>
      </c>
      <c r="BY10" s="94">
        <f t="shared" si="9"/>
        <v>2622429</v>
      </c>
      <c r="BZ10" s="94">
        <f t="shared" si="9"/>
        <v>2623050</v>
      </c>
      <c r="CA10" s="94">
        <f t="shared" si="9"/>
        <v>2660330</v>
      </c>
      <c r="CB10" s="94">
        <f t="shared" si="9"/>
        <v>2628289</v>
      </c>
      <c r="CC10" s="94">
        <f t="shared" ref="CC10:CK10" si="10">SUM(CC8:CC9)</f>
        <v>2633837</v>
      </c>
      <c r="CD10" s="94">
        <f t="shared" si="10"/>
        <v>2637680</v>
      </c>
      <c r="CE10" s="94">
        <f t="shared" si="10"/>
        <v>2637470</v>
      </c>
      <c r="CF10" s="94">
        <f t="shared" si="10"/>
        <v>2639979</v>
      </c>
      <c r="CG10" s="94">
        <f t="shared" si="10"/>
        <v>2642633</v>
      </c>
      <c r="CH10" s="96">
        <f t="shared" si="10"/>
        <v>2646427</v>
      </c>
      <c r="CI10" s="106">
        <f t="shared" si="10"/>
        <v>2646153</v>
      </c>
      <c r="CJ10" s="94">
        <f t="shared" si="10"/>
        <v>2648719</v>
      </c>
      <c r="CK10" s="94">
        <f t="shared" si="10"/>
        <v>2653287</v>
      </c>
      <c r="CL10" s="94">
        <f t="shared" ref="CL10:CT10" si="11">SUM(CL8:CL9)</f>
        <v>2655781</v>
      </c>
      <c r="CM10" s="94">
        <f t="shared" si="11"/>
        <v>2657563</v>
      </c>
      <c r="CN10" s="94">
        <f t="shared" si="11"/>
        <v>2660920</v>
      </c>
      <c r="CO10" s="94">
        <f t="shared" si="11"/>
        <v>2664389</v>
      </c>
      <c r="CP10" s="94">
        <f t="shared" si="11"/>
        <v>2666656</v>
      </c>
      <c r="CQ10" s="94">
        <f t="shared" si="11"/>
        <v>2665892</v>
      </c>
      <c r="CR10" s="94">
        <f t="shared" si="11"/>
        <v>2665572</v>
      </c>
      <c r="CS10" s="94">
        <f t="shared" si="11"/>
        <v>2667363</v>
      </c>
      <c r="CT10" s="107">
        <f t="shared" si="11"/>
        <v>2670675</v>
      </c>
      <c r="CU10" s="95">
        <f>SUM(CU8:CU9)</f>
        <v>2673669</v>
      </c>
      <c r="CV10" s="95">
        <f>SUM(CV8:CV9)</f>
        <v>2678903</v>
      </c>
      <c r="CW10" s="95">
        <f>SUM(CW8:CW9)</f>
        <v>2680786</v>
      </c>
      <c r="CX10" s="95">
        <f t="shared" ref="CX10:DC10" si="12">SUM(CX8:CX9)</f>
        <v>2680982</v>
      </c>
      <c r="CY10" s="95">
        <f t="shared" si="12"/>
        <v>2683350</v>
      </c>
      <c r="CZ10" s="95">
        <f t="shared" si="12"/>
        <v>2685933</v>
      </c>
      <c r="DA10" s="95">
        <f t="shared" si="12"/>
        <v>2689045</v>
      </c>
      <c r="DB10" s="95">
        <f t="shared" si="12"/>
        <v>2693372</v>
      </c>
      <c r="DC10" s="95">
        <f t="shared" si="12"/>
        <v>2693139</v>
      </c>
      <c r="DD10" s="95">
        <f t="shared" ref="DD10:DL10" si="13">SUM(DD8:DD9)</f>
        <v>2692645</v>
      </c>
      <c r="DE10" s="95">
        <f t="shared" si="13"/>
        <v>2694986</v>
      </c>
      <c r="DF10" s="107">
        <f t="shared" si="13"/>
        <v>2697017</v>
      </c>
      <c r="DG10" s="95">
        <f t="shared" si="13"/>
        <v>2699972</v>
      </c>
      <c r="DH10" s="95">
        <f t="shared" si="13"/>
        <v>2703617</v>
      </c>
      <c r="DI10" s="95">
        <f t="shared" si="13"/>
        <v>2706324</v>
      </c>
      <c r="DJ10" s="221">
        <f t="shared" si="13"/>
        <v>2708451</v>
      </c>
      <c r="DK10" s="221">
        <f t="shared" si="13"/>
        <v>2709429</v>
      </c>
      <c r="DL10" s="221">
        <f t="shared" si="13"/>
        <v>2710849</v>
      </c>
      <c r="DM10" s="221">
        <f t="shared" ref="DM10:DU10" si="14">SUM(DM8:DM9)</f>
        <v>2714065</v>
      </c>
      <c r="DN10" s="221">
        <f t="shared" si="14"/>
        <v>2718399</v>
      </c>
      <c r="DO10" s="221">
        <f t="shared" si="14"/>
        <v>2716933</v>
      </c>
      <c r="DP10" s="221">
        <f t="shared" si="14"/>
        <v>2717159</v>
      </c>
      <c r="DQ10" s="221">
        <f t="shared" si="14"/>
        <v>2720818</v>
      </c>
      <c r="DR10" s="221">
        <f t="shared" si="14"/>
        <v>2724065</v>
      </c>
      <c r="DS10" s="221">
        <f t="shared" si="14"/>
        <v>2726170</v>
      </c>
      <c r="DT10" s="221">
        <f t="shared" si="14"/>
        <v>2730170</v>
      </c>
      <c r="DU10" s="221">
        <f t="shared" si="14"/>
        <v>2734062</v>
      </c>
      <c r="DV10" s="353">
        <f t="shared" ref="DV10:FT10" si="15">SUM(DV8:DV9)</f>
        <v>2735928</v>
      </c>
      <c r="DW10" s="353">
        <f t="shared" si="15"/>
        <v>2739093</v>
      </c>
      <c r="DX10" s="353">
        <f t="shared" si="15"/>
        <v>2741732</v>
      </c>
      <c r="DY10" s="353">
        <f t="shared" si="15"/>
        <v>2743147</v>
      </c>
      <c r="DZ10" s="353">
        <f t="shared" si="15"/>
        <v>2744870</v>
      </c>
      <c r="EA10" s="353">
        <f t="shared" si="15"/>
        <v>2746923</v>
      </c>
      <c r="EB10" s="353">
        <f t="shared" si="15"/>
        <v>2749333</v>
      </c>
      <c r="EC10" s="353">
        <f t="shared" si="15"/>
        <v>2752520</v>
      </c>
      <c r="ED10" s="353">
        <f t="shared" si="15"/>
        <v>2754995</v>
      </c>
      <c r="EE10" s="353">
        <f t="shared" si="15"/>
        <v>2756745</v>
      </c>
      <c r="EF10" s="353">
        <f t="shared" si="15"/>
        <v>2760996</v>
      </c>
      <c r="EG10" s="353">
        <f t="shared" si="15"/>
        <v>2764848</v>
      </c>
      <c r="EH10" s="353">
        <f t="shared" si="15"/>
        <v>2768316</v>
      </c>
      <c r="EI10" s="353">
        <f t="shared" si="15"/>
        <v>2771692</v>
      </c>
      <c r="EJ10" s="353">
        <f t="shared" si="15"/>
        <v>2774732</v>
      </c>
      <c r="EK10" s="353">
        <f t="shared" si="15"/>
        <v>2777344</v>
      </c>
      <c r="EL10" s="353">
        <f t="shared" si="15"/>
        <v>2781714</v>
      </c>
      <c r="EM10" s="353">
        <f t="shared" si="15"/>
        <v>2783210</v>
      </c>
      <c r="EN10" s="353">
        <f t="shared" si="15"/>
        <v>2785627</v>
      </c>
      <c r="EO10" s="353">
        <f t="shared" si="15"/>
        <v>2788926</v>
      </c>
      <c r="EP10" s="353">
        <f t="shared" si="15"/>
        <v>2791285</v>
      </c>
      <c r="EQ10" s="353">
        <f t="shared" si="15"/>
        <v>2794285</v>
      </c>
      <c r="ER10" s="353">
        <f t="shared" si="15"/>
        <v>2798200</v>
      </c>
      <c r="ES10" s="353">
        <f t="shared" si="15"/>
        <v>2801368</v>
      </c>
      <c r="ET10" s="353">
        <f t="shared" si="15"/>
        <v>2805500</v>
      </c>
      <c r="EU10" s="353">
        <f t="shared" si="15"/>
        <v>2809161</v>
      </c>
      <c r="EV10" s="353">
        <f t="shared" si="15"/>
        <v>2812180</v>
      </c>
      <c r="EW10" s="353">
        <f t="shared" si="15"/>
        <v>2815896</v>
      </c>
      <c r="EX10" s="353">
        <f t="shared" si="15"/>
        <v>2819507</v>
      </c>
      <c r="EY10" s="353">
        <f t="shared" si="15"/>
        <v>2822270</v>
      </c>
      <c r="EZ10" s="353">
        <f t="shared" si="15"/>
        <v>2825412</v>
      </c>
      <c r="FA10" s="353">
        <f t="shared" si="15"/>
        <v>2829135</v>
      </c>
      <c r="FB10" s="353">
        <f t="shared" si="15"/>
        <v>2832423</v>
      </c>
      <c r="FC10" s="353">
        <f t="shared" si="15"/>
        <v>2835994</v>
      </c>
      <c r="FD10" s="353">
        <f t="shared" si="15"/>
        <v>2840990</v>
      </c>
      <c r="FE10" s="353">
        <f t="shared" si="15"/>
        <v>2844334</v>
      </c>
      <c r="FF10" s="353">
        <f t="shared" si="15"/>
        <v>2847913</v>
      </c>
      <c r="FG10" s="353">
        <f t="shared" si="15"/>
        <v>2851111</v>
      </c>
      <c r="FH10" s="353">
        <f t="shared" si="15"/>
        <v>2854898</v>
      </c>
      <c r="FI10" s="353">
        <f t="shared" si="15"/>
        <v>2858412</v>
      </c>
      <c r="FJ10" s="353">
        <f t="shared" si="15"/>
        <v>2862618</v>
      </c>
      <c r="FK10" s="353">
        <f t="shared" si="15"/>
        <v>2864986</v>
      </c>
      <c r="FL10" s="353">
        <f t="shared" si="15"/>
        <v>2868647</v>
      </c>
      <c r="FM10" s="353">
        <f t="shared" si="15"/>
        <v>2871587</v>
      </c>
      <c r="FN10" s="353">
        <f t="shared" si="15"/>
        <v>2875464</v>
      </c>
      <c r="FO10" s="353">
        <f t="shared" si="15"/>
        <v>2878397</v>
      </c>
      <c r="FP10" s="353">
        <f t="shared" si="15"/>
        <v>2883026</v>
      </c>
      <c r="FQ10" s="353">
        <f t="shared" si="15"/>
        <v>2888267</v>
      </c>
      <c r="FR10" s="353">
        <f t="shared" si="15"/>
        <v>2892501</v>
      </c>
      <c r="FS10" s="353">
        <f t="shared" si="15"/>
        <v>2896494</v>
      </c>
      <c r="FT10" s="353">
        <f t="shared" si="15"/>
        <v>2900203</v>
      </c>
    </row>
    <row r="11" spans="2:182" s="188" customFormat="1" x14ac:dyDescent="0.25">
      <c r="B11" s="264" t="s">
        <v>10</v>
      </c>
      <c r="C11" s="258">
        <f t="shared" ref="C11:H11" si="16">SUM(C8)/C10</f>
        <v>0.98126335283819088</v>
      </c>
      <c r="D11" s="259">
        <f t="shared" si="16"/>
        <v>0.97689144609048428</v>
      </c>
      <c r="E11" s="259">
        <f t="shared" si="16"/>
        <v>0.97852464844536391</v>
      </c>
      <c r="F11" s="259">
        <f t="shared" si="16"/>
        <v>0.97751868817745979</v>
      </c>
      <c r="G11" s="259">
        <f t="shared" si="16"/>
        <v>0.97229823583186081</v>
      </c>
      <c r="H11" s="259">
        <f t="shared" si="16"/>
        <v>0.966123133171927</v>
      </c>
      <c r="I11" s="259">
        <f t="shared" ref="I11:Q11" si="17">SUM(I8)/I10</f>
        <v>0.97229476460952624</v>
      </c>
      <c r="J11" s="259">
        <f t="shared" si="17"/>
        <v>0.94150473131760137</v>
      </c>
      <c r="K11" s="259">
        <f t="shared" si="17"/>
        <v>0.9389518093781537</v>
      </c>
      <c r="L11" s="259">
        <f t="shared" si="17"/>
        <v>0.93702041939822167</v>
      </c>
      <c r="M11" s="259">
        <f t="shared" si="17"/>
        <v>0.93384282352785686</v>
      </c>
      <c r="N11" s="265">
        <f t="shared" si="17"/>
        <v>0.92995960881110884</v>
      </c>
      <c r="O11" s="258">
        <f t="shared" si="17"/>
        <v>0.93041112511967849</v>
      </c>
      <c r="P11" s="259">
        <f t="shared" si="17"/>
        <v>0.92660849629929742</v>
      </c>
      <c r="Q11" s="259">
        <f t="shared" si="17"/>
        <v>0.92017439020673619</v>
      </c>
      <c r="R11" s="259">
        <f t="shared" ref="R11:W11" si="18">SUM(R8)/R10</f>
        <v>0.91363836604585469</v>
      </c>
      <c r="S11" s="259">
        <f t="shared" si="18"/>
        <v>0.90881976781304774</v>
      </c>
      <c r="T11" s="259">
        <f t="shared" si="18"/>
        <v>0.9020656398682847</v>
      </c>
      <c r="U11" s="259">
        <f t="shared" si="18"/>
        <v>0.8964718697561822</v>
      </c>
      <c r="V11" s="259">
        <f t="shared" si="18"/>
        <v>0.89015027704902594</v>
      </c>
      <c r="W11" s="259">
        <f t="shared" si="18"/>
        <v>0.88094517385427529</v>
      </c>
      <c r="X11" s="259">
        <f t="shared" ref="X11:AC11" si="19">SUM(X8)/X10</f>
        <v>0.87318843404781654</v>
      </c>
      <c r="Y11" s="259">
        <f t="shared" si="19"/>
        <v>0.86850727406656203</v>
      </c>
      <c r="Z11" s="265">
        <f t="shared" si="19"/>
        <v>0.86419224526998761</v>
      </c>
      <c r="AA11" s="258">
        <f t="shared" si="19"/>
        <v>0.86365335304995583</v>
      </c>
      <c r="AB11" s="259">
        <f t="shared" si="19"/>
        <v>0.86196475173740816</v>
      </c>
      <c r="AC11" s="259">
        <f t="shared" si="19"/>
        <v>0.86036625551424717</v>
      </c>
      <c r="AD11" s="259">
        <f t="shared" ref="AD11:AI11" si="20">SUM(AD8)/AD10</f>
        <v>0.85832602319281748</v>
      </c>
      <c r="AE11" s="259">
        <f t="shared" si="20"/>
        <v>0.85563172540199639</v>
      </c>
      <c r="AF11" s="259">
        <f t="shared" si="20"/>
        <v>0.85198310792456622</v>
      </c>
      <c r="AG11" s="259">
        <f t="shared" si="20"/>
        <v>0.84671019087773469</v>
      </c>
      <c r="AH11" s="259">
        <f t="shared" si="20"/>
        <v>0.83955094767955141</v>
      </c>
      <c r="AI11" s="259">
        <f t="shared" si="20"/>
        <v>0.83172378795212654</v>
      </c>
      <c r="AJ11" s="259">
        <f t="shared" ref="AJ11:AP11" si="21">SUM(AJ8)/AJ10</f>
        <v>0.82429921853373589</v>
      </c>
      <c r="AK11" s="259">
        <f t="shared" si="21"/>
        <v>0.81695693104259826</v>
      </c>
      <c r="AL11" s="265">
        <f t="shared" si="21"/>
        <v>0.81160563951882592</v>
      </c>
      <c r="AM11" s="258">
        <f t="shared" si="21"/>
        <v>0.80656380280048079</v>
      </c>
      <c r="AN11" s="259">
        <f t="shared" si="21"/>
        <v>0.8016055666919526</v>
      </c>
      <c r="AO11" s="259">
        <f t="shared" si="21"/>
        <v>0.7947731248976827</v>
      </c>
      <c r="AP11" s="259">
        <f t="shared" si="21"/>
        <v>0.78752943414504695</v>
      </c>
      <c r="AQ11" s="259">
        <f t="shared" ref="AQ11:AX11" si="22">SUM(AQ8)/AQ10</f>
        <v>0.77806574302412168</v>
      </c>
      <c r="AR11" s="259">
        <f t="shared" si="22"/>
        <v>0.76600368992818413</v>
      </c>
      <c r="AS11" s="259">
        <f t="shared" si="22"/>
        <v>0.75613164076455697</v>
      </c>
      <c r="AT11" s="259">
        <f t="shared" si="22"/>
        <v>0.74680206084560097</v>
      </c>
      <c r="AU11" s="259">
        <f t="shared" si="22"/>
        <v>0.73710098437457905</v>
      </c>
      <c r="AV11" s="259">
        <f t="shared" si="22"/>
        <v>0.7305539815082106</v>
      </c>
      <c r="AW11" s="259">
        <f t="shared" si="22"/>
        <v>0.72468147205006817</v>
      </c>
      <c r="AX11" s="265">
        <f t="shared" si="22"/>
        <v>0.72091652667889405</v>
      </c>
      <c r="AY11" s="258">
        <f t="shared" ref="AY11:BJ11" si="23">SUM(AY8)/AY10</f>
        <v>0.71751577464443561</v>
      </c>
      <c r="AZ11" s="259">
        <f t="shared" si="23"/>
        <v>0.71357364095021603</v>
      </c>
      <c r="BA11" s="259">
        <f t="shared" si="23"/>
        <v>0.70936000541714372</v>
      </c>
      <c r="BB11" s="259">
        <f t="shared" si="23"/>
        <v>0.70447659463402978</v>
      </c>
      <c r="BC11" s="259">
        <f t="shared" si="23"/>
        <v>0.69913488549516467</v>
      </c>
      <c r="BD11" s="259">
        <f t="shared" si="23"/>
        <v>0.6928103473881333</v>
      </c>
      <c r="BE11" s="259">
        <f t="shared" si="23"/>
        <v>0.68698403236008221</v>
      </c>
      <c r="BF11" s="259">
        <f t="shared" si="23"/>
        <v>0.67926902299303782</v>
      </c>
      <c r="BG11" s="259">
        <f t="shared" si="23"/>
        <v>0.67088577000877503</v>
      </c>
      <c r="BH11" s="259">
        <f t="shared" si="23"/>
        <v>0.66417210122316528</v>
      </c>
      <c r="BI11" s="259">
        <f t="shared" si="23"/>
        <v>0.65735557155346502</v>
      </c>
      <c r="BJ11" s="265">
        <f t="shared" si="23"/>
        <v>0.65154115848204908</v>
      </c>
      <c r="BK11" s="258">
        <f t="shared" ref="BK11:BP11" si="24">SUM(BK8)/BK10</f>
        <v>0.6476378120887184</v>
      </c>
      <c r="BL11" s="259">
        <f t="shared" si="24"/>
        <v>0.6432492911251072</v>
      </c>
      <c r="BM11" s="259">
        <f t="shared" si="24"/>
        <v>0.63757604435015314</v>
      </c>
      <c r="BN11" s="259">
        <f t="shared" si="24"/>
        <v>0.63064897514973051</v>
      </c>
      <c r="BO11" s="259">
        <f t="shared" si="24"/>
        <v>0.62511967582629446</v>
      </c>
      <c r="BP11" s="259">
        <f t="shared" si="24"/>
        <v>0.62112082033748195</v>
      </c>
      <c r="BQ11" s="259">
        <f t="shared" ref="BQ11:CB11" si="25">SUM(BQ8)/BQ10</f>
        <v>0.61802544218624378</v>
      </c>
      <c r="BR11" s="259">
        <f t="shared" si="25"/>
        <v>0.61539593532983272</v>
      </c>
      <c r="BS11" s="259">
        <f t="shared" si="25"/>
        <v>0.61351294627458153</v>
      </c>
      <c r="BT11" s="259">
        <f t="shared" si="25"/>
        <v>0.61232248604658657</v>
      </c>
      <c r="BU11" s="259">
        <f t="shared" si="25"/>
        <v>0.61089014603865688</v>
      </c>
      <c r="BV11" s="265">
        <f t="shared" si="25"/>
        <v>0.60957455071822719</v>
      </c>
      <c r="BW11" s="258">
        <f t="shared" si="25"/>
        <v>0.6088142300646342</v>
      </c>
      <c r="BX11" s="259">
        <f t="shared" si="25"/>
        <v>0.60689143759613018</v>
      </c>
      <c r="BY11" s="259">
        <f t="shared" si="25"/>
        <v>0.60515308517408861</v>
      </c>
      <c r="BZ11" s="259">
        <f t="shared" si="25"/>
        <v>0.6030094737042756</v>
      </c>
      <c r="CA11" s="259">
        <f t="shared" si="25"/>
        <v>0.59434619013430667</v>
      </c>
      <c r="CB11" s="259">
        <f t="shared" si="25"/>
        <v>0.60156778801722333</v>
      </c>
      <c r="CC11" s="259">
        <f t="shared" ref="CC11:CK11" si="26">SUM(CC8)/CC10</f>
        <v>0.59954507435350024</v>
      </c>
      <c r="CD11" s="259">
        <f t="shared" si="26"/>
        <v>0.59964628006429888</v>
      </c>
      <c r="CE11" s="259">
        <f t="shared" si="26"/>
        <v>0.60052550360762402</v>
      </c>
      <c r="CF11" s="259">
        <f t="shared" si="26"/>
        <v>0.60014378902256416</v>
      </c>
      <c r="CG11" s="259">
        <f t="shared" si="26"/>
        <v>0.59988125479398768</v>
      </c>
      <c r="CH11" s="265">
        <f t="shared" si="26"/>
        <v>0.5998340403872845</v>
      </c>
      <c r="CI11" s="258">
        <f t="shared" si="26"/>
        <v>0.59932777885481303</v>
      </c>
      <c r="CJ11" s="259">
        <f t="shared" si="26"/>
        <v>0.59909677092964564</v>
      </c>
      <c r="CK11" s="259">
        <f t="shared" si="26"/>
        <v>0.5993139829954317</v>
      </c>
      <c r="CL11" s="259">
        <f t="shared" ref="CL11:CQ11" si="27">SUM(CL8)/CL10</f>
        <v>0.59857872317032168</v>
      </c>
      <c r="CM11" s="259">
        <f t="shared" si="27"/>
        <v>0.5967418270046656</v>
      </c>
      <c r="CN11" s="259">
        <f t="shared" si="27"/>
        <v>0.59403890383777036</v>
      </c>
      <c r="CO11" s="259">
        <f t="shared" si="27"/>
        <v>0.59042354551080944</v>
      </c>
      <c r="CP11" s="259">
        <f t="shared" si="27"/>
        <v>0.58627847011388046</v>
      </c>
      <c r="CQ11" s="259">
        <f t="shared" si="27"/>
        <v>0.58110156000318092</v>
      </c>
      <c r="CR11" s="259">
        <f t="shared" ref="CR11:DJ11" si="28">SUM(CR8)/CR10</f>
        <v>0.57769139231654598</v>
      </c>
      <c r="CS11" s="259">
        <f t="shared" si="28"/>
        <v>0.57461095471445023</v>
      </c>
      <c r="CT11" s="265">
        <f t="shared" si="28"/>
        <v>0.57128815748827544</v>
      </c>
      <c r="CU11" s="259">
        <f t="shared" si="28"/>
        <v>0.56887221267853272</v>
      </c>
      <c r="CV11" s="259">
        <f t="shared" si="28"/>
        <v>0.56462477364801933</v>
      </c>
      <c r="CW11" s="259">
        <f t="shared" si="28"/>
        <v>0.5609649558002765</v>
      </c>
      <c r="CX11" s="259">
        <f t="shared" si="28"/>
        <v>0.55814809648106556</v>
      </c>
      <c r="CY11" s="259">
        <f t="shared" si="28"/>
        <v>0.55510909870125025</v>
      </c>
      <c r="CZ11" s="259">
        <f t="shared" si="28"/>
        <v>0.5515521049854929</v>
      </c>
      <c r="DA11" s="259">
        <f t="shared" si="28"/>
        <v>0.5475538713558159</v>
      </c>
      <c r="DB11" s="259">
        <f t="shared" si="28"/>
        <v>0.54254852281823673</v>
      </c>
      <c r="DC11" s="259">
        <f t="shared" si="28"/>
        <v>0.53767035418520914</v>
      </c>
      <c r="DD11" s="259">
        <f t="shared" si="28"/>
        <v>0.53273231339445049</v>
      </c>
      <c r="DE11" s="259">
        <f t="shared" si="28"/>
        <v>0.52871591911794713</v>
      </c>
      <c r="DF11" s="265">
        <f t="shared" si="28"/>
        <v>0.52490918670516351</v>
      </c>
      <c r="DG11" s="259">
        <f t="shared" si="28"/>
        <v>0.52084317911445011</v>
      </c>
      <c r="DH11" s="259">
        <f t="shared" si="28"/>
        <v>0.51631055730157049</v>
      </c>
      <c r="DI11" s="259">
        <f t="shared" si="28"/>
        <v>0.51153631272530564</v>
      </c>
      <c r="DJ11" s="259">
        <f t="shared" si="28"/>
        <v>0.50709575325527401</v>
      </c>
      <c r="DK11" s="259">
        <f t="shared" ref="DK11:FP11" si="29">SUM(DK8)/DK10</f>
        <v>0.50351863805990116</v>
      </c>
      <c r="DL11" s="259">
        <f t="shared" si="29"/>
        <v>0.49976151382832462</v>
      </c>
      <c r="DM11" s="259">
        <f t="shared" si="29"/>
        <v>0.49473538769336772</v>
      </c>
      <c r="DN11" s="259">
        <f t="shared" si="29"/>
        <v>0.48886201032298793</v>
      </c>
      <c r="DO11" s="259">
        <f t="shared" si="29"/>
        <v>0.48451102769188642</v>
      </c>
      <c r="DP11" s="259">
        <f t="shared" si="29"/>
        <v>0.48027664188956187</v>
      </c>
      <c r="DQ11" s="259">
        <f t="shared" si="29"/>
        <v>0.47683270251813975</v>
      </c>
      <c r="DR11" s="259">
        <f t="shared" si="29"/>
        <v>0.4738796614618227</v>
      </c>
      <c r="DS11" s="259">
        <f t="shared" si="29"/>
        <v>0.47095925785992804</v>
      </c>
      <c r="DT11" s="259">
        <f t="shared" si="29"/>
        <v>0.46774156920631316</v>
      </c>
      <c r="DU11" s="259">
        <f t="shared" si="29"/>
        <v>0.46462443060910835</v>
      </c>
      <c r="DV11" s="282">
        <f t="shared" si="29"/>
        <v>0.46099714612372839</v>
      </c>
      <c r="DW11" s="282">
        <f t="shared" si="29"/>
        <v>0.45864415702570155</v>
      </c>
      <c r="DX11" s="282">
        <f t="shared" si="29"/>
        <v>0.45595339004687546</v>
      </c>
      <c r="DY11" s="282">
        <f t="shared" si="29"/>
        <v>0.45350139821161606</v>
      </c>
      <c r="DZ11" s="282">
        <f t="shared" si="29"/>
        <v>0.45083810890861864</v>
      </c>
      <c r="EA11" s="282">
        <f t="shared" si="29"/>
        <v>0.44825355497769687</v>
      </c>
      <c r="EB11" s="282">
        <f t="shared" si="29"/>
        <v>0.44601181450191735</v>
      </c>
      <c r="EC11" s="282">
        <f t="shared" si="29"/>
        <v>0.44381911848051969</v>
      </c>
      <c r="ED11" s="282">
        <f t="shared" si="29"/>
        <v>0.44231259947840196</v>
      </c>
      <c r="EE11" s="282">
        <f t="shared" si="29"/>
        <v>0.44060767317978267</v>
      </c>
      <c r="EF11" s="282">
        <f t="shared" si="29"/>
        <v>0.43821215242615347</v>
      </c>
      <c r="EG11" s="282">
        <f t="shared" si="29"/>
        <v>0.43553424998408591</v>
      </c>
      <c r="EH11" s="282">
        <f t="shared" si="29"/>
        <v>0.43280824876928792</v>
      </c>
      <c r="EI11" s="282">
        <f t="shared" si="29"/>
        <v>0.43080219591498625</v>
      </c>
      <c r="EJ11" s="282">
        <f t="shared" si="29"/>
        <v>0.42887565357663371</v>
      </c>
      <c r="EK11" s="282">
        <f t="shared" si="29"/>
        <v>0.42632673518296615</v>
      </c>
      <c r="EL11" s="282">
        <f t="shared" si="29"/>
        <v>0.42419386033215495</v>
      </c>
      <c r="EM11" s="282">
        <f t="shared" si="29"/>
        <v>0.42263860793831581</v>
      </c>
      <c r="EN11" s="282">
        <f t="shared" si="29"/>
        <v>0.42063707739765588</v>
      </c>
      <c r="EO11" s="282">
        <f t="shared" si="29"/>
        <v>0.41870418935461179</v>
      </c>
      <c r="EP11" s="282">
        <f t="shared" si="29"/>
        <v>0.41779359685592837</v>
      </c>
      <c r="EQ11" s="282">
        <f t="shared" si="29"/>
        <v>0.41668190610478173</v>
      </c>
      <c r="ER11" s="282">
        <f t="shared" si="29"/>
        <v>0.41419090844114076</v>
      </c>
      <c r="ES11" s="282">
        <f t="shared" si="29"/>
        <v>0.41178809781506748</v>
      </c>
      <c r="ET11" s="282">
        <f t="shared" si="29"/>
        <v>0.4099019782569952</v>
      </c>
      <c r="EU11" s="282">
        <f t="shared" si="29"/>
        <v>0.4083301028314148</v>
      </c>
      <c r="EV11" s="282">
        <f t="shared" si="29"/>
        <v>0.4065518565667916</v>
      </c>
      <c r="EW11" s="282">
        <f t="shared" si="29"/>
        <v>0.40423474446499447</v>
      </c>
      <c r="EX11" s="282">
        <f t="shared" si="29"/>
        <v>0.40158722783805822</v>
      </c>
      <c r="EY11" s="282">
        <f t="shared" si="29"/>
        <v>0.39956807817820406</v>
      </c>
      <c r="EZ11" s="282">
        <f t="shared" si="29"/>
        <v>0.39785206546868207</v>
      </c>
      <c r="FA11" s="282">
        <f t="shared" si="29"/>
        <v>0.39634587957096429</v>
      </c>
      <c r="FB11" s="282">
        <f t="shared" si="29"/>
        <v>0.39500985551946161</v>
      </c>
      <c r="FC11" s="282">
        <f t="shared" si="29"/>
        <v>0.39417890164788782</v>
      </c>
      <c r="FD11" s="282">
        <f t="shared" si="29"/>
        <v>0.39291725771650021</v>
      </c>
      <c r="FE11" s="282">
        <f t="shared" si="29"/>
        <v>0.39166532481769017</v>
      </c>
      <c r="FF11" s="282">
        <f t="shared" si="29"/>
        <v>0.38970572485887034</v>
      </c>
      <c r="FG11" s="282">
        <f t="shared" si="29"/>
        <v>0.38805223647904274</v>
      </c>
      <c r="FH11" s="282">
        <f t="shared" si="29"/>
        <v>0.38645023394881356</v>
      </c>
      <c r="FI11" s="282">
        <f t="shared" si="29"/>
        <v>0.38474299716066124</v>
      </c>
      <c r="FJ11" s="282">
        <f t="shared" si="29"/>
        <v>0.38308359690325428</v>
      </c>
      <c r="FK11" s="282">
        <f t="shared" si="29"/>
        <v>0.38144863535109769</v>
      </c>
      <c r="FL11" s="282">
        <f t="shared" si="29"/>
        <v>0.3794653019350237</v>
      </c>
      <c r="FM11" s="282">
        <f t="shared" si="29"/>
        <v>0.37798680659858119</v>
      </c>
      <c r="FN11" s="282">
        <f t="shared" si="29"/>
        <v>0.37666755695776405</v>
      </c>
      <c r="FO11" s="282">
        <f t="shared" si="29"/>
        <v>0.37540756191727548</v>
      </c>
      <c r="FP11" s="282">
        <f t="shared" si="29"/>
        <v>0.37371879407261677</v>
      </c>
      <c r="FQ11" s="282">
        <f>SUM(FQ8)/FQ10</f>
        <v>0.37197080463821386</v>
      </c>
      <c r="FR11" s="282">
        <f t="shared" ref="FR11:FT11" si="30">SUM(FR8)/FR10</f>
        <v>0.37036495406570302</v>
      </c>
      <c r="FS11" s="282">
        <f t="shared" si="30"/>
        <v>0.3691352372903241</v>
      </c>
      <c r="FT11" s="282">
        <f t="shared" si="30"/>
        <v>0.3678118393781401</v>
      </c>
    </row>
    <row r="12" spans="2:182" s="188" customFormat="1" ht="13.8" thickBot="1" x14ac:dyDescent="0.3">
      <c r="B12" s="266" t="s">
        <v>11</v>
      </c>
      <c r="C12" s="260">
        <f t="shared" ref="C12:H12" si="31">SUM(C9/C10)</f>
        <v>1.8736647161809082E-2</v>
      </c>
      <c r="D12" s="261">
        <f t="shared" si="31"/>
        <v>2.3108553909515769E-2</v>
      </c>
      <c r="E12" s="261">
        <f t="shared" si="31"/>
        <v>2.1475351554636066E-2</v>
      </c>
      <c r="F12" s="261">
        <f t="shared" si="31"/>
        <v>2.2481311822540227E-2</v>
      </c>
      <c r="G12" s="261">
        <f t="shared" si="31"/>
        <v>2.7701764168139201E-2</v>
      </c>
      <c r="H12" s="261">
        <f t="shared" si="31"/>
        <v>3.3876866828072949E-2</v>
      </c>
      <c r="I12" s="261">
        <f t="shared" ref="I12:Q12" si="32">SUM(I9/I10)</f>
        <v>2.7705235390473759E-2</v>
      </c>
      <c r="J12" s="261">
        <f t="shared" si="32"/>
        <v>5.8495268682398599E-2</v>
      </c>
      <c r="K12" s="261">
        <f t="shared" si="32"/>
        <v>6.1048190621846264E-2</v>
      </c>
      <c r="L12" s="261">
        <f t="shared" si="32"/>
        <v>6.2979580601778343E-2</v>
      </c>
      <c r="M12" s="261">
        <f t="shared" si="32"/>
        <v>6.6157176472143184E-2</v>
      </c>
      <c r="N12" s="267">
        <f t="shared" si="32"/>
        <v>7.004039118889116E-2</v>
      </c>
      <c r="O12" s="260">
        <f t="shared" si="32"/>
        <v>6.9588874880321547E-2</v>
      </c>
      <c r="P12" s="261">
        <f t="shared" si="32"/>
        <v>7.339150370070259E-2</v>
      </c>
      <c r="Q12" s="261">
        <f t="shared" si="32"/>
        <v>7.9825609793263752E-2</v>
      </c>
      <c r="R12" s="261">
        <f t="shared" ref="R12:W12" si="33">SUM(R9/R10)</f>
        <v>8.636163395414527E-2</v>
      </c>
      <c r="S12" s="261">
        <f t="shared" si="33"/>
        <v>9.1180232186952301E-2</v>
      </c>
      <c r="T12" s="261">
        <f t="shared" si="33"/>
        <v>9.7934360131715262E-2</v>
      </c>
      <c r="U12" s="261">
        <f t="shared" si="33"/>
        <v>0.10352813024381784</v>
      </c>
      <c r="V12" s="261">
        <f t="shared" si="33"/>
        <v>0.10984972295097402</v>
      </c>
      <c r="W12" s="261">
        <f t="shared" si="33"/>
        <v>0.11905482614572471</v>
      </c>
      <c r="X12" s="261">
        <f t="shared" ref="X12:AC12" si="34">SUM(X9/X10)</f>
        <v>0.12681156595218349</v>
      </c>
      <c r="Y12" s="261">
        <f t="shared" si="34"/>
        <v>0.13149272593343792</v>
      </c>
      <c r="Z12" s="267">
        <f t="shared" si="34"/>
        <v>0.13580775473001239</v>
      </c>
      <c r="AA12" s="260">
        <f t="shared" si="34"/>
        <v>0.13634664695004414</v>
      </c>
      <c r="AB12" s="261">
        <f t="shared" si="34"/>
        <v>0.13803524826259186</v>
      </c>
      <c r="AC12" s="261">
        <f t="shared" si="34"/>
        <v>0.13963374448575283</v>
      </c>
      <c r="AD12" s="261">
        <f t="shared" ref="AD12:AI12" si="35">SUM(AD9/AD10)</f>
        <v>0.14167397680718252</v>
      </c>
      <c r="AE12" s="261">
        <f t="shared" si="35"/>
        <v>0.14436827459800364</v>
      </c>
      <c r="AF12" s="261">
        <f t="shared" si="35"/>
        <v>0.14801689207543375</v>
      </c>
      <c r="AG12" s="261">
        <f t="shared" si="35"/>
        <v>0.15328980912226534</v>
      </c>
      <c r="AH12" s="261">
        <f t="shared" si="35"/>
        <v>0.16044905232044859</v>
      </c>
      <c r="AI12" s="261">
        <f t="shared" si="35"/>
        <v>0.16827621204787344</v>
      </c>
      <c r="AJ12" s="261">
        <f t="shared" ref="AJ12:AP12" si="36">SUM(AJ9/AJ10)</f>
        <v>0.17570078146626411</v>
      </c>
      <c r="AK12" s="261">
        <f t="shared" si="36"/>
        <v>0.18304306895740174</v>
      </c>
      <c r="AL12" s="267">
        <f t="shared" si="36"/>
        <v>0.18839436048117408</v>
      </c>
      <c r="AM12" s="260">
        <f t="shared" si="36"/>
        <v>0.19343619719951918</v>
      </c>
      <c r="AN12" s="261">
        <f t="shared" si="36"/>
        <v>0.19839443330804746</v>
      </c>
      <c r="AO12" s="261">
        <f t="shared" si="36"/>
        <v>0.20522687510231724</v>
      </c>
      <c r="AP12" s="261">
        <f t="shared" si="36"/>
        <v>0.212470565854953</v>
      </c>
      <c r="AQ12" s="261">
        <f t="shared" ref="AQ12:AX12" si="37">SUM(AQ9/AQ10)</f>
        <v>0.22193425697587832</v>
      </c>
      <c r="AR12" s="261">
        <f t="shared" si="37"/>
        <v>0.23399631007181584</v>
      </c>
      <c r="AS12" s="261">
        <f t="shared" si="37"/>
        <v>0.24386835923544301</v>
      </c>
      <c r="AT12" s="261">
        <f t="shared" si="37"/>
        <v>0.25319793915439909</v>
      </c>
      <c r="AU12" s="261">
        <f t="shared" si="37"/>
        <v>0.26289901562542101</v>
      </c>
      <c r="AV12" s="261">
        <f t="shared" si="37"/>
        <v>0.2694460184917894</v>
      </c>
      <c r="AW12" s="261">
        <f t="shared" si="37"/>
        <v>0.27531852794993189</v>
      </c>
      <c r="AX12" s="267">
        <f t="shared" si="37"/>
        <v>0.27908347332110589</v>
      </c>
      <c r="AY12" s="260">
        <f t="shared" ref="AY12:BJ12" si="38">SUM(AY9/AY10)</f>
        <v>0.28248422535556444</v>
      </c>
      <c r="AZ12" s="261">
        <f t="shared" si="38"/>
        <v>0.28642635904978403</v>
      </c>
      <c r="BA12" s="261">
        <f t="shared" si="38"/>
        <v>0.29063999458285633</v>
      </c>
      <c r="BB12" s="261">
        <f t="shared" si="38"/>
        <v>0.29552340536597022</v>
      </c>
      <c r="BC12" s="261">
        <f t="shared" si="38"/>
        <v>0.30086511450483538</v>
      </c>
      <c r="BD12" s="261">
        <f t="shared" si="38"/>
        <v>0.30718965261186676</v>
      </c>
      <c r="BE12" s="261">
        <f t="shared" si="38"/>
        <v>0.31301596763991779</v>
      </c>
      <c r="BF12" s="261">
        <f t="shared" si="38"/>
        <v>0.32073097700696218</v>
      </c>
      <c r="BG12" s="261">
        <f t="shared" si="38"/>
        <v>0.32911422999122497</v>
      </c>
      <c r="BH12" s="261">
        <f t="shared" si="38"/>
        <v>0.33582789877683472</v>
      </c>
      <c r="BI12" s="261">
        <f t="shared" si="38"/>
        <v>0.34264442844653498</v>
      </c>
      <c r="BJ12" s="267">
        <f t="shared" si="38"/>
        <v>0.34845884151795087</v>
      </c>
      <c r="BK12" s="260">
        <f t="shared" ref="BK12:BP12" si="39">SUM(BK9/BK10)</f>
        <v>0.3523621879112816</v>
      </c>
      <c r="BL12" s="261">
        <f t="shared" si="39"/>
        <v>0.35675070887489285</v>
      </c>
      <c r="BM12" s="261">
        <f t="shared" si="39"/>
        <v>0.36242395564984692</v>
      </c>
      <c r="BN12" s="261">
        <f t="shared" si="39"/>
        <v>0.36935102485026955</v>
      </c>
      <c r="BO12" s="261">
        <f t="shared" si="39"/>
        <v>0.37488032417370554</v>
      </c>
      <c r="BP12" s="261">
        <f t="shared" si="39"/>
        <v>0.37887917966251805</v>
      </c>
      <c r="BQ12" s="261">
        <f t="shared" ref="BQ12:CB12" si="40">SUM(BQ9/BQ10)</f>
        <v>0.38197455781375622</v>
      </c>
      <c r="BR12" s="261">
        <f t="shared" si="40"/>
        <v>0.38460406467016722</v>
      </c>
      <c r="BS12" s="261">
        <f t="shared" si="40"/>
        <v>0.38648705372541842</v>
      </c>
      <c r="BT12" s="261">
        <f t="shared" si="40"/>
        <v>0.38767751395341349</v>
      </c>
      <c r="BU12" s="261">
        <f t="shared" si="40"/>
        <v>0.38910985396134307</v>
      </c>
      <c r="BV12" s="267">
        <f t="shared" si="40"/>
        <v>0.39042544928177286</v>
      </c>
      <c r="BW12" s="260">
        <f t="shared" si="40"/>
        <v>0.3911857699353658</v>
      </c>
      <c r="BX12" s="261">
        <f t="shared" si="40"/>
        <v>0.39310856240386982</v>
      </c>
      <c r="BY12" s="261">
        <f t="shared" si="40"/>
        <v>0.39484691482591139</v>
      </c>
      <c r="BZ12" s="261">
        <f t="shared" si="40"/>
        <v>0.39699052629572446</v>
      </c>
      <c r="CA12" s="261">
        <f t="shared" si="40"/>
        <v>0.40565380986569333</v>
      </c>
      <c r="CB12" s="261">
        <f t="shared" si="40"/>
        <v>0.39843221198277662</v>
      </c>
      <c r="CC12" s="261">
        <f t="shared" ref="CC12:CK12" si="41">SUM(CC9/CC10)</f>
        <v>0.40045492564649976</v>
      </c>
      <c r="CD12" s="261">
        <f t="shared" si="41"/>
        <v>0.40035371993570107</v>
      </c>
      <c r="CE12" s="261">
        <f t="shared" si="41"/>
        <v>0.39947449639237603</v>
      </c>
      <c r="CF12" s="261">
        <f t="shared" si="41"/>
        <v>0.39985621097743579</v>
      </c>
      <c r="CG12" s="261">
        <f t="shared" si="41"/>
        <v>0.40011874520601232</v>
      </c>
      <c r="CH12" s="267">
        <f t="shared" si="41"/>
        <v>0.40016595961271556</v>
      </c>
      <c r="CI12" s="260">
        <f t="shared" si="41"/>
        <v>0.40067222114518697</v>
      </c>
      <c r="CJ12" s="261">
        <f t="shared" si="41"/>
        <v>0.40090322907035436</v>
      </c>
      <c r="CK12" s="261">
        <f t="shared" si="41"/>
        <v>0.4006860170045683</v>
      </c>
      <c r="CL12" s="261">
        <f t="shared" ref="CL12:CQ12" si="42">SUM(CL9/CL10)</f>
        <v>0.40142127682967838</v>
      </c>
      <c r="CM12" s="261">
        <f t="shared" si="42"/>
        <v>0.40325817299533445</v>
      </c>
      <c r="CN12" s="261">
        <f t="shared" si="42"/>
        <v>0.40596109616222958</v>
      </c>
      <c r="CO12" s="261">
        <f t="shared" si="42"/>
        <v>0.40957645448919056</v>
      </c>
      <c r="CP12" s="261">
        <f t="shared" si="42"/>
        <v>0.41372152988611954</v>
      </c>
      <c r="CQ12" s="261">
        <f t="shared" si="42"/>
        <v>0.41889843999681908</v>
      </c>
      <c r="CR12" s="261">
        <f t="shared" ref="CR12:DJ12" si="43">SUM(CR9/CR10)</f>
        <v>0.42230860768345407</v>
      </c>
      <c r="CS12" s="261">
        <f t="shared" si="43"/>
        <v>0.42538904528554983</v>
      </c>
      <c r="CT12" s="267">
        <f t="shared" si="43"/>
        <v>0.42871184251172456</v>
      </c>
      <c r="CU12" s="261">
        <f t="shared" si="43"/>
        <v>0.43112778732146723</v>
      </c>
      <c r="CV12" s="261">
        <f t="shared" si="43"/>
        <v>0.43537522635198062</v>
      </c>
      <c r="CW12" s="261">
        <f t="shared" si="43"/>
        <v>0.4390350441997235</v>
      </c>
      <c r="CX12" s="261">
        <f t="shared" si="43"/>
        <v>0.4418519035189345</v>
      </c>
      <c r="CY12" s="261">
        <f t="shared" si="43"/>
        <v>0.4448909012987497</v>
      </c>
      <c r="CZ12" s="261">
        <f t="shared" si="43"/>
        <v>0.44844789501450705</v>
      </c>
      <c r="DA12" s="261">
        <f t="shared" si="43"/>
        <v>0.4524461286441841</v>
      </c>
      <c r="DB12" s="261">
        <f t="shared" si="43"/>
        <v>0.45745147718176321</v>
      </c>
      <c r="DC12" s="261">
        <f t="shared" si="43"/>
        <v>0.46232964581479086</v>
      </c>
      <c r="DD12" s="261">
        <f t="shared" si="43"/>
        <v>0.46726768660554957</v>
      </c>
      <c r="DE12" s="261">
        <f t="shared" si="43"/>
        <v>0.47128408088205281</v>
      </c>
      <c r="DF12" s="267">
        <f t="shared" si="43"/>
        <v>0.47509081329483649</v>
      </c>
      <c r="DG12" s="261">
        <f t="shared" si="43"/>
        <v>0.47915682088554995</v>
      </c>
      <c r="DH12" s="261">
        <f t="shared" si="43"/>
        <v>0.48368944269842956</v>
      </c>
      <c r="DI12" s="261">
        <f t="shared" si="43"/>
        <v>0.48846368727469436</v>
      </c>
      <c r="DJ12" s="261">
        <f t="shared" si="43"/>
        <v>0.49290424674472605</v>
      </c>
      <c r="DK12" s="261">
        <f t="shared" ref="DK12:FT12" si="44">SUM(DK9/DK10)</f>
        <v>0.49648136194009884</v>
      </c>
      <c r="DL12" s="261">
        <f t="shared" si="44"/>
        <v>0.50023848617167532</v>
      </c>
      <c r="DM12" s="261">
        <f t="shared" si="44"/>
        <v>0.50526461230663233</v>
      </c>
      <c r="DN12" s="261">
        <f t="shared" si="44"/>
        <v>0.51113798967701207</v>
      </c>
      <c r="DO12" s="261">
        <f t="shared" si="44"/>
        <v>0.51548897230811364</v>
      </c>
      <c r="DP12" s="261">
        <f t="shared" si="44"/>
        <v>0.51972335811043813</v>
      </c>
      <c r="DQ12" s="261">
        <f t="shared" si="44"/>
        <v>0.52316729748186019</v>
      </c>
      <c r="DR12" s="261">
        <f t="shared" si="44"/>
        <v>0.5261203385381773</v>
      </c>
      <c r="DS12" s="261">
        <f t="shared" si="44"/>
        <v>0.52904074214007202</v>
      </c>
      <c r="DT12" s="261">
        <f t="shared" si="44"/>
        <v>0.53225843079368684</v>
      </c>
      <c r="DU12" s="261">
        <f t="shared" si="44"/>
        <v>0.53537556939089159</v>
      </c>
      <c r="DV12" s="354">
        <f t="shared" si="44"/>
        <v>0.53900285387627156</v>
      </c>
      <c r="DW12" s="354">
        <f t="shared" si="44"/>
        <v>0.5413558429742984</v>
      </c>
      <c r="DX12" s="354">
        <f t="shared" si="44"/>
        <v>0.54404660995312448</v>
      </c>
      <c r="DY12" s="354">
        <f t="shared" si="44"/>
        <v>0.54649860178838394</v>
      </c>
      <c r="DZ12" s="354">
        <f t="shared" si="44"/>
        <v>0.54916189109138136</v>
      </c>
      <c r="EA12" s="354">
        <f t="shared" si="44"/>
        <v>0.55174644502230319</v>
      </c>
      <c r="EB12" s="354">
        <f t="shared" si="44"/>
        <v>0.5539881854980826</v>
      </c>
      <c r="EC12" s="354">
        <f t="shared" si="44"/>
        <v>0.55618088151948031</v>
      </c>
      <c r="ED12" s="354">
        <f t="shared" si="44"/>
        <v>0.55768740052159804</v>
      </c>
      <c r="EE12" s="354">
        <f t="shared" si="44"/>
        <v>0.55939232682021733</v>
      </c>
      <c r="EF12" s="354">
        <f t="shared" si="44"/>
        <v>0.56178784757384659</v>
      </c>
      <c r="EG12" s="354">
        <f t="shared" si="44"/>
        <v>0.56446575001591404</v>
      </c>
      <c r="EH12" s="354">
        <f t="shared" si="44"/>
        <v>0.56719175123071208</v>
      </c>
      <c r="EI12" s="354">
        <f t="shared" si="44"/>
        <v>0.56919780408501375</v>
      </c>
      <c r="EJ12" s="354">
        <f t="shared" si="44"/>
        <v>0.57112434642336629</v>
      </c>
      <c r="EK12" s="354">
        <f t="shared" si="44"/>
        <v>0.57367326481703385</v>
      </c>
      <c r="EL12" s="354">
        <f t="shared" si="44"/>
        <v>0.57580613966784511</v>
      </c>
      <c r="EM12" s="354">
        <f t="shared" si="44"/>
        <v>0.57736139206168413</v>
      </c>
      <c r="EN12" s="354">
        <f t="shared" si="44"/>
        <v>0.57936292260234412</v>
      </c>
      <c r="EO12" s="354">
        <f t="shared" si="44"/>
        <v>0.58129581064538827</v>
      </c>
      <c r="EP12" s="354">
        <f t="shared" si="44"/>
        <v>0.58220640314407168</v>
      </c>
      <c r="EQ12" s="354">
        <f t="shared" si="44"/>
        <v>0.58331809389521827</v>
      </c>
      <c r="ER12" s="354">
        <f t="shared" si="44"/>
        <v>0.5858090915588593</v>
      </c>
      <c r="ES12" s="354">
        <f t="shared" si="44"/>
        <v>0.58821190218493247</v>
      </c>
      <c r="ET12" s="354">
        <f t="shared" si="44"/>
        <v>0.59009802174300485</v>
      </c>
      <c r="EU12" s="354">
        <f t="shared" si="44"/>
        <v>0.5916698971685852</v>
      </c>
      <c r="EV12" s="354">
        <f t="shared" si="44"/>
        <v>0.5934481434332084</v>
      </c>
      <c r="EW12" s="354">
        <f t="shared" si="44"/>
        <v>0.59576525553500559</v>
      </c>
      <c r="EX12" s="354">
        <f t="shared" si="44"/>
        <v>0.59841277216194178</v>
      </c>
      <c r="EY12" s="354">
        <f t="shared" si="44"/>
        <v>0.60043192182179594</v>
      </c>
      <c r="EZ12" s="354">
        <f t="shared" si="44"/>
        <v>0.60214793453131787</v>
      </c>
      <c r="FA12" s="354">
        <f t="shared" si="44"/>
        <v>0.60365412042903577</v>
      </c>
      <c r="FB12" s="354">
        <f t="shared" si="44"/>
        <v>0.60499014448053834</v>
      </c>
      <c r="FC12" s="354">
        <f t="shared" si="44"/>
        <v>0.60582109835211218</v>
      </c>
      <c r="FD12" s="354">
        <f t="shared" si="44"/>
        <v>0.60708274228349979</v>
      </c>
      <c r="FE12" s="354">
        <f t="shared" si="44"/>
        <v>0.60833467518230977</v>
      </c>
      <c r="FF12" s="354">
        <f t="shared" si="44"/>
        <v>0.61029427514112966</v>
      </c>
      <c r="FG12" s="354">
        <f t="shared" si="44"/>
        <v>0.61194776352095726</v>
      </c>
      <c r="FH12" s="354">
        <f t="shared" si="44"/>
        <v>0.61354976605118638</v>
      </c>
      <c r="FI12" s="354">
        <f t="shared" si="44"/>
        <v>0.61525700283933882</v>
      </c>
      <c r="FJ12" s="354">
        <f t="shared" si="44"/>
        <v>0.61691640309674567</v>
      </c>
      <c r="FK12" s="354">
        <f t="shared" si="44"/>
        <v>0.61855136464890226</v>
      </c>
      <c r="FL12" s="354">
        <f t="shared" si="44"/>
        <v>0.6205346980649763</v>
      </c>
      <c r="FM12" s="354">
        <f t="shared" si="44"/>
        <v>0.62201319340141881</v>
      </c>
      <c r="FN12" s="354">
        <f t="shared" si="44"/>
        <v>0.62333244304223601</v>
      </c>
      <c r="FO12" s="354">
        <f t="shared" si="44"/>
        <v>0.62459243808272447</v>
      </c>
      <c r="FP12" s="354">
        <f t="shared" si="44"/>
        <v>0.62628120592738323</v>
      </c>
      <c r="FQ12" s="354">
        <f t="shared" si="44"/>
        <v>0.62802919536178614</v>
      </c>
      <c r="FR12" s="354">
        <f t="shared" si="44"/>
        <v>0.62963504593429698</v>
      </c>
      <c r="FS12" s="354">
        <f t="shared" si="44"/>
        <v>0.63086476270967595</v>
      </c>
      <c r="FT12" s="354">
        <f t="shared" si="44"/>
        <v>0.6321881606218599</v>
      </c>
    </row>
    <row r="13" spans="2:182" s="68" customFormat="1" x14ac:dyDescent="0.25">
      <c r="B13" s="87"/>
      <c r="C13" s="71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89"/>
      <c r="O13" s="71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89"/>
      <c r="AA13" s="71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89"/>
      <c r="AM13" s="71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89"/>
      <c r="AY13" s="71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89"/>
      <c r="BK13" s="71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89"/>
      <c r="BW13" s="71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T13" s="297"/>
      <c r="DV13" s="351"/>
      <c r="DW13" s="351"/>
      <c r="DX13" s="351"/>
      <c r="DZ13" s="297"/>
      <c r="EE13" s="297"/>
    </row>
    <row r="14" spans="2:182" s="68" customFormat="1" x14ac:dyDescent="0.25">
      <c r="B14" s="108" t="s">
        <v>51</v>
      </c>
      <c r="C14" s="71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89"/>
      <c r="O14" s="71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89"/>
      <c r="AA14" s="71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89"/>
      <c r="AM14" s="71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89"/>
      <c r="AY14" s="71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89"/>
      <c r="BK14" s="71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89"/>
      <c r="BW14" s="71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297"/>
      <c r="DV14" s="351"/>
      <c r="DW14" s="351"/>
      <c r="DX14" s="351"/>
      <c r="DZ14" s="297"/>
      <c r="EE14" s="297"/>
    </row>
    <row r="15" spans="2:182" s="68" customFormat="1" x14ac:dyDescent="0.25">
      <c r="B15" s="108" t="s">
        <v>52</v>
      </c>
      <c r="C15" s="71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89"/>
      <c r="O15" s="71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89"/>
      <c r="AA15" s="71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89"/>
      <c r="AM15" s="71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89"/>
      <c r="AY15" s="71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89"/>
      <c r="BK15" s="71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89"/>
      <c r="BW15" s="71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T15" s="297"/>
      <c r="DV15" s="351"/>
      <c r="DW15" s="351"/>
      <c r="DX15" s="351"/>
      <c r="DZ15" s="297"/>
      <c r="EE15" s="297"/>
    </row>
    <row r="16" spans="2:182" s="68" customFormat="1" x14ac:dyDescent="0.25">
      <c r="B16" s="87" t="s">
        <v>1</v>
      </c>
      <c r="C16" s="71">
        <v>265247</v>
      </c>
      <c r="D16" s="69">
        <v>265247</v>
      </c>
      <c r="E16" s="69">
        <v>325389</v>
      </c>
      <c r="F16" s="69">
        <v>326665</v>
      </c>
      <c r="G16" s="69">
        <v>325221</v>
      </c>
      <c r="H16" s="69">
        <v>345409</v>
      </c>
      <c r="I16" s="69">
        <v>343701</v>
      </c>
      <c r="J16" s="69">
        <v>340192</v>
      </c>
      <c r="K16" s="69">
        <v>336780</v>
      </c>
      <c r="L16" s="69">
        <v>332543</v>
      </c>
      <c r="M16" s="69">
        <v>330599</v>
      </c>
      <c r="N16" s="89">
        <v>328568</v>
      </c>
      <c r="O16" s="71">
        <v>327313</v>
      </c>
      <c r="P16" s="69">
        <v>324788</v>
      </c>
      <c r="Q16" s="69">
        <v>325074</v>
      </c>
      <c r="R16" s="69">
        <v>323896</v>
      </c>
      <c r="S16" s="69">
        <v>322117</v>
      </c>
      <c r="T16" s="69">
        <v>318462</v>
      </c>
      <c r="U16" s="69">
        <v>317099</v>
      </c>
      <c r="V16" s="69">
        <v>316244</v>
      </c>
      <c r="W16" s="69">
        <v>315274</v>
      </c>
      <c r="X16" s="69">
        <v>313163</v>
      </c>
      <c r="Y16" s="69">
        <v>311560</v>
      </c>
      <c r="Z16" s="89">
        <v>308764</v>
      </c>
      <c r="AA16" s="71">
        <v>311817</v>
      </c>
      <c r="AB16" s="69">
        <v>311266</v>
      </c>
      <c r="AC16" s="69">
        <v>310177</v>
      </c>
      <c r="AD16" s="69">
        <v>310330</v>
      </c>
      <c r="AE16" s="69">
        <v>310016</v>
      </c>
      <c r="AF16" s="69">
        <v>307939</v>
      </c>
      <c r="AG16" s="69">
        <v>300985</v>
      </c>
      <c r="AH16" s="69">
        <v>304010</v>
      </c>
      <c r="AI16" s="69">
        <v>301664</v>
      </c>
      <c r="AJ16" s="69">
        <v>299850</v>
      </c>
      <c r="AK16" s="69">
        <v>298207</v>
      </c>
      <c r="AL16" s="89">
        <v>296051</v>
      </c>
      <c r="AM16" s="71">
        <v>284173</v>
      </c>
      <c r="AN16" s="69">
        <v>281508</v>
      </c>
      <c r="AO16" s="69">
        <v>280606</v>
      </c>
      <c r="AP16" s="69">
        <f>169497+110569</f>
        <v>280066</v>
      </c>
      <c r="AQ16" s="69">
        <f>168855+109192</f>
        <v>278047</v>
      </c>
      <c r="AR16" s="69">
        <f>165936+107395</f>
        <v>273331</v>
      </c>
      <c r="AS16" s="69">
        <f>164694+105992</f>
        <v>270686</v>
      </c>
      <c r="AT16" s="69">
        <f>163219+105775</f>
        <v>268994</v>
      </c>
      <c r="AU16" s="69">
        <f>162645+104685</f>
        <v>267330</v>
      </c>
      <c r="AV16" s="69">
        <f>162387+104359</f>
        <v>266746</v>
      </c>
      <c r="AW16" s="69">
        <f>161172+104117</f>
        <v>265289</v>
      </c>
      <c r="AX16" s="89">
        <f>160349+103707</f>
        <v>264056</v>
      </c>
      <c r="AY16" s="71">
        <f>159656+103401</f>
        <v>263057</v>
      </c>
      <c r="AZ16" s="69">
        <f>158706+102662</f>
        <v>261368</v>
      </c>
      <c r="BA16" s="69">
        <f>156670+102013</f>
        <v>258683</v>
      </c>
      <c r="BB16" s="69">
        <f>154853+101061</f>
        <v>255914</v>
      </c>
      <c r="BC16" s="69">
        <f>153799+100160</f>
        <v>253959</v>
      </c>
      <c r="BD16" s="69">
        <f>154930+97500</f>
        <v>252430</v>
      </c>
      <c r="BE16" s="69">
        <f>155457+95297</f>
        <v>250754</v>
      </c>
      <c r="BF16" s="69">
        <f>154748+94396</f>
        <v>249144</v>
      </c>
      <c r="BG16" s="69">
        <f>152453+93335</f>
        <v>245788</v>
      </c>
      <c r="BH16" s="69">
        <f>149852+92080</f>
        <v>241932</v>
      </c>
      <c r="BI16" s="69">
        <f>146886+90996</f>
        <v>237882</v>
      </c>
      <c r="BJ16" s="89">
        <f>90321+145104</f>
        <v>235425</v>
      </c>
      <c r="BK16" s="71">
        <f>141111+89240</f>
        <v>230351</v>
      </c>
      <c r="BL16" s="69">
        <f>138548+88526</f>
        <v>227074</v>
      </c>
      <c r="BM16" s="69">
        <f>136752+87719</f>
        <v>224471</v>
      </c>
      <c r="BN16" s="69">
        <f>136143+86948</f>
        <v>223091</v>
      </c>
      <c r="BO16" s="69">
        <f>85975+135539</f>
        <v>221514</v>
      </c>
      <c r="BP16" s="69">
        <f>135108+85007</f>
        <v>220115</v>
      </c>
      <c r="BQ16" s="69">
        <f>134083+84421</f>
        <v>218504</v>
      </c>
      <c r="BR16" s="69">
        <f>133556+83790</f>
        <v>217346</v>
      </c>
      <c r="BS16" s="69">
        <f>83194+132992</f>
        <v>216186</v>
      </c>
      <c r="BT16" s="69">
        <f>131998+82350</f>
        <v>214348</v>
      </c>
      <c r="BU16" s="69">
        <f>131088+82096</f>
        <v>213184</v>
      </c>
      <c r="BV16" s="89">
        <f>129061+81846</f>
        <v>210907</v>
      </c>
      <c r="BW16" s="71">
        <f>127419+81769</f>
        <v>209188</v>
      </c>
      <c r="BX16" s="69">
        <f>127349+81236</f>
        <v>208585</v>
      </c>
      <c r="BY16" s="69">
        <f>127359+80681</f>
        <v>208040</v>
      </c>
      <c r="BZ16" s="69">
        <f>127515+80032</f>
        <v>207547</v>
      </c>
      <c r="CA16" s="69">
        <f>127542+79378</f>
        <v>206920</v>
      </c>
      <c r="CB16" s="69">
        <f>125967+78681</f>
        <v>204648</v>
      </c>
      <c r="CC16" s="69">
        <f>125526+78581</f>
        <v>204107</v>
      </c>
      <c r="CD16" s="69">
        <f>125054+78099</f>
        <v>203153</v>
      </c>
      <c r="CE16" s="69">
        <f>124469+77666</f>
        <v>202135</v>
      </c>
      <c r="CF16" s="69">
        <f>123810+76989</f>
        <v>200799</v>
      </c>
      <c r="CG16" s="69">
        <f>122405+76370</f>
        <v>198775</v>
      </c>
      <c r="CH16" s="89">
        <f>118378+76103</f>
        <v>194481</v>
      </c>
      <c r="CI16" s="71">
        <f>116944+75792</f>
        <v>192736</v>
      </c>
      <c r="CJ16" s="69">
        <f>116512+75436</f>
        <v>191948</v>
      </c>
      <c r="CK16" s="69">
        <f>116269+75139</f>
        <v>191408</v>
      </c>
      <c r="CL16" s="69">
        <f>116138+74514</f>
        <v>190652</v>
      </c>
      <c r="CM16" s="69">
        <f>115633+73845</f>
        <v>189478</v>
      </c>
      <c r="CN16" s="69">
        <f>116317+74002</f>
        <v>190319</v>
      </c>
      <c r="CO16" s="69">
        <f>115808+73668</f>
        <v>189476</v>
      </c>
      <c r="CP16" s="69">
        <f>115261+73077</f>
        <v>188338</v>
      </c>
      <c r="CQ16" s="69">
        <f>114386+72097</f>
        <v>186483</v>
      </c>
      <c r="CR16" s="69">
        <f>113224+71112</f>
        <v>184336</v>
      </c>
      <c r="CS16" s="69">
        <f>111917+70471</f>
        <v>182388</v>
      </c>
      <c r="CT16" s="89">
        <f>110534+70472</f>
        <v>181006</v>
      </c>
      <c r="CU16" s="69">
        <f>109497+70809</f>
        <v>180306</v>
      </c>
      <c r="CV16" s="69">
        <f>109031+70712</f>
        <v>179743</v>
      </c>
      <c r="CW16" s="69">
        <f>108366+70402</f>
        <v>178768</v>
      </c>
      <c r="CX16" s="69">
        <f>108315+70038</f>
        <v>178353</v>
      </c>
      <c r="CY16" s="69">
        <f>107602+69095</f>
        <v>176697</v>
      </c>
      <c r="CZ16" s="69">
        <f>106636+68212</f>
        <v>174848</v>
      </c>
      <c r="DA16" s="69">
        <f>104811+67172</f>
        <v>171983</v>
      </c>
      <c r="DB16" s="69">
        <f>104309+66490</f>
        <v>170799</v>
      </c>
      <c r="DC16" s="69">
        <f>103646+65670</f>
        <v>169316</v>
      </c>
      <c r="DD16" s="69">
        <f>102796+65036</f>
        <v>167832</v>
      </c>
      <c r="DE16" s="69">
        <f>101280+64213</f>
        <v>165493</v>
      </c>
      <c r="DF16" s="89">
        <f>100019+63880</f>
        <v>163899</v>
      </c>
      <c r="DG16" s="68">
        <f>100175+64110</f>
        <v>164285</v>
      </c>
      <c r="DH16" s="68">
        <f>99062+63953</f>
        <v>163015</v>
      </c>
      <c r="DI16" s="320">
        <f>98634+63238</f>
        <v>161872</v>
      </c>
      <c r="DJ16" s="68">
        <f>97848+62247</f>
        <v>160095</v>
      </c>
      <c r="DK16" s="68">
        <f>97091+61434</f>
        <v>158525</v>
      </c>
      <c r="DL16" s="68">
        <f>95567+60656</f>
        <v>156223</v>
      </c>
      <c r="DM16" s="68">
        <f>88596+52531</f>
        <v>141127</v>
      </c>
      <c r="DN16" s="68">
        <f>93306+59629</f>
        <v>152935</v>
      </c>
      <c r="DO16" s="68">
        <f>92645+58970</f>
        <v>151615</v>
      </c>
      <c r="DP16" s="68">
        <f>91950+58227</f>
        <v>150177</v>
      </c>
      <c r="DQ16" s="68">
        <f>90816+57644</f>
        <v>148460</v>
      </c>
      <c r="DR16" s="68">
        <f>89861+57245</f>
        <v>147106</v>
      </c>
      <c r="DS16" s="68">
        <v>145392</v>
      </c>
      <c r="DT16" s="297">
        <v>144698</v>
      </c>
      <c r="DU16" s="68">
        <v>144064</v>
      </c>
      <c r="DV16" s="351">
        <v>143506</v>
      </c>
      <c r="DW16" s="351">
        <v>143124</v>
      </c>
      <c r="DX16" s="351">
        <v>142273</v>
      </c>
      <c r="DY16" s="68">
        <v>142120</v>
      </c>
      <c r="DZ16" s="297">
        <v>141937</v>
      </c>
      <c r="EA16" s="68">
        <v>141587</v>
      </c>
      <c r="EB16" s="68">
        <f>88596+52531</f>
        <v>141127</v>
      </c>
      <c r="EC16" s="68">
        <f>88224+52294</f>
        <v>140518</v>
      </c>
      <c r="ED16" s="68">
        <f>88463+52382</f>
        <v>140845</v>
      </c>
      <c r="EE16" s="68">
        <f>88245+52482</f>
        <v>140727</v>
      </c>
      <c r="EF16" s="68">
        <f>88563+52398</f>
        <v>140961</v>
      </c>
      <c r="EG16" s="68">
        <f>88752+52032</f>
        <v>140784</v>
      </c>
      <c r="EH16" s="68">
        <f>88631+51706</f>
        <v>140337</v>
      </c>
      <c r="EI16" s="68">
        <f>88635+51346</f>
        <v>139981</v>
      </c>
      <c r="EJ16" s="68">
        <f>88799+50624</f>
        <v>139423</v>
      </c>
      <c r="EK16" s="68">
        <f>88961+50223</f>
        <v>139184</v>
      </c>
      <c r="EL16" s="68">
        <f>89252+49759</f>
        <v>139011</v>
      </c>
      <c r="EM16" s="68">
        <f>89428+49152</f>
        <v>138580</v>
      </c>
      <c r="EN16" s="68">
        <f>89383+48729</f>
        <v>138112</v>
      </c>
      <c r="EO16" s="68">
        <f>89347+48474</f>
        <v>137821</v>
      </c>
      <c r="EP16" s="68">
        <f>89005+48132</f>
        <v>137137</v>
      </c>
      <c r="EQ16" s="68">
        <f>88764+47698</f>
        <v>136462</v>
      </c>
      <c r="ER16" s="68">
        <f>88956+47482</f>
        <v>136438</v>
      </c>
      <c r="ES16" s="68">
        <f>89068+47233</f>
        <v>136301</v>
      </c>
      <c r="ET16" s="68">
        <f>89418+46634</f>
        <v>136052</v>
      </c>
      <c r="EU16" s="68">
        <f>89750+46595</f>
        <v>136345</v>
      </c>
      <c r="EV16" s="68">
        <f>89757+46281</f>
        <v>136038</v>
      </c>
      <c r="EW16" s="68">
        <f>89545+46099</f>
        <v>135644</v>
      </c>
      <c r="EX16" s="68">
        <f>89490+45917</f>
        <v>135407</v>
      </c>
      <c r="EY16" s="68">
        <f>89605+45651</f>
        <v>135256</v>
      </c>
      <c r="EZ16" s="68">
        <f>90013+45395</f>
        <v>135408</v>
      </c>
      <c r="FA16" s="68">
        <f>89890+45224</f>
        <v>135114</v>
      </c>
      <c r="FB16" s="68">
        <f>89784+45001</f>
        <v>134785</v>
      </c>
      <c r="FC16" s="68">
        <f>89822+44911</f>
        <v>134733</v>
      </c>
      <c r="FD16" s="68">
        <f>93288+44864</f>
        <v>138152</v>
      </c>
      <c r="FE16" s="68">
        <f>93710+44749</f>
        <v>138459</v>
      </c>
      <c r="FF16" s="68">
        <f>94322+44479</f>
        <v>138801</v>
      </c>
      <c r="FG16" s="68">
        <f>94425+44203</f>
        <v>138628</v>
      </c>
      <c r="FH16" s="68">
        <f>94196+43854</f>
        <v>138050</v>
      </c>
      <c r="FI16" s="68">
        <f>94882+43788</f>
        <v>138670</v>
      </c>
      <c r="FJ16" s="68">
        <f>94873+43659</f>
        <v>138532</v>
      </c>
      <c r="FK16" s="68">
        <f>94742+43543</f>
        <v>138285</v>
      </c>
      <c r="FL16" s="68">
        <f>94620+43353</f>
        <v>137973</v>
      </c>
      <c r="FM16" s="68">
        <f>94447+43223</f>
        <v>137670</v>
      </c>
      <c r="FN16" s="68">
        <f>94199+43283</f>
        <v>137482</v>
      </c>
      <c r="FO16" s="68">
        <f>93680+43300</f>
        <v>136980</v>
      </c>
      <c r="FP16" s="68">
        <f>88411+43161</f>
        <v>131572</v>
      </c>
      <c r="FQ16" s="68">
        <f>87392+42865</f>
        <v>130257</v>
      </c>
      <c r="FR16" s="68">
        <f>87736+42619</f>
        <v>130355</v>
      </c>
      <c r="FS16" s="68">
        <f>87590+42456</f>
        <v>130046</v>
      </c>
      <c r="FT16" s="68">
        <f>87535+42048</f>
        <v>129583</v>
      </c>
    </row>
    <row r="17" spans="2:176" s="68" customFormat="1" ht="13.8" thickBot="1" x14ac:dyDescent="0.3">
      <c r="B17" s="90" t="s">
        <v>8</v>
      </c>
      <c r="C17" s="72">
        <v>2077</v>
      </c>
      <c r="D17" s="92">
        <v>8820</v>
      </c>
      <c r="E17" s="92">
        <v>15951</v>
      </c>
      <c r="F17" s="92">
        <v>18043</v>
      </c>
      <c r="G17" s="92">
        <v>19894</v>
      </c>
      <c r="H17" s="92">
        <v>24811</v>
      </c>
      <c r="I17" s="92">
        <v>24459</v>
      </c>
      <c r="J17" s="92">
        <v>31200</v>
      </c>
      <c r="K17" s="92">
        <v>33552</v>
      </c>
      <c r="L17" s="92">
        <v>36070</v>
      </c>
      <c r="M17" s="92">
        <v>38273</v>
      </c>
      <c r="N17" s="93">
        <v>40829</v>
      </c>
      <c r="O17" s="72">
        <v>44541</v>
      </c>
      <c r="P17" s="92">
        <v>47216</v>
      </c>
      <c r="Q17" s="92">
        <v>47298</v>
      </c>
      <c r="R17" s="92">
        <v>48378</v>
      </c>
      <c r="S17" s="92">
        <v>50651</v>
      </c>
      <c r="T17" s="92">
        <v>54186</v>
      </c>
      <c r="U17" s="92">
        <v>55260</v>
      </c>
      <c r="V17" s="92">
        <v>56649</v>
      </c>
      <c r="W17" s="92">
        <v>58901</v>
      </c>
      <c r="X17" s="92">
        <v>61088</v>
      </c>
      <c r="Y17" s="92">
        <v>64060</v>
      </c>
      <c r="Z17" s="93">
        <v>67138</v>
      </c>
      <c r="AA17" s="72">
        <v>63629</v>
      </c>
      <c r="AB17" s="92">
        <v>64516</v>
      </c>
      <c r="AC17" s="92">
        <v>66344</v>
      </c>
      <c r="AD17" s="92">
        <v>67668</v>
      </c>
      <c r="AE17" s="92">
        <v>69208</v>
      </c>
      <c r="AF17" s="92">
        <v>71932</v>
      </c>
      <c r="AG17" s="92">
        <v>74219</v>
      </c>
      <c r="AH17" s="92">
        <v>76666</v>
      </c>
      <c r="AI17" s="92">
        <v>79632</v>
      </c>
      <c r="AJ17" s="92">
        <v>82065</v>
      </c>
      <c r="AK17" s="92">
        <v>84307</v>
      </c>
      <c r="AL17" s="93">
        <v>86291</v>
      </c>
      <c r="AM17" s="72">
        <v>91740</v>
      </c>
      <c r="AN17" s="92">
        <v>94306</v>
      </c>
      <c r="AO17" s="92">
        <v>96068</v>
      </c>
      <c r="AP17" s="92">
        <f>42528+59839</f>
        <v>102367</v>
      </c>
      <c r="AQ17" s="92">
        <f>43903+61391</f>
        <v>105294</v>
      </c>
      <c r="AR17" s="92">
        <f>63890+47072</f>
        <v>110962</v>
      </c>
      <c r="AS17" s="92">
        <f>48745+65457</f>
        <v>114202</v>
      </c>
      <c r="AT17" s="92">
        <f>49224+67217</f>
        <v>116441</v>
      </c>
      <c r="AU17" s="92">
        <f>50333+68271</f>
        <v>118604</v>
      </c>
      <c r="AV17" s="92">
        <f>50863+68771</f>
        <v>119634</v>
      </c>
      <c r="AW17" s="92">
        <f>51261+70095</f>
        <v>121356</v>
      </c>
      <c r="AX17" s="93">
        <f>51863+70539</f>
        <v>122402</v>
      </c>
      <c r="AY17" s="72">
        <f>52567+73573</f>
        <v>126140</v>
      </c>
      <c r="AZ17" s="92">
        <f>53712+74593</f>
        <v>128305</v>
      </c>
      <c r="BA17" s="92">
        <f>55812+75765</f>
        <v>131577</v>
      </c>
      <c r="BB17" s="92">
        <f>58338+77019</f>
        <v>135357</v>
      </c>
      <c r="BC17" s="92">
        <f>59423+78648</f>
        <v>138071</v>
      </c>
      <c r="BD17" s="92">
        <f>61107+79204</f>
        <v>140311</v>
      </c>
      <c r="BE17" s="92">
        <f>62683+79735</f>
        <v>142418</v>
      </c>
      <c r="BF17" s="92">
        <f>63563+80687</f>
        <v>144250</v>
      </c>
      <c r="BG17" s="92">
        <f>65784+81961</f>
        <v>147745</v>
      </c>
      <c r="BH17" s="92">
        <f>68221+83190</f>
        <v>151411</v>
      </c>
      <c r="BI17" s="92">
        <f>70791+84461</f>
        <v>155252</v>
      </c>
      <c r="BJ17" s="93">
        <f>71814+85597</f>
        <v>157411</v>
      </c>
      <c r="BK17" s="72">
        <f>75785+86843</f>
        <v>162628</v>
      </c>
      <c r="BL17" s="92">
        <f>78200+88112</f>
        <v>166312</v>
      </c>
      <c r="BM17" s="92">
        <f>79932+89097</f>
        <v>169029</v>
      </c>
      <c r="BN17" s="92">
        <f>81340+90024</f>
        <v>171364</v>
      </c>
      <c r="BO17" s="92">
        <f>82363+91062</f>
        <v>173425</v>
      </c>
      <c r="BP17" s="92">
        <f>91810+83583</f>
        <v>175393</v>
      </c>
      <c r="BQ17" s="92">
        <f>84538+92505</f>
        <v>177043</v>
      </c>
      <c r="BR17" s="92">
        <f>85370+93018</f>
        <v>178388</v>
      </c>
      <c r="BS17" s="92">
        <f>86330+93624</f>
        <v>179954</v>
      </c>
      <c r="BT17" s="92">
        <f>87504+94537</f>
        <v>182041</v>
      </c>
      <c r="BU17" s="92">
        <f>87992+95111</f>
        <v>183103</v>
      </c>
      <c r="BV17" s="93">
        <f>89203+95874</f>
        <v>185077</v>
      </c>
      <c r="BW17" s="72">
        <f>96698+89936</f>
        <v>186634</v>
      </c>
      <c r="BX17" s="92">
        <f>97067+90274</f>
        <v>187341</v>
      </c>
      <c r="BY17" s="92">
        <f>90752+97354</f>
        <v>188106</v>
      </c>
      <c r="BZ17" s="92">
        <f>91225+97763</f>
        <v>188988</v>
      </c>
      <c r="CA17" s="92">
        <f>92060+98187</f>
        <v>190247</v>
      </c>
      <c r="CB17" s="92">
        <f>93426+99159</f>
        <v>192585</v>
      </c>
      <c r="CC17" s="92">
        <f>93974+99550</f>
        <v>193524</v>
      </c>
      <c r="CD17" s="92">
        <f>94421+100090</f>
        <v>194511</v>
      </c>
      <c r="CE17" s="92">
        <f>94955+100303</f>
        <v>195258</v>
      </c>
      <c r="CF17" s="92">
        <f>95673+100707</f>
        <v>196380</v>
      </c>
      <c r="CG17" s="92">
        <f>96825+100988</f>
        <v>197813</v>
      </c>
      <c r="CH17" s="93">
        <f>100306+100569</f>
        <v>200875</v>
      </c>
      <c r="CI17" s="72">
        <f>108241+102081</f>
        <v>210322</v>
      </c>
      <c r="CJ17" s="92">
        <f>101140+102349</f>
        <v>203489</v>
      </c>
      <c r="CK17" s="92">
        <f>101652+102714</f>
        <v>204366</v>
      </c>
      <c r="CL17" s="92">
        <f>102321+103260</f>
        <v>205581</v>
      </c>
      <c r="CM17" s="92">
        <f>103188+103935</f>
        <v>207123</v>
      </c>
      <c r="CN17" s="92">
        <f>102779+103982</f>
        <v>206761</v>
      </c>
      <c r="CO17" s="92">
        <f>103341+104713</f>
        <v>208054</v>
      </c>
      <c r="CP17" s="92">
        <f>104029+105365</f>
        <v>209394</v>
      </c>
      <c r="CQ17" s="92">
        <f>105050+106131</f>
        <v>211181</v>
      </c>
      <c r="CR17" s="92">
        <f>106289+106751</f>
        <v>213040</v>
      </c>
      <c r="CS17" s="92">
        <f>107270+107338</f>
        <v>214608</v>
      </c>
      <c r="CT17" s="93">
        <f>107893+107981</f>
        <v>215874</v>
      </c>
      <c r="CU17" s="91">
        <f>107815+108638</f>
        <v>216453</v>
      </c>
      <c r="CV17" s="92">
        <f>108142+109432</f>
        <v>217574</v>
      </c>
      <c r="CW17" s="92">
        <f>108897+110195</f>
        <v>219092</v>
      </c>
      <c r="CX17" s="92">
        <f>109546+110487</f>
        <v>220033</v>
      </c>
      <c r="CY17" s="92">
        <f>110807+110826</f>
        <v>221633</v>
      </c>
      <c r="CZ17" s="92">
        <f>111970+111351</f>
        <v>223321</v>
      </c>
      <c r="DA17" s="92">
        <f>114797+111524</f>
        <v>226321</v>
      </c>
      <c r="DB17" s="92">
        <f>116255+111996</f>
        <v>228251</v>
      </c>
      <c r="DC17" s="92">
        <f>117387+112557</f>
        <v>229944</v>
      </c>
      <c r="DD17" s="92">
        <f>118435+113284</f>
        <v>231719</v>
      </c>
      <c r="DE17" s="92">
        <f>119620+114567</f>
        <v>234187</v>
      </c>
      <c r="DF17" s="93">
        <f>120184+115712</f>
        <v>235896</v>
      </c>
      <c r="DG17" s="68">
        <f>119155+116368</f>
        <v>235523</v>
      </c>
      <c r="DH17" s="68">
        <f>119650+117757</f>
        <v>237407</v>
      </c>
      <c r="DI17" s="68">
        <f>120737+118574</f>
        <v>239311</v>
      </c>
      <c r="DJ17" s="68">
        <f>122134+119631</f>
        <v>241765</v>
      </c>
      <c r="DK17" s="68">
        <f>123277+120752</f>
        <v>244029</v>
      </c>
      <c r="DL17" s="68">
        <f>126268+122417</f>
        <v>248685</v>
      </c>
      <c r="DM17" s="68">
        <f>127100+123676</f>
        <v>250776</v>
      </c>
      <c r="DN17" s="68">
        <f>128035+124906</f>
        <v>252941</v>
      </c>
      <c r="DO17" s="68">
        <f>128890+125723</f>
        <v>254613</v>
      </c>
      <c r="DP17" s="68">
        <f>130208+126438</f>
        <v>256646</v>
      </c>
      <c r="DQ17" s="68">
        <f>131181+127278</f>
        <v>258459</v>
      </c>
      <c r="DR17" s="68">
        <f>131613+128384</f>
        <v>259997</v>
      </c>
      <c r="DS17" s="68">
        <v>261879</v>
      </c>
      <c r="DT17" s="297">
        <v>263129</v>
      </c>
      <c r="DU17" s="68">
        <v>264548</v>
      </c>
      <c r="DV17" s="351">
        <v>265968</v>
      </c>
      <c r="DW17" s="351">
        <v>267368</v>
      </c>
      <c r="DX17" s="351">
        <v>269407</v>
      </c>
      <c r="DY17" s="68">
        <v>270091</v>
      </c>
      <c r="DZ17" s="297">
        <v>271474</v>
      </c>
      <c r="EA17" s="68">
        <v>272593</v>
      </c>
      <c r="EB17" s="68">
        <f>140812+132822</f>
        <v>273634</v>
      </c>
      <c r="EC17" s="68">
        <f>141396+133294</f>
        <v>274690</v>
      </c>
      <c r="ED17" s="68">
        <f>141828+133376</f>
        <v>275204</v>
      </c>
      <c r="EE17" s="68">
        <f>141323+134168</f>
        <v>275491</v>
      </c>
      <c r="EF17" s="68">
        <f>141855+134315</f>
        <v>276170</v>
      </c>
      <c r="EG17" s="68">
        <f>142541+134460</f>
        <v>277001</v>
      </c>
      <c r="EH17" s="92">
        <f>143739+134745</f>
        <v>278484</v>
      </c>
      <c r="EI17" s="92">
        <f>144760+135225</f>
        <v>279985</v>
      </c>
      <c r="EJ17" s="92">
        <f>145597+135581</f>
        <v>281178</v>
      </c>
      <c r="EK17" s="92">
        <f>146485+135481</f>
        <v>281966</v>
      </c>
      <c r="EL17" s="92">
        <f>147510+135386</f>
        <v>282896</v>
      </c>
      <c r="EM17" s="92">
        <f>148189+135512</f>
        <v>283701</v>
      </c>
      <c r="EN17" s="92">
        <f>148992+135612</f>
        <v>284604</v>
      </c>
      <c r="EO17" s="92">
        <f>149807+135458</f>
        <v>285265</v>
      </c>
      <c r="EP17" s="92">
        <f>150599+135564</f>
        <v>286163</v>
      </c>
      <c r="EQ17" s="92">
        <f>151282+135738</f>
        <v>287020</v>
      </c>
      <c r="ER17" s="92">
        <f>151591+136005</f>
        <v>287596</v>
      </c>
      <c r="ES17" s="92">
        <f>152486+136183</f>
        <v>288669</v>
      </c>
      <c r="ET17" s="92">
        <f>153246+136470</f>
        <v>289716</v>
      </c>
      <c r="EU17" s="92">
        <f>154053+136209</f>
        <v>290262</v>
      </c>
      <c r="EV17" s="92">
        <f>154864+136423</f>
        <v>291287</v>
      </c>
      <c r="EW17" s="92">
        <f>155608+136622</f>
        <v>292230</v>
      </c>
      <c r="EX17" s="92">
        <f>156679+136790</f>
        <v>293469</v>
      </c>
      <c r="EY17" s="92">
        <f>157413+136870</f>
        <v>294283</v>
      </c>
      <c r="EZ17" s="92">
        <f>157817+137029</f>
        <v>294846</v>
      </c>
      <c r="FA17" s="92">
        <f>158441+137123</f>
        <v>295564</v>
      </c>
      <c r="FB17" s="92">
        <f>159199+137200</f>
        <v>296399</v>
      </c>
      <c r="FC17" s="92">
        <f>159564+137024</f>
        <v>296588</v>
      </c>
      <c r="FD17" s="92">
        <f>155954+137325</f>
        <v>293279</v>
      </c>
      <c r="FE17" s="92">
        <f>155854+137505</f>
        <v>293359</v>
      </c>
      <c r="FF17" s="92">
        <f>156628+137531</f>
        <v>294159</v>
      </c>
      <c r="FG17" s="92">
        <f>157227+137624</f>
        <v>294851</v>
      </c>
      <c r="FH17" s="92">
        <f>158098+137996</f>
        <v>296094</v>
      </c>
      <c r="FI17" s="92">
        <f>157893+138040</f>
        <v>295933</v>
      </c>
      <c r="FJ17" s="92">
        <f>158256+138542</f>
        <v>296798</v>
      </c>
      <c r="FK17" s="92">
        <f>158721+139017</f>
        <v>297738</v>
      </c>
      <c r="FL17" s="92">
        <f>159288+139258</f>
        <v>298546</v>
      </c>
      <c r="FM17" s="92">
        <f>159784+139523</f>
        <v>299307</v>
      </c>
      <c r="FN17" s="92">
        <f>160058+139735</f>
        <v>299793</v>
      </c>
      <c r="FO17" s="92">
        <f>160434+139958</f>
        <v>300392</v>
      </c>
      <c r="FP17" s="92">
        <f>166059+140363</f>
        <v>306422</v>
      </c>
      <c r="FQ17" s="92">
        <f>168050+140323</f>
        <v>308373</v>
      </c>
      <c r="FR17" s="92">
        <f>168862+140321</f>
        <v>309183</v>
      </c>
      <c r="FS17" s="92">
        <f>169720+140607</f>
        <v>310327</v>
      </c>
      <c r="FT17" s="92">
        <f>170439+141087</f>
        <v>311526</v>
      </c>
    </row>
    <row r="18" spans="2:176" s="68" customFormat="1" ht="13.8" thickTop="1" x14ac:dyDescent="0.25">
      <c r="B18" s="87" t="s">
        <v>9</v>
      </c>
      <c r="C18" s="106">
        <f t="shared" ref="C18:Q18" si="45">SUM(C16:C17)</f>
        <v>267324</v>
      </c>
      <c r="D18" s="94">
        <f t="shared" si="45"/>
        <v>274067</v>
      </c>
      <c r="E18" s="94">
        <f t="shared" si="45"/>
        <v>341340</v>
      </c>
      <c r="F18" s="94">
        <f t="shared" si="45"/>
        <v>344708</v>
      </c>
      <c r="G18" s="94">
        <f t="shared" si="45"/>
        <v>345115</v>
      </c>
      <c r="H18" s="94">
        <f t="shared" si="45"/>
        <v>370220</v>
      </c>
      <c r="I18" s="94">
        <f t="shared" si="45"/>
        <v>368160</v>
      </c>
      <c r="J18" s="94">
        <f t="shared" si="45"/>
        <v>371392</v>
      </c>
      <c r="K18" s="94">
        <f t="shared" si="45"/>
        <v>370332</v>
      </c>
      <c r="L18" s="94">
        <f t="shared" si="45"/>
        <v>368613</v>
      </c>
      <c r="M18" s="94">
        <f t="shared" si="45"/>
        <v>368872</v>
      </c>
      <c r="N18" s="107">
        <f t="shared" si="45"/>
        <v>369397</v>
      </c>
      <c r="O18" s="106">
        <f t="shared" si="45"/>
        <v>371854</v>
      </c>
      <c r="P18" s="94">
        <f t="shared" si="45"/>
        <v>372004</v>
      </c>
      <c r="Q18" s="94">
        <f t="shared" si="45"/>
        <v>372372</v>
      </c>
      <c r="R18" s="94">
        <f t="shared" ref="R18:W18" si="46">SUM(R16:R17)</f>
        <v>372274</v>
      </c>
      <c r="S18" s="94">
        <f t="shared" si="46"/>
        <v>372768</v>
      </c>
      <c r="T18" s="94">
        <f t="shared" si="46"/>
        <v>372648</v>
      </c>
      <c r="U18" s="94">
        <f t="shared" si="46"/>
        <v>372359</v>
      </c>
      <c r="V18" s="94">
        <f t="shared" si="46"/>
        <v>372893</v>
      </c>
      <c r="W18" s="94">
        <f t="shared" si="46"/>
        <v>374175</v>
      </c>
      <c r="X18" s="94">
        <f t="shared" ref="X18:AC18" si="47">SUM(X16:X17)</f>
        <v>374251</v>
      </c>
      <c r="Y18" s="94">
        <f t="shared" si="47"/>
        <v>375620</v>
      </c>
      <c r="Z18" s="107">
        <f t="shared" si="47"/>
        <v>375902</v>
      </c>
      <c r="AA18" s="106">
        <f t="shared" si="47"/>
        <v>375446</v>
      </c>
      <c r="AB18" s="94">
        <f t="shared" si="47"/>
        <v>375782</v>
      </c>
      <c r="AC18" s="94">
        <f t="shared" si="47"/>
        <v>376521</v>
      </c>
      <c r="AD18" s="94">
        <f t="shared" ref="AD18:AI18" si="48">SUM(AD16:AD17)</f>
        <v>377998</v>
      </c>
      <c r="AE18" s="94">
        <f t="shared" si="48"/>
        <v>379224</v>
      </c>
      <c r="AF18" s="94">
        <f t="shared" si="48"/>
        <v>379871</v>
      </c>
      <c r="AG18" s="94">
        <f t="shared" si="48"/>
        <v>375204</v>
      </c>
      <c r="AH18" s="94">
        <f t="shared" si="48"/>
        <v>380676</v>
      </c>
      <c r="AI18" s="94">
        <f t="shared" si="48"/>
        <v>381296</v>
      </c>
      <c r="AJ18" s="94">
        <f t="shared" ref="AJ18:AP18" si="49">SUM(AJ16:AJ17)</f>
        <v>381915</v>
      </c>
      <c r="AK18" s="94">
        <f t="shared" si="49"/>
        <v>382514</v>
      </c>
      <c r="AL18" s="107">
        <f t="shared" si="49"/>
        <v>382342</v>
      </c>
      <c r="AM18" s="106">
        <f t="shared" si="49"/>
        <v>375913</v>
      </c>
      <c r="AN18" s="94">
        <f t="shared" si="49"/>
        <v>375814</v>
      </c>
      <c r="AO18" s="94">
        <f t="shared" si="49"/>
        <v>376674</v>
      </c>
      <c r="AP18" s="94">
        <f t="shared" si="49"/>
        <v>382433</v>
      </c>
      <c r="AQ18" s="94">
        <f t="shared" ref="AQ18:AX18" si="50">SUM(AQ16:AQ17)</f>
        <v>383341</v>
      </c>
      <c r="AR18" s="94">
        <f t="shared" si="50"/>
        <v>384293</v>
      </c>
      <c r="AS18" s="94">
        <f t="shared" si="50"/>
        <v>384888</v>
      </c>
      <c r="AT18" s="94">
        <f t="shared" si="50"/>
        <v>385435</v>
      </c>
      <c r="AU18" s="94">
        <f t="shared" si="50"/>
        <v>385934</v>
      </c>
      <c r="AV18" s="94">
        <f t="shared" si="50"/>
        <v>386380</v>
      </c>
      <c r="AW18" s="94">
        <f t="shared" si="50"/>
        <v>386645</v>
      </c>
      <c r="AX18" s="107">
        <f t="shared" si="50"/>
        <v>386458</v>
      </c>
      <c r="AY18" s="106">
        <f t="shared" ref="AY18:BJ18" si="51">SUM(AY16:AY17)</f>
        <v>389197</v>
      </c>
      <c r="AZ18" s="94">
        <f t="shared" si="51"/>
        <v>389673</v>
      </c>
      <c r="BA18" s="94">
        <f t="shared" si="51"/>
        <v>390260</v>
      </c>
      <c r="BB18" s="94">
        <f t="shared" si="51"/>
        <v>391271</v>
      </c>
      <c r="BC18" s="94">
        <f t="shared" si="51"/>
        <v>392030</v>
      </c>
      <c r="BD18" s="94">
        <f t="shared" si="51"/>
        <v>392741</v>
      </c>
      <c r="BE18" s="94">
        <f t="shared" si="51"/>
        <v>393172</v>
      </c>
      <c r="BF18" s="94">
        <f t="shared" si="51"/>
        <v>393394</v>
      </c>
      <c r="BG18" s="94">
        <f t="shared" si="51"/>
        <v>393533</v>
      </c>
      <c r="BH18" s="94">
        <f t="shared" si="51"/>
        <v>393343</v>
      </c>
      <c r="BI18" s="94">
        <f t="shared" si="51"/>
        <v>393134</v>
      </c>
      <c r="BJ18" s="107">
        <f t="shared" si="51"/>
        <v>392836</v>
      </c>
      <c r="BK18" s="106">
        <f t="shared" ref="BK18:BP18" si="52">SUM(BK16:BK17)</f>
        <v>392979</v>
      </c>
      <c r="BL18" s="94">
        <f t="shared" si="52"/>
        <v>393386</v>
      </c>
      <c r="BM18" s="94">
        <f t="shared" si="52"/>
        <v>393500</v>
      </c>
      <c r="BN18" s="94">
        <f t="shared" si="52"/>
        <v>394455</v>
      </c>
      <c r="BO18" s="94">
        <f t="shared" si="52"/>
        <v>394939</v>
      </c>
      <c r="BP18" s="94">
        <f t="shared" si="52"/>
        <v>395508</v>
      </c>
      <c r="BQ18" s="94">
        <f t="shared" ref="BQ18:CB18" si="53">SUM(BQ16:BQ17)</f>
        <v>395547</v>
      </c>
      <c r="BR18" s="94">
        <f t="shared" si="53"/>
        <v>395734</v>
      </c>
      <c r="BS18" s="94">
        <f t="shared" si="53"/>
        <v>396140</v>
      </c>
      <c r="BT18" s="94">
        <f t="shared" si="53"/>
        <v>396389</v>
      </c>
      <c r="BU18" s="94">
        <f t="shared" si="53"/>
        <v>396287</v>
      </c>
      <c r="BV18" s="107">
        <f t="shared" si="53"/>
        <v>395984</v>
      </c>
      <c r="BW18" s="106">
        <f t="shared" si="53"/>
        <v>395822</v>
      </c>
      <c r="BX18" s="94">
        <f t="shared" si="53"/>
        <v>395926</v>
      </c>
      <c r="BY18" s="94">
        <f t="shared" si="53"/>
        <v>396146</v>
      </c>
      <c r="BZ18" s="94">
        <f t="shared" si="53"/>
        <v>396535</v>
      </c>
      <c r="CA18" s="94">
        <f t="shared" si="53"/>
        <v>397167</v>
      </c>
      <c r="CB18" s="94">
        <f t="shared" si="53"/>
        <v>397233</v>
      </c>
      <c r="CC18" s="94">
        <f t="shared" ref="CC18:CK18" si="54">SUM(CC16:CC17)</f>
        <v>397631</v>
      </c>
      <c r="CD18" s="94">
        <f t="shared" si="54"/>
        <v>397664</v>
      </c>
      <c r="CE18" s="94">
        <f t="shared" si="54"/>
        <v>397393</v>
      </c>
      <c r="CF18" s="94">
        <f t="shared" si="54"/>
        <v>397179</v>
      </c>
      <c r="CG18" s="94">
        <f t="shared" si="54"/>
        <v>396588</v>
      </c>
      <c r="CH18" s="96">
        <f t="shared" si="54"/>
        <v>395356</v>
      </c>
      <c r="CI18" s="106">
        <f t="shared" si="54"/>
        <v>403058</v>
      </c>
      <c r="CJ18" s="94">
        <f t="shared" si="54"/>
        <v>395437</v>
      </c>
      <c r="CK18" s="94">
        <f t="shared" si="54"/>
        <v>395774</v>
      </c>
      <c r="CL18" s="94">
        <f t="shared" ref="CL18:CT18" si="55">SUM(CL16:CL17)</f>
        <v>396233</v>
      </c>
      <c r="CM18" s="94">
        <f t="shared" si="55"/>
        <v>396601</v>
      </c>
      <c r="CN18" s="94">
        <f t="shared" si="55"/>
        <v>397080</v>
      </c>
      <c r="CO18" s="94">
        <f t="shared" si="55"/>
        <v>397530</v>
      </c>
      <c r="CP18" s="94">
        <f t="shared" si="55"/>
        <v>397732</v>
      </c>
      <c r="CQ18" s="94">
        <f t="shared" si="55"/>
        <v>397664</v>
      </c>
      <c r="CR18" s="94">
        <f t="shared" si="55"/>
        <v>397376</v>
      </c>
      <c r="CS18" s="94">
        <f t="shared" si="55"/>
        <v>396996</v>
      </c>
      <c r="CT18" s="107">
        <f t="shared" si="55"/>
        <v>396880</v>
      </c>
      <c r="CU18" s="95">
        <f>SUM(CU16:CU17)</f>
        <v>396759</v>
      </c>
      <c r="CV18" s="95">
        <f>SUM(CV16:CV17)</f>
        <v>397317</v>
      </c>
      <c r="CW18" s="95">
        <f>SUM(CW16:CW17)</f>
        <v>397860</v>
      </c>
      <c r="CX18" s="95">
        <f t="shared" ref="CX18:DC18" si="56">SUM(CX16:CX17)</f>
        <v>398386</v>
      </c>
      <c r="CY18" s="95">
        <f t="shared" si="56"/>
        <v>398330</v>
      </c>
      <c r="CZ18" s="95">
        <f t="shared" si="56"/>
        <v>398169</v>
      </c>
      <c r="DA18" s="95">
        <f t="shared" si="56"/>
        <v>398304</v>
      </c>
      <c r="DB18" s="95">
        <f t="shared" si="56"/>
        <v>399050</v>
      </c>
      <c r="DC18" s="95">
        <f t="shared" si="56"/>
        <v>399260</v>
      </c>
      <c r="DD18" s="95">
        <f t="shared" ref="DD18:DJ18" si="57">SUM(DD16:DD17)</f>
        <v>399551</v>
      </c>
      <c r="DE18" s="95">
        <f t="shared" si="57"/>
        <v>399680</v>
      </c>
      <c r="DF18" s="107">
        <f t="shared" si="57"/>
        <v>399795</v>
      </c>
      <c r="DG18" s="95">
        <f t="shared" si="57"/>
        <v>399808</v>
      </c>
      <c r="DH18" s="95">
        <f t="shared" si="57"/>
        <v>400422</v>
      </c>
      <c r="DI18" s="95">
        <f t="shared" si="57"/>
        <v>401183</v>
      </c>
      <c r="DJ18" s="95">
        <f t="shared" si="57"/>
        <v>401860</v>
      </c>
      <c r="DK18" s="95">
        <f t="shared" ref="DK18:FN18" si="58">SUM(DK16:DK17)</f>
        <v>402554</v>
      </c>
      <c r="DL18" s="95">
        <f t="shared" si="58"/>
        <v>404908</v>
      </c>
      <c r="DM18" s="95">
        <f t="shared" si="58"/>
        <v>391903</v>
      </c>
      <c r="DN18" s="95">
        <f t="shared" si="58"/>
        <v>405876</v>
      </c>
      <c r="DO18" s="95">
        <f t="shared" si="58"/>
        <v>406228</v>
      </c>
      <c r="DP18" s="95">
        <f t="shared" si="58"/>
        <v>406823</v>
      </c>
      <c r="DQ18" s="95">
        <f t="shared" si="58"/>
        <v>406919</v>
      </c>
      <c r="DR18" s="95">
        <f t="shared" si="58"/>
        <v>407103</v>
      </c>
      <c r="DS18" s="95">
        <f t="shared" si="58"/>
        <v>407271</v>
      </c>
      <c r="DT18" s="95">
        <f t="shared" si="58"/>
        <v>407827</v>
      </c>
      <c r="DU18" s="95">
        <f t="shared" si="58"/>
        <v>408612</v>
      </c>
      <c r="DV18" s="355">
        <f t="shared" si="58"/>
        <v>409474</v>
      </c>
      <c r="DW18" s="355">
        <f t="shared" si="58"/>
        <v>410492</v>
      </c>
      <c r="DX18" s="355">
        <f t="shared" si="58"/>
        <v>411680</v>
      </c>
      <c r="DY18" s="355">
        <f t="shared" si="58"/>
        <v>412211</v>
      </c>
      <c r="DZ18" s="355">
        <f t="shared" si="58"/>
        <v>413411</v>
      </c>
      <c r="EA18" s="355">
        <f t="shared" si="58"/>
        <v>414180</v>
      </c>
      <c r="EB18" s="355">
        <f t="shared" si="58"/>
        <v>414761</v>
      </c>
      <c r="EC18" s="355">
        <f t="shared" si="58"/>
        <v>415208</v>
      </c>
      <c r="ED18" s="355">
        <f t="shared" si="58"/>
        <v>416049</v>
      </c>
      <c r="EE18" s="355">
        <f t="shared" si="58"/>
        <v>416218</v>
      </c>
      <c r="EF18" s="355">
        <f t="shared" si="58"/>
        <v>417131</v>
      </c>
      <c r="EG18" s="355">
        <f t="shared" si="58"/>
        <v>417785</v>
      </c>
      <c r="EH18" s="355">
        <f t="shared" si="58"/>
        <v>418821</v>
      </c>
      <c r="EI18" s="355">
        <f t="shared" si="58"/>
        <v>419966</v>
      </c>
      <c r="EJ18" s="355">
        <f t="shared" si="58"/>
        <v>420601</v>
      </c>
      <c r="EK18" s="355">
        <f t="shared" si="58"/>
        <v>421150</v>
      </c>
      <c r="EL18" s="355">
        <f t="shared" si="58"/>
        <v>421907</v>
      </c>
      <c r="EM18" s="355">
        <f t="shared" si="58"/>
        <v>422281</v>
      </c>
      <c r="EN18" s="355">
        <f t="shared" si="58"/>
        <v>422716</v>
      </c>
      <c r="EO18" s="355">
        <f t="shared" si="58"/>
        <v>423086</v>
      </c>
      <c r="EP18" s="355">
        <f t="shared" si="58"/>
        <v>423300</v>
      </c>
      <c r="EQ18" s="355">
        <f t="shared" si="58"/>
        <v>423482</v>
      </c>
      <c r="ER18" s="355">
        <f t="shared" si="58"/>
        <v>424034</v>
      </c>
      <c r="ES18" s="355">
        <f t="shared" si="58"/>
        <v>424970</v>
      </c>
      <c r="ET18" s="355">
        <f t="shared" si="58"/>
        <v>425768</v>
      </c>
      <c r="EU18" s="355">
        <f t="shared" si="58"/>
        <v>426607</v>
      </c>
      <c r="EV18" s="355">
        <f t="shared" si="58"/>
        <v>427325</v>
      </c>
      <c r="EW18" s="355">
        <f t="shared" si="58"/>
        <v>427874</v>
      </c>
      <c r="EX18" s="355">
        <f t="shared" si="58"/>
        <v>428876</v>
      </c>
      <c r="EY18" s="355">
        <f t="shared" si="58"/>
        <v>429539</v>
      </c>
      <c r="EZ18" s="355">
        <f t="shared" si="58"/>
        <v>430254</v>
      </c>
      <c r="FA18" s="355">
        <f t="shared" si="58"/>
        <v>430678</v>
      </c>
      <c r="FB18" s="355">
        <f t="shared" si="58"/>
        <v>431184</v>
      </c>
      <c r="FC18" s="355">
        <f t="shared" si="58"/>
        <v>431321</v>
      </c>
      <c r="FD18" s="355">
        <f t="shared" si="58"/>
        <v>431431</v>
      </c>
      <c r="FE18" s="355">
        <f t="shared" si="58"/>
        <v>431818</v>
      </c>
      <c r="FF18" s="355">
        <f t="shared" si="58"/>
        <v>432960</v>
      </c>
      <c r="FG18" s="355">
        <f t="shared" si="58"/>
        <v>433479</v>
      </c>
      <c r="FH18" s="355">
        <f t="shared" si="58"/>
        <v>434144</v>
      </c>
      <c r="FI18" s="355">
        <f t="shared" si="58"/>
        <v>434603</v>
      </c>
      <c r="FJ18" s="355">
        <f t="shared" si="58"/>
        <v>435330</v>
      </c>
      <c r="FK18" s="355">
        <f t="shared" si="58"/>
        <v>436023</v>
      </c>
      <c r="FL18" s="355">
        <f t="shared" si="58"/>
        <v>436519</v>
      </c>
      <c r="FM18" s="355">
        <f t="shared" si="58"/>
        <v>436977</v>
      </c>
      <c r="FN18" s="355">
        <f t="shared" si="58"/>
        <v>437275</v>
      </c>
      <c r="FO18" s="355">
        <f t="shared" ref="FO18:FQ18" si="59">SUM(FO16:FO17)</f>
        <v>437372</v>
      </c>
      <c r="FP18" s="355">
        <f t="shared" si="59"/>
        <v>437994</v>
      </c>
      <c r="FQ18" s="355">
        <f t="shared" si="59"/>
        <v>438630</v>
      </c>
      <c r="FR18" s="355">
        <f t="shared" ref="FR18:FT18" si="60">SUM(FR16:FR17)</f>
        <v>439538</v>
      </c>
      <c r="FS18" s="355">
        <f t="shared" si="60"/>
        <v>440373</v>
      </c>
      <c r="FT18" s="355">
        <f t="shared" si="60"/>
        <v>441109</v>
      </c>
    </row>
    <row r="19" spans="2:176" s="188" customFormat="1" x14ac:dyDescent="0.25">
      <c r="B19" s="264" t="s">
        <v>10</v>
      </c>
      <c r="C19" s="258">
        <f t="shared" ref="C19:Q19" si="61">SUM(C16)/C18</f>
        <v>0.99223040205892477</v>
      </c>
      <c r="D19" s="259">
        <f t="shared" si="61"/>
        <v>0.9678180882776839</v>
      </c>
      <c r="E19" s="259">
        <f t="shared" si="61"/>
        <v>0.95326946739321494</v>
      </c>
      <c r="F19" s="259">
        <f t="shared" si="61"/>
        <v>0.94765714749875252</v>
      </c>
      <c r="G19" s="259">
        <f t="shared" si="61"/>
        <v>0.94235544673514626</v>
      </c>
      <c r="H19" s="259">
        <f t="shared" si="61"/>
        <v>0.93298309113500077</v>
      </c>
      <c r="I19" s="259">
        <f t="shared" si="61"/>
        <v>0.93356421121251632</v>
      </c>
      <c r="J19" s="259">
        <f t="shared" si="61"/>
        <v>0.91599172841633636</v>
      </c>
      <c r="K19" s="259">
        <f t="shared" si="61"/>
        <v>0.90940021386215608</v>
      </c>
      <c r="L19" s="259">
        <f t="shared" si="61"/>
        <v>0.90214669585717266</v>
      </c>
      <c r="M19" s="259">
        <f t="shared" si="61"/>
        <v>0.89624314125225013</v>
      </c>
      <c r="N19" s="265">
        <f t="shared" si="61"/>
        <v>0.88947121931147244</v>
      </c>
      <c r="O19" s="258">
        <f t="shared" si="61"/>
        <v>0.88021911825608978</v>
      </c>
      <c r="P19" s="259">
        <f t="shared" si="61"/>
        <v>0.87307663358458509</v>
      </c>
      <c r="Q19" s="259">
        <f t="shared" si="61"/>
        <v>0.87298185685282459</v>
      </c>
      <c r="R19" s="259">
        <f t="shared" ref="R19:W19" si="62">SUM(R16)/R18</f>
        <v>0.87004733072951645</v>
      </c>
      <c r="S19" s="259">
        <f t="shared" si="62"/>
        <v>0.86412192033650959</v>
      </c>
      <c r="T19" s="259">
        <f t="shared" si="62"/>
        <v>0.85459200103046307</v>
      </c>
      <c r="U19" s="259">
        <f t="shared" si="62"/>
        <v>0.85159483186924445</v>
      </c>
      <c r="V19" s="259">
        <f t="shared" si="62"/>
        <v>0.84808242578970372</v>
      </c>
      <c r="W19" s="259">
        <f t="shared" si="62"/>
        <v>0.84258435224159822</v>
      </c>
      <c r="X19" s="259">
        <f t="shared" ref="X19:AC19" si="63">SUM(X16)/X18</f>
        <v>0.83677264723407552</v>
      </c>
      <c r="Y19" s="259">
        <f t="shared" si="63"/>
        <v>0.82945530056972472</v>
      </c>
      <c r="Z19" s="265">
        <f t="shared" si="63"/>
        <v>0.82139493804236208</v>
      </c>
      <c r="AA19" s="258">
        <f t="shared" si="63"/>
        <v>0.83052422984929919</v>
      </c>
      <c r="AB19" s="259">
        <f t="shared" si="63"/>
        <v>0.8283153530504388</v>
      </c>
      <c r="AC19" s="259">
        <f t="shared" si="63"/>
        <v>0.82379734463681975</v>
      </c>
      <c r="AD19" s="259">
        <f t="shared" ref="AD19:AI19" si="64">SUM(AD16)/AD18</f>
        <v>0.8209831798051842</v>
      </c>
      <c r="AE19" s="259">
        <f t="shared" si="64"/>
        <v>0.81750100204628395</v>
      </c>
      <c r="AF19" s="259">
        <f t="shared" si="64"/>
        <v>0.81064098075399282</v>
      </c>
      <c r="AG19" s="259">
        <f t="shared" si="64"/>
        <v>0.80219027515698127</v>
      </c>
      <c r="AH19" s="259">
        <f t="shared" si="64"/>
        <v>0.79860563839065246</v>
      </c>
      <c r="AI19" s="259">
        <f t="shared" si="64"/>
        <v>0.7911543787503672</v>
      </c>
      <c r="AJ19" s="259">
        <f t="shared" ref="AJ19:AP19" si="65">SUM(AJ16)/AJ18</f>
        <v>0.78512234397706293</v>
      </c>
      <c r="AK19" s="259">
        <f t="shared" si="65"/>
        <v>0.77959760949926016</v>
      </c>
      <c r="AL19" s="265">
        <f t="shared" si="65"/>
        <v>0.77430938793017767</v>
      </c>
      <c r="AM19" s="258">
        <f t="shared" si="65"/>
        <v>0.75595417024683897</v>
      </c>
      <c r="AN19" s="259">
        <f t="shared" si="65"/>
        <v>0.7490620360071738</v>
      </c>
      <c r="AO19" s="259">
        <f t="shared" si="65"/>
        <v>0.74495717782485649</v>
      </c>
      <c r="AP19" s="259">
        <f t="shared" si="65"/>
        <v>0.73232696969142308</v>
      </c>
      <c r="AQ19" s="259">
        <f t="shared" ref="AQ19:AX19" si="66">SUM(AQ16)/AQ18</f>
        <v>0.7253254934901302</v>
      </c>
      <c r="AR19" s="259">
        <f t="shared" si="66"/>
        <v>0.71125677542916477</v>
      </c>
      <c r="AS19" s="259">
        <f t="shared" si="66"/>
        <v>0.70328511151295958</v>
      </c>
      <c r="AT19" s="259">
        <f t="shared" si="66"/>
        <v>0.69789718110706089</v>
      </c>
      <c r="AU19" s="259">
        <f t="shared" si="66"/>
        <v>0.69268320490031976</v>
      </c>
      <c r="AV19" s="259">
        <f t="shared" si="66"/>
        <v>0.69037217247269522</v>
      </c>
      <c r="AW19" s="259">
        <f t="shared" si="66"/>
        <v>0.68613068835753732</v>
      </c>
      <c r="AX19" s="265">
        <f t="shared" si="66"/>
        <v>0.68327217964177223</v>
      </c>
      <c r="AY19" s="258">
        <f t="shared" ref="AY19:BJ19" si="67">SUM(AY16)/AY18</f>
        <v>0.67589678234929873</v>
      </c>
      <c r="AZ19" s="259">
        <f t="shared" si="67"/>
        <v>0.67073674593826105</v>
      </c>
      <c r="BA19" s="259">
        <f t="shared" si="67"/>
        <v>0.66284784502639271</v>
      </c>
      <c r="BB19" s="259">
        <f t="shared" si="67"/>
        <v>0.65405818473641031</v>
      </c>
      <c r="BC19" s="259">
        <f t="shared" si="67"/>
        <v>0.64780501492232734</v>
      </c>
      <c r="BD19" s="259">
        <f t="shared" si="67"/>
        <v>0.64273910796173561</v>
      </c>
      <c r="BE19" s="259">
        <f t="shared" si="67"/>
        <v>0.63777176401167934</v>
      </c>
      <c r="BF19" s="259">
        <f t="shared" si="67"/>
        <v>0.63331926770616731</v>
      </c>
      <c r="BG19" s="259">
        <f t="shared" si="67"/>
        <v>0.62456769826164515</v>
      </c>
      <c r="BH19" s="259">
        <f t="shared" si="67"/>
        <v>0.61506623989749409</v>
      </c>
      <c r="BI19" s="259">
        <f t="shared" si="67"/>
        <v>0.60509139377413301</v>
      </c>
      <c r="BJ19" s="265">
        <f t="shared" si="67"/>
        <v>0.59929588937877387</v>
      </c>
      <c r="BK19" s="258">
        <f t="shared" ref="BK19:BP19" si="68">SUM(BK16)/BK18</f>
        <v>0.58616618190793912</v>
      </c>
      <c r="BL19" s="259">
        <f t="shared" si="68"/>
        <v>0.57722948961071319</v>
      </c>
      <c r="BM19" s="259">
        <f t="shared" si="68"/>
        <v>0.57044726810673441</v>
      </c>
      <c r="BN19" s="259">
        <f t="shared" si="68"/>
        <v>0.56556768199160867</v>
      </c>
      <c r="BO19" s="259">
        <f t="shared" si="68"/>
        <v>0.56088155386021643</v>
      </c>
      <c r="BP19" s="259">
        <f t="shared" si="68"/>
        <v>0.55653741517238586</v>
      </c>
      <c r="BQ19" s="259">
        <f t="shared" ref="BQ19:CB19" si="69">SUM(BQ16)/BQ18</f>
        <v>0.55240970099634179</v>
      </c>
      <c r="BR19" s="259">
        <f t="shared" si="69"/>
        <v>0.54922245750933707</v>
      </c>
      <c r="BS19" s="259">
        <f t="shared" si="69"/>
        <v>0.5457313071136467</v>
      </c>
      <c r="BT19" s="259">
        <f t="shared" si="69"/>
        <v>0.54075163538846938</v>
      </c>
      <c r="BU19" s="259">
        <f t="shared" si="69"/>
        <v>0.53795355386374022</v>
      </c>
      <c r="BV19" s="265">
        <f t="shared" si="69"/>
        <v>0.53261495413956117</v>
      </c>
      <c r="BW19" s="258">
        <f t="shared" si="69"/>
        <v>0.52849007887383725</v>
      </c>
      <c r="BX19" s="259">
        <f t="shared" si="69"/>
        <v>0.52682824568227393</v>
      </c>
      <c r="BY19" s="259">
        <f t="shared" si="69"/>
        <v>0.52515991578862342</v>
      </c>
      <c r="BZ19" s="259">
        <f t="shared" si="69"/>
        <v>0.52340146519222763</v>
      </c>
      <c r="CA19" s="259">
        <f t="shared" si="69"/>
        <v>0.52098991104497605</v>
      </c>
      <c r="CB19" s="259">
        <f t="shared" si="69"/>
        <v>0.51518378382460672</v>
      </c>
      <c r="CC19" s="259">
        <f t="shared" ref="CC19:CK19" si="70">SUM(CC16)/CC18</f>
        <v>0.51330756404807476</v>
      </c>
      <c r="CD19" s="259">
        <f t="shared" si="70"/>
        <v>0.51086595718998951</v>
      </c>
      <c r="CE19" s="259">
        <f t="shared" si="70"/>
        <v>0.50865264360469364</v>
      </c>
      <c r="CF19" s="259">
        <f t="shared" si="70"/>
        <v>0.5055629829371644</v>
      </c>
      <c r="CG19" s="259">
        <f t="shared" si="70"/>
        <v>0.50121284557273549</v>
      </c>
      <c r="CH19" s="265">
        <f t="shared" si="70"/>
        <v>0.49191361709446674</v>
      </c>
      <c r="CI19" s="258">
        <f t="shared" si="70"/>
        <v>0.47818428117045192</v>
      </c>
      <c r="CJ19" s="259">
        <f t="shared" si="70"/>
        <v>0.48540728358752466</v>
      </c>
      <c r="CK19" s="259">
        <f t="shared" si="70"/>
        <v>0.48362954615512893</v>
      </c>
      <c r="CL19" s="259">
        <f t="shared" ref="CL19:CQ19" si="71">SUM(CL16)/CL18</f>
        <v>0.4811613368901631</v>
      </c>
      <c r="CM19" s="259">
        <f t="shared" si="71"/>
        <v>0.47775472073948377</v>
      </c>
      <c r="CN19" s="259">
        <f t="shared" si="71"/>
        <v>0.47929636345320842</v>
      </c>
      <c r="CO19" s="259">
        <f t="shared" si="71"/>
        <v>0.47663321007219583</v>
      </c>
      <c r="CP19" s="259">
        <f t="shared" si="71"/>
        <v>0.47352991461587202</v>
      </c>
      <c r="CQ19" s="259">
        <f t="shared" si="71"/>
        <v>0.46894614548965963</v>
      </c>
      <c r="CR19" s="259">
        <f t="shared" ref="CR19:DJ19" si="72">SUM(CR16)/CR18</f>
        <v>0.46388307295860848</v>
      </c>
      <c r="CS19" s="259">
        <f t="shared" si="72"/>
        <v>0.45942024604781911</v>
      </c>
      <c r="CT19" s="265">
        <f t="shared" si="72"/>
        <v>0.4560723644426527</v>
      </c>
      <c r="CU19" s="259">
        <f t="shared" si="72"/>
        <v>0.45444715809849306</v>
      </c>
      <c r="CV19" s="259">
        <f t="shared" si="72"/>
        <v>0.45239191879531959</v>
      </c>
      <c r="CW19" s="259">
        <f t="shared" si="72"/>
        <v>0.44932388277283469</v>
      </c>
      <c r="CX19" s="259">
        <f t="shared" si="72"/>
        <v>0.44768892481161487</v>
      </c>
      <c r="CY19" s="259">
        <f t="shared" si="72"/>
        <v>0.44359450706700476</v>
      </c>
      <c r="CZ19" s="259">
        <f t="shared" si="72"/>
        <v>0.43913011811567448</v>
      </c>
      <c r="DA19" s="259">
        <f t="shared" si="72"/>
        <v>0.43178828231702421</v>
      </c>
      <c r="DB19" s="259">
        <f t="shared" si="72"/>
        <v>0.42801403332915677</v>
      </c>
      <c r="DC19" s="259">
        <f t="shared" si="72"/>
        <v>0.42407453789510596</v>
      </c>
      <c r="DD19" s="259">
        <f t="shared" si="72"/>
        <v>0.42005150781752515</v>
      </c>
      <c r="DE19" s="259">
        <f t="shared" si="72"/>
        <v>0.41406375100080062</v>
      </c>
      <c r="DF19" s="265">
        <f t="shared" si="72"/>
        <v>0.40995760327167674</v>
      </c>
      <c r="DG19" s="259">
        <f t="shared" si="72"/>
        <v>0.41090973667360331</v>
      </c>
      <c r="DH19" s="259">
        <f t="shared" si="72"/>
        <v>0.4071080010588829</v>
      </c>
      <c r="DI19" s="259">
        <f t="shared" si="72"/>
        <v>0.40348668811988542</v>
      </c>
      <c r="DJ19" s="259">
        <f t="shared" si="72"/>
        <v>0.39838500970487234</v>
      </c>
      <c r="DK19" s="259">
        <f t="shared" ref="DK19:DU19" si="73">SUM(DK16)/DK18</f>
        <v>0.39379809913701019</v>
      </c>
      <c r="DL19" s="259">
        <f t="shared" si="73"/>
        <v>0.3858234463137305</v>
      </c>
      <c r="DM19" s="259">
        <f t="shared" si="73"/>
        <v>0.36010696524395069</v>
      </c>
      <c r="DN19" s="259">
        <f t="shared" si="73"/>
        <v>0.37680227458632687</v>
      </c>
      <c r="DO19" s="259">
        <f t="shared" si="73"/>
        <v>0.37322636548933114</v>
      </c>
      <c r="DP19" s="259">
        <f t="shared" si="73"/>
        <v>0.36914579559169469</v>
      </c>
      <c r="DQ19" s="259">
        <f t="shared" si="73"/>
        <v>0.36483919404107451</v>
      </c>
      <c r="DR19" s="259">
        <f t="shared" si="73"/>
        <v>0.36134835655841396</v>
      </c>
      <c r="DS19" s="259">
        <f t="shared" si="73"/>
        <v>0.35699079973776676</v>
      </c>
      <c r="DT19" s="259">
        <f t="shared" si="73"/>
        <v>0.35480240396050289</v>
      </c>
      <c r="DU19" s="259">
        <f t="shared" si="73"/>
        <v>0.35256918543752996</v>
      </c>
      <c r="DV19" s="282">
        <f t="shared" ref="DV19:FN19" si="74">SUM(DV16)/DV18</f>
        <v>0.35046425414067806</v>
      </c>
      <c r="DW19" s="282">
        <f t="shared" si="74"/>
        <v>0.3486645293939955</v>
      </c>
      <c r="DX19" s="282">
        <f t="shared" si="74"/>
        <v>0.34559123591138746</v>
      </c>
      <c r="DY19" s="282">
        <f t="shared" si="74"/>
        <v>0.34477488470710388</v>
      </c>
      <c r="DZ19" s="282">
        <f t="shared" si="74"/>
        <v>0.34333145465408516</v>
      </c>
      <c r="EA19" s="282">
        <f t="shared" si="74"/>
        <v>0.34184895456081899</v>
      </c>
      <c r="EB19" s="282">
        <f t="shared" si="74"/>
        <v>0.34026101779096879</v>
      </c>
      <c r="EC19" s="282">
        <f t="shared" si="74"/>
        <v>0.33842796863258895</v>
      </c>
      <c r="ED19" s="282">
        <f t="shared" si="74"/>
        <v>0.33852983662982006</v>
      </c>
      <c r="EE19" s="282">
        <f t="shared" si="74"/>
        <v>0.33810887563728625</v>
      </c>
      <c r="EF19" s="282">
        <f t="shared" si="74"/>
        <v>0.33792981101860087</v>
      </c>
      <c r="EG19" s="282">
        <f t="shared" si="74"/>
        <v>0.33697715332048783</v>
      </c>
      <c r="EH19" s="282">
        <f t="shared" si="74"/>
        <v>0.335076321387896</v>
      </c>
      <c r="EI19" s="282">
        <f t="shared" si="74"/>
        <v>0.33331507788725756</v>
      </c>
      <c r="EJ19" s="282">
        <f t="shared" si="74"/>
        <v>0.33148518429580531</v>
      </c>
      <c r="EK19" s="282">
        <f t="shared" si="74"/>
        <v>0.33048557521073252</v>
      </c>
      <c r="EL19" s="282">
        <f t="shared" si="74"/>
        <v>0.32948256369294654</v>
      </c>
      <c r="EM19" s="282">
        <f t="shared" si="74"/>
        <v>0.32817010474068214</v>
      </c>
      <c r="EN19" s="282">
        <f t="shared" si="74"/>
        <v>0.32672527181369998</v>
      </c>
      <c r="EO19" s="282">
        <f t="shared" si="74"/>
        <v>0.32575173841724853</v>
      </c>
      <c r="EP19" s="282">
        <f t="shared" si="74"/>
        <v>0.32397117883297899</v>
      </c>
      <c r="EQ19" s="282">
        <f t="shared" si="74"/>
        <v>0.3222380172002588</v>
      </c>
      <c r="ER19" s="282">
        <f t="shared" si="74"/>
        <v>0.32176193418452292</v>
      </c>
      <c r="ES19" s="282">
        <f t="shared" si="74"/>
        <v>0.32073087512059673</v>
      </c>
      <c r="ET19" s="282">
        <f t="shared" si="74"/>
        <v>0.31954491648033673</v>
      </c>
      <c r="EU19" s="282">
        <f t="shared" si="74"/>
        <v>0.31960328827234435</v>
      </c>
      <c r="EV19" s="282">
        <f t="shared" si="74"/>
        <v>0.31834786169777102</v>
      </c>
      <c r="EW19" s="282">
        <f t="shared" si="74"/>
        <v>0.31701856153914471</v>
      </c>
      <c r="EX19" s="282">
        <f t="shared" si="74"/>
        <v>0.31572529122636844</v>
      </c>
      <c r="EY19" s="282">
        <f t="shared" si="74"/>
        <v>0.31488642474839307</v>
      </c>
      <c r="EZ19" s="282">
        <f t="shared" si="74"/>
        <v>0.3147164233220377</v>
      </c>
      <c r="FA19" s="282">
        <f t="shared" si="74"/>
        <v>0.31372394224919775</v>
      </c>
      <c r="FB19" s="282">
        <f t="shared" si="74"/>
        <v>0.31259276782069834</v>
      </c>
      <c r="FC19" s="282">
        <f t="shared" si="74"/>
        <v>0.31237291947296791</v>
      </c>
      <c r="FD19" s="282">
        <f t="shared" si="74"/>
        <v>0.32021806499764738</v>
      </c>
      <c r="FE19" s="282">
        <f t="shared" si="74"/>
        <v>0.32064202974401251</v>
      </c>
      <c r="FF19" s="282">
        <f t="shared" si="74"/>
        <v>0.32058619733924609</v>
      </c>
      <c r="FG19" s="282">
        <f t="shared" si="74"/>
        <v>0.3198032661328461</v>
      </c>
      <c r="FH19" s="282">
        <f t="shared" si="74"/>
        <v>0.31798205203803348</v>
      </c>
      <c r="FI19" s="282">
        <f t="shared" si="74"/>
        <v>0.31907280897738854</v>
      </c>
      <c r="FJ19" s="282">
        <f t="shared" si="74"/>
        <v>0.31822295729676336</v>
      </c>
      <c r="FK19" s="282">
        <f t="shared" si="74"/>
        <v>0.31715070076578528</v>
      </c>
      <c r="FL19" s="282">
        <f t="shared" si="74"/>
        <v>0.31607558892052806</v>
      </c>
      <c r="FM19" s="282">
        <f t="shared" si="74"/>
        <v>0.31505090656945334</v>
      </c>
      <c r="FN19" s="282">
        <f t="shared" si="74"/>
        <v>0.31440626607969813</v>
      </c>
      <c r="FO19" s="282">
        <f t="shared" ref="FO19:FQ19" si="75">SUM(FO16)/FO18</f>
        <v>0.31318877294385555</v>
      </c>
      <c r="FP19" s="282">
        <f t="shared" si="75"/>
        <v>0.30039680908870897</v>
      </c>
      <c r="FQ19" s="282">
        <f t="shared" si="75"/>
        <v>0.29696327200601874</v>
      </c>
      <c r="FR19" s="282">
        <f t="shared" ref="FR19:FT19" si="76">SUM(FR16)/FR18</f>
        <v>0.2965727650396553</v>
      </c>
      <c r="FS19" s="282">
        <f t="shared" si="76"/>
        <v>0.29530874962815612</v>
      </c>
      <c r="FT19" s="282">
        <f t="shared" si="76"/>
        <v>0.29376639334042154</v>
      </c>
    </row>
    <row r="20" spans="2:176" s="188" customFormat="1" ht="13.8" thickBot="1" x14ac:dyDescent="0.3">
      <c r="B20" s="266" t="s">
        <v>11</v>
      </c>
      <c r="C20" s="260">
        <f t="shared" ref="C20:H20" si="77">SUM(C17/C18)</f>
        <v>7.7695979410752495E-3</v>
      </c>
      <c r="D20" s="261">
        <f t="shared" si="77"/>
        <v>3.2181911722316076E-2</v>
      </c>
      <c r="E20" s="261">
        <f t="shared" si="77"/>
        <v>4.6730532606785023E-2</v>
      </c>
      <c r="F20" s="261">
        <f t="shared" si="77"/>
        <v>5.2342852501247435E-2</v>
      </c>
      <c r="G20" s="261">
        <f t="shared" si="77"/>
        <v>5.7644553264853744E-2</v>
      </c>
      <c r="H20" s="261">
        <f t="shared" si="77"/>
        <v>6.7016908864999183E-2</v>
      </c>
      <c r="I20" s="261">
        <f t="shared" ref="I20:Q20" si="78">SUM(I17/I18)</f>
        <v>6.6435788787483699E-2</v>
      </c>
      <c r="J20" s="261">
        <f t="shared" si="78"/>
        <v>8.4008271583663627E-2</v>
      </c>
      <c r="K20" s="261">
        <f t="shared" si="78"/>
        <v>9.0599786137843877E-2</v>
      </c>
      <c r="L20" s="261">
        <f t="shared" si="78"/>
        <v>9.7853304142827308E-2</v>
      </c>
      <c r="M20" s="261">
        <f t="shared" si="78"/>
        <v>0.1037568587477499</v>
      </c>
      <c r="N20" s="267">
        <f t="shared" si="78"/>
        <v>0.11052878068852752</v>
      </c>
      <c r="O20" s="260">
        <f t="shared" si="78"/>
        <v>0.11978088174391024</v>
      </c>
      <c r="P20" s="261">
        <f t="shared" si="78"/>
        <v>0.12692336641541488</v>
      </c>
      <c r="Q20" s="261">
        <f t="shared" si="78"/>
        <v>0.12701814314717541</v>
      </c>
      <c r="R20" s="261">
        <f t="shared" ref="R20:W20" si="79">SUM(R17/R18)</f>
        <v>0.12995266927048357</v>
      </c>
      <c r="S20" s="261">
        <f t="shared" si="79"/>
        <v>0.13587807966349044</v>
      </c>
      <c r="T20" s="261">
        <f t="shared" si="79"/>
        <v>0.14540799896953693</v>
      </c>
      <c r="U20" s="261">
        <f t="shared" si="79"/>
        <v>0.14840516813075552</v>
      </c>
      <c r="V20" s="261">
        <f t="shared" si="79"/>
        <v>0.15191757421029625</v>
      </c>
      <c r="W20" s="261">
        <f t="shared" si="79"/>
        <v>0.15741564775840181</v>
      </c>
      <c r="X20" s="261">
        <f t="shared" ref="X20:AC20" si="80">SUM(X17/X18)</f>
        <v>0.16322735276592448</v>
      </c>
      <c r="Y20" s="261">
        <f t="shared" si="80"/>
        <v>0.17054469943027528</v>
      </c>
      <c r="Z20" s="267">
        <f t="shared" si="80"/>
        <v>0.1786050619576379</v>
      </c>
      <c r="AA20" s="260">
        <f t="shared" si="80"/>
        <v>0.16947577015070076</v>
      </c>
      <c r="AB20" s="261">
        <f t="shared" si="80"/>
        <v>0.17168464694956118</v>
      </c>
      <c r="AC20" s="261">
        <f t="shared" si="80"/>
        <v>0.17620265536318028</v>
      </c>
      <c r="AD20" s="261">
        <f t="shared" ref="AD20:AI20" si="81">SUM(AD17/AD18)</f>
        <v>0.17901682019481585</v>
      </c>
      <c r="AE20" s="261">
        <f t="shared" si="81"/>
        <v>0.18249899795371602</v>
      </c>
      <c r="AF20" s="261">
        <f t="shared" si="81"/>
        <v>0.1893590192460072</v>
      </c>
      <c r="AG20" s="261">
        <f t="shared" si="81"/>
        <v>0.19780972484301873</v>
      </c>
      <c r="AH20" s="261">
        <f t="shared" si="81"/>
        <v>0.20139436160934759</v>
      </c>
      <c r="AI20" s="261">
        <f t="shared" si="81"/>
        <v>0.20884562124963282</v>
      </c>
      <c r="AJ20" s="261">
        <f t="shared" ref="AJ20:AP20" si="82">SUM(AJ17/AJ18)</f>
        <v>0.21487765602293704</v>
      </c>
      <c r="AK20" s="261">
        <f t="shared" si="82"/>
        <v>0.22040239050073984</v>
      </c>
      <c r="AL20" s="267">
        <f t="shared" si="82"/>
        <v>0.2256906120698223</v>
      </c>
      <c r="AM20" s="260">
        <f t="shared" si="82"/>
        <v>0.24404582975316097</v>
      </c>
      <c r="AN20" s="261">
        <f t="shared" si="82"/>
        <v>0.25093796399282625</v>
      </c>
      <c r="AO20" s="261">
        <f t="shared" si="82"/>
        <v>0.25504282217514351</v>
      </c>
      <c r="AP20" s="261">
        <f t="shared" si="82"/>
        <v>0.26767303030857692</v>
      </c>
      <c r="AQ20" s="261">
        <f t="shared" ref="AQ20:AX20" si="83">SUM(AQ17/AQ18)</f>
        <v>0.2746745065098698</v>
      </c>
      <c r="AR20" s="261">
        <f t="shared" si="83"/>
        <v>0.28874322457083529</v>
      </c>
      <c r="AS20" s="261">
        <f t="shared" si="83"/>
        <v>0.29671488848704036</v>
      </c>
      <c r="AT20" s="261">
        <f t="shared" si="83"/>
        <v>0.30210281889293916</v>
      </c>
      <c r="AU20" s="261">
        <f t="shared" si="83"/>
        <v>0.30731679509968024</v>
      </c>
      <c r="AV20" s="261">
        <f t="shared" si="83"/>
        <v>0.30962782752730472</v>
      </c>
      <c r="AW20" s="261">
        <f t="shared" si="83"/>
        <v>0.31386931164246273</v>
      </c>
      <c r="AX20" s="267">
        <f t="shared" si="83"/>
        <v>0.31672782035822783</v>
      </c>
      <c r="AY20" s="260">
        <f t="shared" ref="AY20:BJ20" si="84">SUM(AY17/AY18)</f>
        <v>0.32410321765070133</v>
      </c>
      <c r="AZ20" s="261">
        <f t="shared" si="84"/>
        <v>0.32926325406173895</v>
      </c>
      <c r="BA20" s="261">
        <f t="shared" si="84"/>
        <v>0.33715215497360734</v>
      </c>
      <c r="BB20" s="261">
        <f t="shared" si="84"/>
        <v>0.34594181526358969</v>
      </c>
      <c r="BC20" s="261">
        <f t="shared" si="84"/>
        <v>0.35219498507767261</v>
      </c>
      <c r="BD20" s="261">
        <f t="shared" si="84"/>
        <v>0.35726089203826439</v>
      </c>
      <c r="BE20" s="261">
        <f t="shared" si="84"/>
        <v>0.36222823598832066</v>
      </c>
      <c r="BF20" s="261">
        <f t="shared" si="84"/>
        <v>0.36668073229383263</v>
      </c>
      <c r="BG20" s="261">
        <f t="shared" si="84"/>
        <v>0.37543230173835485</v>
      </c>
      <c r="BH20" s="261">
        <f t="shared" si="84"/>
        <v>0.38493376010250596</v>
      </c>
      <c r="BI20" s="261">
        <f t="shared" si="84"/>
        <v>0.39490860622586699</v>
      </c>
      <c r="BJ20" s="267">
        <f t="shared" si="84"/>
        <v>0.40070411062122618</v>
      </c>
      <c r="BK20" s="260">
        <f t="shared" ref="BK20:BP20" si="85">SUM(BK17/BK18)</f>
        <v>0.41383381809206088</v>
      </c>
      <c r="BL20" s="261">
        <f t="shared" si="85"/>
        <v>0.42277051038928687</v>
      </c>
      <c r="BM20" s="261">
        <f t="shared" si="85"/>
        <v>0.42955273189326554</v>
      </c>
      <c r="BN20" s="261">
        <f t="shared" si="85"/>
        <v>0.43443231800839133</v>
      </c>
      <c r="BO20" s="261">
        <f t="shared" si="85"/>
        <v>0.43911844613978362</v>
      </c>
      <c r="BP20" s="261">
        <f t="shared" si="85"/>
        <v>0.44346258482761408</v>
      </c>
      <c r="BQ20" s="261">
        <f t="shared" ref="BQ20:CB20" si="86">SUM(BQ17/BQ18)</f>
        <v>0.44759029900365821</v>
      </c>
      <c r="BR20" s="261">
        <f t="shared" si="86"/>
        <v>0.45077754249066293</v>
      </c>
      <c r="BS20" s="261">
        <f t="shared" si="86"/>
        <v>0.4542686928863533</v>
      </c>
      <c r="BT20" s="261">
        <f t="shared" si="86"/>
        <v>0.45924836461153057</v>
      </c>
      <c r="BU20" s="261">
        <f t="shared" si="86"/>
        <v>0.46204644613625984</v>
      </c>
      <c r="BV20" s="267">
        <f t="shared" si="86"/>
        <v>0.46738504586043883</v>
      </c>
      <c r="BW20" s="260">
        <f t="shared" si="86"/>
        <v>0.47150992112616275</v>
      </c>
      <c r="BX20" s="261">
        <f t="shared" si="86"/>
        <v>0.47317175431772601</v>
      </c>
      <c r="BY20" s="261">
        <f t="shared" si="86"/>
        <v>0.47484008421137663</v>
      </c>
      <c r="BZ20" s="261">
        <f t="shared" si="86"/>
        <v>0.47659853480777231</v>
      </c>
      <c r="CA20" s="261">
        <f t="shared" si="86"/>
        <v>0.47901008895502395</v>
      </c>
      <c r="CB20" s="261">
        <f t="shared" si="86"/>
        <v>0.48481621617539328</v>
      </c>
      <c r="CC20" s="261">
        <f t="shared" ref="CC20:CK20" si="87">SUM(CC17/CC18)</f>
        <v>0.4866924359519253</v>
      </c>
      <c r="CD20" s="261">
        <f t="shared" si="87"/>
        <v>0.48913404281001044</v>
      </c>
      <c r="CE20" s="261">
        <f t="shared" si="87"/>
        <v>0.49134735639530641</v>
      </c>
      <c r="CF20" s="261">
        <f t="shared" si="87"/>
        <v>0.49443701706283566</v>
      </c>
      <c r="CG20" s="261">
        <f t="shared" si="87"/>
        <v>0.49878715442726457</v>
      </c>
      <c r="CH20" s="267">
        <f t="shared" si="87"/>
        <v>0.50808638290553321</v>
      </c>
      <c r="CI20" s="260">
        <f t="shared" si="87"/>
        <v>0.52181571882954814</v>
      </c>
      <c r="CJ20" s="261">
        <f t="shared" si="87"/>
        <v>0.51459271641247528</v>
      </c>
      <c r="CK20" s="261">
        <f t="shared" si="87"/>
        <v>0.51637045384487101</v>
      </c>
      <c r="CL20" s="261">
        <f t="shared" ref="CL20:CQ20" si="88">SUM(CL17/CL18)</f>
        <v>0.51883866310983684</v>
      </c>
      <c r="CM20" s="261">
        <f t="shared" si="88"/>
        <v>0.52224527926051623</v>
      </c>
      <c r="CN20" s="261">
        <f t="shared" si="88"/>
        <v>0.52070363654679153</v>
      </c>
      <c r="CO20" s="261">
        <f t="shared" si="88"/>
        <v>0.52336678992780417</v>
      </c>
      <c r="CP20" s="261">
        <f t="shared" si="88"/>
        <v>0.52647008538412798</v>
      </c>
      <c r="CQ20" s="261">
        <f t="shared" si="88"/>
        <v>0.53105385451034037</v>
      </c>
      <c r="CR20" s="261">
        <f t="shared" ref="CR20:DJ20" si="89">SUM(CR17/CR18)</f>
        <v>0.53611692704139158</v>
      </c>
      <c r="CS20" s="261">
        <f t="shared" si="89"/>
        <v>0.54057975395218083</v>
      </c>
      <c r="CT20" s="267">
        <f t="shared" si="89"/>
        <v>0.54392763555734736</v>
      </c>
      <c r="CU20" s="261">
        <f t="shared" si="89"/>
        <v>0.54555284190150699</v>
      </c>
      <c r="CV20" s="261">
        <f t="shared" si="89"/>
        <v>0.54760808120468041</v>
      </c>
      <c r="CW20" s="261">
        <f t="shared" si="89"/>
        <v>0.55067611722716536</v>
      </c>
      <c r="CX20" s="261">
        <f t="shared" si="89"/>
        <v>0.55231107518838518</v>
      </c>
      <c r="CY20" s="261">
        <f t="shared" si="89"/>
        <v>0.55640549293299524</v>
      </c>
      <c r="CZ20" s="261">
        <f t="shared" si="89"/>
        <v>0.56086988188432552</v>
      </c>
      <c r="DA20" s="261">
        <f t="shared" si="89"/>
        <v>0.56821171768297585</v>
      </c>
      <c r="DB20" s="261">
        <f t="shared" si="89"/>
        <v>0.57198596667084323</v>
      </c>
      <c r="DC20" s="261">
        <f t="shared" si="89"/>
        <v>0.57592546210489404</v>
      </c>
      <c r="DD20" s="261">
        <f t="shared" si="89"/>
        <v>0.5799484921824748</v>
      </c>
      <c r="DE20" s="261">
        <f t="shared" si="89"/>
        <v>0.58593624899919938</v>
      </c>
      <c r="DF20" s="267">
        <f t="shared" si="89"/>
        <v>0.59004239672832326</v>
      </c>
      <c r="DG20" s="261">
        <f t="shared" si="89"/>
        <v>0.58909026332639669</v>
      </c>
      <c r="DH20" s="261">
        <f t="shared" si="89"/>
        <v>0.5928919989411171</v>
      </c>
      <c r="DI20" s="261">
        <f t="shared" si="89"/>
        <v>0.59651331188011458</v>
      </c>
      <c r="DJ20" s="261">
        <f t="shared" si="89"/>
        <v>0.60161499029512766</v>
      </c>
      <c r="DK20" s="261">
        <f t="shared" ref="DK20:DU20" si="90">SUM(DK17/DK18)</f>
        <v>0.60620190086298986</v>
      </c>
      <c r="DL20" s="261">
        <f t="shared" si="90"/>
        <v>0.61417655368626944</v>
      </c>
      <c r="DM20" s="261">
        <f t="shared" si="90"/>
        <v>0.63989303475604931</v>
      </c>
      <c r="DN20" s="261">
        <f t="shared" si="90"/>
        <v>0.62319772541367313</v>
      </c>
      <c r="DO20" s="261">
        <f t="shared" si="90"/>
        <v>0.62677363451066892</v>
      </c>
      <c r="DP20" s="261">
        <f t="shared" si="90"/>
        <v>0.63085420440830531</v>
      </c>
      <c r="DQ20" s="261">
        <f t="shared" si="90"/>
        <v>0.63516080595892543</v>
      </c>
      <c r="DR20" s="261">
        <f t="shared" si="90"/>
        <v>0.63865164344158598</v>
      </c>
      <c r="DS20" s="261">
        <f t="shared" si="90"/>
        <v>0.64300920026223329</v>
      </c>
      <c r="DT20" s="261">
        <f t="shared" si="90"/>
        <v>0.64519759603949711</v>
      </c>
      <c r="DU20" s="261">
        <f t="shared" si="90"/>
        <v>0.64743081456246998</v>
      </c>
      <c r="DV20" s="354">
        <f t="shared" ref="DV20:FN20" si="91">SUM(DV17/DV18)</f>
        <v>0.64953574585932194</v>
      </c>
      <c r="DW20" s="354">
        <f t="shared" si="91"/>
        <v>0.6513354706060045</v>
      </c>
      <c r="DX20" s="354">
        <f t="shared" si="91"/>
        <v>0.65440876408861248</v>
      </c>
      <c r="DY20" s="354">
        <f t="shared" si="91"/>
        <v>0.65522511529289607</v>
      </c>
      <c r="DZ20" s="354">
        <f t="shared" si="91"/>
        <v>0.65666854534591479</v>
      </c>
      <c r="EA20" s="354">
        <f t="shared" si="91"/>
        <v>0.65815104543918101</v>
      </c>
      <c r="EB20" s="354">
        <f t="shared" si="91"/>
        <v>0.65973898220903127</v>
      </c>
      <c r="EC20" s="354">
        <f t="shared" si="91"/>
        <v>0.66157203136741105</v>
      </c>
      <c r="ED20" s="354">
        <f t="shared" si="91"/>
        <v>0.66147016337017994</v>
      </c>
      <c r="EE20" s="354">
        <f t="shared" si="91"/>
        <v>0.6618911243627138</v>
      </c>
      <c r="EF20" s="354">
        <f t="shared" si="91"/>
        <v>0.66207018898139913</v>
      </c>
      <c r="EG20" s="354">
        <f t="shared" si="91"/>
        <v>0.66302284667951217</v>
      </c>
      <c r="EH20" s="354">
        <f t="shared" si="91"/>
        <v>0.664923678612104</v>
      </c>
      <c r="EI20" s="354">
        <f t="shared" si="91"/>
        <v>0.66668492211274244</v>
      </c>
      <c r="EJ20" s="354">
        <f t="shared" si="91"/>
        <v>0.66851481570419469</v>
      </c>
      <c r="EK20" s="354">
        <f t="shared" si="91"/>
        <v>0.66951442478926748</v>
      </c>
      <c r="EL20" s="354">
        <f t="shared" si="91"/>
        <v>0.6705174363070534</v>
      </c>
      <c r="EM20" s="354">
        <f t="shared" si="91"/>
        <v>0.6718298952593178</v>
      </c>
      <c r="EN20" s="354">
        <f t="shared" si="91"/>
        <v>0.67327472818630008</v>
      </c>
      <c r="EO20" s="354">
        <f t="shared" si="91"/>
        <v>0.67424826158275153</v>
      </c>
      <c r="EP20" s="354">
        <f t="shared" si="91"/>
        <v>0.67602882116702101</v>
      </c>
      <c r="EQ20" s="354">
        <f t="shared" si="91"/>
        <v>0.6777619827997412</v>
      </c>
      <c r="ER20" s="354">
        <f t="shared" si="91"/>
        <v>0.67823806581547708</v>
      </c>
      <c r="ES20" s="354">
        <f t="shared" si="91"/>
        <v>0.67926912487940327</v>
      </c>
      <c r="ET20" s="354">
        <f t="shared" si="91"/>
        <v>0.68045508351966333</v>
      </c>
      <c r="EU20" s="354">
        <f t="shared" si="91"/>
        <v>0.6803967117276557</v>
      </c>
      <c r="EV20" s="354">
        <f t="shared" si="91"/>
        <v>0.68165213830222904</v>
      </c>
      <c r="EW20" s="354">
        <f t="shared" si="91"/>
        <v>0.68298143846085535</v>
      </c>
      <c r="EX20" s="354">
        <f t="shared" si="91"/>
        <v>0.6842747087736315</v>
      </c>
      <c r="EY20" s="354">
        <f t="shared" si="91"/>
        <v>0.68511357525160699</v>
      </c>
      <c r="EZ20" s="354">
        <f t="shared" si="91"/>
        <v>0.68528357667796236</v>
      </c>
      <c r="FA20" s="354">
        <f t="shared" si="91"/>
        <v>0.68627605775080225</v>
      </c>
      <c r="FB20" s="354">
        <f t="shared" si="91"/>
        <v>0.68740723217930166</v>
      </c>
      <c r="FC20" s="354">
        <f t="shared" si="91"/>
        <v>0.68762708052703203</v>
      </c>
      <c r="FD20" s="354">
        <f t="shared" si="91"/>
        <v>0.67978193500235262</v>
      </c>
      <c r="FE20" s="354">
        <f t="shared" si="91"/>
        <v>0.67935797025598743</v>
      </c>
      <c r="FF20" s="354">
        <f t="shared" si="91"/>
        <v>0.67941380266075391</v>
      </c>
      <c r="FG20" s="354">
        <f t="shared" si="91"/>
        <v>0.68019673386715385</v>
      </c>
      <c r="FH20" s="354">
        <f t="shared" si="91"/>
        <v>0.68201794796196658</v>
      </c>
      <c r="FI20" s="354">
        <f t="shared" si="91"/>
        <v>0.68092719102261146</v>
      </c>
      <c r="FJ20" s="354">
        <f t="shared" si="91"/>
        <v>0.68177704270323658</v>
      </c>
      <c r="FK20" s="354">
        <f t="shared" si="91"/>
        <v>0.68284929923421467</v>
      </c>
      <c r="FL20" s="354">
        <f t="shared" si="91"/>
        <v>0.68392441107947188</v>
      </c>
      <c r="FM20" s="354">
        <f t="shared" si="91"/>
        <v>0.68494909343054666</v>
      </c>
      <c r="FN20" s="354">
        <f t="shared" si="91"/>
        <v>0.68559373392030187</v>
      </c>
      <c r="FO20" s="354">
        <f t="shared" ref="FO20:FQ20" si="92">SUM(FO17/FO18)</f>
        <v>0.68681122705614439</v>
      </c>
      <c r="FP20" s="354">
        <f t="shared" si="92"/>
        <v>0.69960319091129097</v>
      </c>
      <c r="FQ20" s="354">
        <f t="shared" si="92"/>
        <v>0.70303672799398131</v>
      </c>
      <c r="FR20" s="354">
        <f t="shared" ref="FR20:FT20" si="93">SUM(FR17/FR18)</f>
        <v>0.70342723496034476</v>
      </c>
      <c r="FS20" s="354">
        <f t="shared" si="93"/>
        <v>0.70469125037184388</v>
      </c>
      <c r="FT20" s="354">
        <f t="shared" si="93"/>
        <v>0.70623360665957846</v>
      </c>
    </row>
    <row r="21" spans="2:176" s="68" customFormat="1" x14ac:dyDescent="0.25">
      <c r="B21" s="87"/>
      <c r="C21" s="71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89"/>
      <c r="O21" s="71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89"/>
      <c r="AA21" s="71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89"/>
      <c r="AM21" s="71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89"/>
      <c r="AY21" s="71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89"/>
      <c r="BK21" s="71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89"/>
      <c r="BW21" s="71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224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T21" s="297"/>
      <c r="DV21" s="351"/>
      <c r="DW21" s="351"/>
      <c r="DX21" s="351"/>
      <c r="DZ21" s="297"/>
      <c r="EE21" s="297"/>
    </row>
    <row r="22" spans="2:176" s="387" customFormat="1" hidden="1" x14ac:dyDescent="0.25">
      <c r="B22" s="384" t="s">
        <v>49</v>
      </c>
      <c r="C22" s="346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8"/>
      <c r="O22" s="346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8"/>
      <c r="AA22" s="346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8"/>
      <c r="AM22" s="346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8"/>
      <c r="AY22" s="346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8"/>
      <c r="BK22" s="346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8"/>
      <c r="BW22" s="346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8"/>
      <c r="CI22" s="346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8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8"/>
      <c r="DT22" s="388"/>
      <c r="DV22" s="389"/>
      <c r="DW22" s="389"/>
      <c r="DX22" s="389"/>
      <c r="DZ22" s="388"/>
      <c r="EE22" s="388"/>
    </row>
    <row r="23" spans="2:176" s="387" customFormat="1" hidden="1" x14ac:dyDescent="0.25">
      <c r="B23" s="384" t="s">
        <v>50</v>
      </c>
      <c r="C23" s="346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8"/>
      <c r="O23" s="346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  <c r="AA23" s="346"/>
      <c r="AB23" s="347"/>
      <c r="AC23" s="347"/>
      <c r="AD23" s="347"/>
      <c r="AE23" s="347"/>
      <c r="AF23" s="347"/>
      <c r="AG23" s="347"/>
      <c r="AH23" s="347"/>
      <c r="AI23" s="347"/>
      <c r="AJ23" s="347"/>
      <c r="AK23" s="347"/>
      <c r="AL23" s="348"/>
      <c r="AM23" s="346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8"/>
      <c r="AY23" s="346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8"/>
      <c r="BK23" s="346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8"/>
      <c r="BW23" s="346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8"/>
      <c r="CI23" s="346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8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8"/>
      <c r="DT23" s="388"/>
      <c r="DV23" s="389"/>
      <c r="DW23" s="389"/>
      <c r="DX23" s="389"/>
      <c r="DZ23" s="388"/>
      <c r="EE23" s="388"/>
    </row>
    <row r="24" spans="2:176" s="387" customFormat="1" hidden="1" x14ac:dyDescent="0.25">
      <c r="B24" s="390" t="s">
        <v>1</v>
      </c>
      <c r="C24" s="346">
        <v>3988</v>
      </c>
      <c r="D24" s="347">
        <v>3988</v>
      </c>
      <c r="E24" s="347">
        <v>5159</v>
      </c>
      <c r="F24" s="347">
        <v>5262</v>
      </c>
      <c r="G24" s="347">
        <v>5133</v>
      </c>
      <c r="H24" s="347">
        <v>5650</v>
      </c>
      <c r="I24" s="347">
        <v>5903</v>
      </c>
      <c r="J24" s="347">
        <v>5493</v>
      </c>
      <c r="K24" s="347">
        <v>5466</v>
      </c>
      <c r="L24" s="347">
        <v>5429</v>
      </c>
      <c r="M24" s="347">
        <v>5421</v>
      </c>
      <c r="N24" s="348">
        <v>5405</v>
      </c>
      <c r="O24" s="346">
        <v>4834</v>
      </c>
      <c r="P24" s="347">
        <v>4656</v>
      </c>
      <c r="Q24" s="347">
        <v>4664</v>
      </c>
      <c r="R24" s="347">
        <v>4660</v>
      </c>
      <c r="S24" s="347">
        <v>4578</v>
      </c>
      <c r="T24" s="347">
        <v>4419</v>
      </c>
      <c r="U24" s="347">
        <v>4375</v>
      </c>
      <c r="V24" s="347">
        <v>4366</v>
      </c>
      <c r="W24" s="347">
        <v>4274</v>
      </c>
      <c r="X24" s="347">
        <v>4248</v>
      </c>
      <c r="Y24" s="347">
        <v>4217</v>
      </c>
      <c r="Z24" s="348">
        <v>4178</v>
      </c>
      <c r="AA24" s="346">
        <v>4025</v>
      </c>
      <c r="AB24" s="347">
        <v>4007</v>
      </c>
      <c r="AC24" s="347">
        <v>3981</v>
      </c>
      <c r="AD24" s="347">
        <v>3892</v>
      </c>
      <c r="AE24" s="347">
        <v>3839</v>
      </c>
      <c r="AF24" s="347">
        <v>3762</v>
      </c>
      <c r="AG24" s="347">
        <v>3705</v>
      </c>
      <c r="AH24" s="347">
        <v>3681</v>
      </c>
      <c r="AI24" s="347">
        <v>3667</v>
      </c>
      <c r="AJ24" s="347">
        <v>3611</v>
      </c>
      <c r="AK24" s="347">
        <v>3583</v>
      </c>
      <c r="AL24" s="348">
        <v>3524</v>
      </c>
      <c r="AM24" s="346">
        <f>3246+62</f>
        <v>3308</v>
      </c>
      <c r="AN24" s="347">
        <f>3212+60</f>
        <v>3272</v>
      </c>
      <c r="AO24" s="347">
        <v>3214</v>
      </c>
      <c r="AP24" s="347">
        <f>3121+58</f>
        <v>3179</v>
      </c>
      <c r="AQ24" s="347">
        <f>3067+57</f>
        <v>3124</v>
      </c>
      <c r="AR24" s="347">
        <f>2783+54</f>
        <v>2837</v>
      </c>
      <c r="AS24" s="347">
        <f>2707+49</f>
        <v>2756</v>
      </c>
      <c r="AT24" s="347">
        <f>2691+50</f>
        <v>2741</v>
      </c>
      <c r="AU24" s="347">
        <f>2672+52</f>
        <v>2724</v>
      </c>
      <c r="AV24" s="347">
        <f>52+2625</f>
        <v>2677</v>
      </c>
      <c r="AW24" s="347">
        <f>2576+50</f>
        <v>2626</v>
      </c>
      <c r="AX24" s="348">
        <f>2564+50</f>
        <v>2614</v>
      </c>
      <c r="AY24" s="346">
        <f>2536+59</f>
        <v>2595</v>
      </c>
      <c r="AZ24" s="347">
        <f>2510+57</f>
        <v>2567</v>
      </c>
      <c r="BA24" s="347">
        <f>2495+55</f>
        <v>2550</v>
      </c>
      <c r="BB24" s="347">
        <f>2485+53</f>
        <v>2538</v>
      </c>
      <c r="BC24" s="347">
        <f>2497+53</f>
        <v>2550</v>
      </c>
      <c r="BD24" s="347">
        <f>2477+55</f>
        <v>2532</v>
      </c>
      <c r="BE24" s="347">
        <f>2477+55</f>
        <v>2532</v>
      </c>
      <c r="BF24" s="347">
        <f>2466+55</f>
        <v>2521</v>
      </c>
      <c r="BG24" s="347">
        <f>2425+55</f>
        <v>2480</v>
      </c>
      <c r="BH24" s="347">
        <f>2425+54</f>
        <v>2479</v>
      </c>
      <c r="BI24" s="347">
        <f>2414+53</f>
        <v>2467</v>
      </c>
      <c r="BJ24" s="348">
        <f>2411+54</f>
        <v>2465</v>
      </c>
      <c r="BK24" s="346">
        <f>2377+51</f>
        <v>2428</v>
      </c>
      <c r="BL24" s="347">
        <f>2336+51</f>
        <v>2387</v>
      </c>
      <c r="BM24" s="347">
        <f>2319+49</f>
        <v>2368</v>
      </c>
      <c r="BN24" s="347">
        <f>2302+50</f>
        <v>2352</v>
      </c>
      <c r="BO24" s="347">
        <f>2291+51</f>
        <v>2342</v>
      </c>
      <c r="BP24" s="347">
        <f>2270+54</f>
        <v>2324</v>
      </c>
      <c r="BQ24" s="347">
        <f>2262+56</f>
        <v>2318</v>
      </c>
      <c r="BR24" s="347">
        <f>2243+57</f>
        <v>2300</v>
      </c>
      <c r="BS24" s="347">
        <f>2223+57</f>
        <v>2280</v>
      </c>
      <c r="BT24" s="347">
        <f>2198+57</f>
        <v>2255</v>
      </c>
      <c r="BU24" s="347">
        <v>2257</v>
      </c>
      <c r="BV24" s="348">
        <f>2200+56</f>
        <v>2256</v>
      </c>
      <c r="BW24" s="346">
        <f>2190+56</f>
        <v>2246</v>
      </c>
      <c r="BX24" s="347">
        <f>2190+56</f>
        <v>2246</v>
      </c>
      <c r="BY24" s="347">
        <f>2200+56</f>
        <v>2256</v>
      </c>
      <c r="BZ24" s="347">
        <f>2203+58</f>
        <v>2261</v>
      </c>
      <c r="CA24" s="347">
        <f>2207+57</f>
        <v>2264</v>
      </c>
      <c r="CB24" s="347">
        <f>2190+55</f>
        <v>2245</v>
      </c>
      <c r="CC24" s="347">
        <f>2191+53</f>
        <v>2244</v>
      </c>
      <c r="CD24" s="347">
        <f>2206+52</f>
        <v>2258</v>
      </c>
      <c r="CE24" s="347">
        <f>2206+53</f>
        <v>2259</v>
      </c>
      <c r="CF24" s="347">
        <f>2203+53</f>
        <v>2256</v>
      </c>
      <c r="CG24" s="347">
        <f>2207+50</f>
        <v>2257</v>
      </c>
      <c r="CH24" s="348">
        <f>2207+52</f>
        <v>2259</v>
      </c>
      <c r="CI24" s="346">
        <f>2224+55</f>
        <v>2279</v>
      </c>
      <c r="CJ24" s="347">
        <f>2226+55</f>
        <v>2281</v>
      </c>
      <c r="CK24" s="347">
        <f>2238+54</f>
        <v>2292</v>
      </c>
      <c r="CL24" s="347">
        <f>2232+56</f>
        <v>2288</v>
      </c>
      <c r="CM24" s="347">
        <f>2214+58</f>
        <v>2272</v>
      </c>
      <c r="CN24" s="347">
        <f>2209+62</f>
        <v>2271</v>
      </c>
      <c r="CO24" s="347">
        <f>2200+62</f>
        <v>2262</v>
      </c>
      <c r="CP24" s="347">
        <f>2194+62</f>
        <v>2256</v>
      </c>
      <c r="CQ24" s="347">
        <f>2188+62</f>
        <v>2250</v>
      </c>
      <c r="CR24" s="347">
        <f>2177+30</f>
        <v>2207</v>
      </c>
      <c r="CS24" s="347">
        <f>2170+30</f>
        <v>2200</v>
      </c>
      <c r="CT24" s="348">
        <f>2162+30</f>
        <v>2192</v>
      </c>
      <c r="CU24" s="347">
        <f>2147+71</f>
        <v>2218</v>
      </c>
      <c r="CV24" s="347">
        <f>2191+71</f>
        <v>2262</v>
      </c>
      <c r="CW24" s="347">
        <f>2171+71</f>
        <v>2242</v>
      </c>
      <c r="CX24" s="347">
        <f>2165+72</f>
        <v>2237</v>
      </c>
      <c r="CY24" s="347">
        <f>2142+70</f>
        <v>2212</v>
      </c>
      <c r="CZ24" s="347">
        <f>2112+69</f>
        <v>2181</v>
      </c>
      <c r="DA24" s="347">
        <f>2093+68</f>
        <v>2161</v>
      </c>
      <c r="DB24" s="346">
        <f>2059+70</f>
        <v>2129</v>
      </c>
      <c r="DC24" s="346">
        <f>2050+69</f>
        <v>2119</v>
      </c>
      <c r="DD24" s="347">
        <f>2026+69</f>
        <v>2095</v>
      </c>
      <c r="DE24" s="347">
        <f>2024+69</f>
        <v>2093</v>
      </c>
      <c r="DF24" s="348">
        <f>2007+70</f>
        <v>2077</v>
      </c>
      <c r="DG24" s="387">
        <f>2089+76</f>
        <v>2165</v>
      </c>
      <c r="DH24" s="387">
        <f>2076+70</f>
        <v>2146</v>
      </c>
      <c r="DI24" s="388">
        <f>2054+68</f>
        <v>2122</v>
      </c>
      <c r="DJ24" s="388">
        <f>2043+14+52</f>
        <v>2109</v>
      </c>
      <c r="DK24" s="388">
        <f>2033+14+51</f>
        <v>2098</v>
      </c>
      <c r="DL24" s="388">
        <f>1967+13+50</f>
        <v>2030</v>
      </c>
      <c r="DM24" s="388">
        <f>1964+13+50</f>
        <v>2027</v>
      </c>
      <c r="DN24" s="388">
        <f>1962+13+50</f>
        <v>2025</v>
      </c>
      <c r="DO24" s="388">
        <f>1951+12+50</f>
        <v>2013</v>
      </c>
      <c r="DP24" s="388">
        <f>1936+12+50</f>
        <v>1998</v>
      </c>
      <c r="DQ24" s="388">
        <f>1920+12+50</f>
        <v>1982</v>
      </c>
      <c r="DR24" s="388">
        <f>1903+12+49</f>
        <v>1964</v>
      </c>
      <c r="DS24" s="387">
        <v>1953</v>
      </c>
      <c r="DT24" s="388">
        <v>1944</v>
      </c>
      <c r="DU24" s="387">
        <v>1937</v>
      </c>
      <c r="DV24" s="389">
        <v>1925</v>
      </c>
      <c r="DW24" s="389">
        <v>1899</v>
      </c>
      <c r="DX24" s="389">
        <v>1876</v>
      </c>
      <c r="DY24" s="387">
        <v>1812</v>
      </c>
      <c r="DZ24" s="388">
        <v>1798</v>
      </c>
      <c r="EA24" s="387">
        <v>1787</v>
      </c>
      <c r="EB24" s="388">
        <f>1770+12+43</f>
        <v>1825</v>
      </c>
      <c r="EC24" s="388">
        <f>1763+12+43</f>
        <v>1818</v>
      </c>
      <c r="ED24" s="388">
        <f>1761+13+43</f>
        <v>1817</v>
      </c>
      <c r="EE24" s="388">
        <f>1811+17+39</f>
        <v>1867</v>
      </c>
      <c r="EF24" s="388">
        <f>1815+17+37</f>
        <v>1869</v>
      </c>
      <c r="EG24" s="388">
        <f>1808+17+37</f>
        <v>1862</v>
      </c>
      <c r="EH24" s="388">
        <f>1806+17+36</f>
        <v>1859</v>
      </c>
      <c r="EI24" s="388">
        <f>1791+17+34</f>
        <v>1842</v>
      </c>
      <c r="EJ24" s="388">
        <f>1783+17+34</f>
        <v>1834</v>
      </c>
      <c r="EK24" s="388">
        <f>1796+18+35</f>
        <v>1849</v>
      </c>
      <c r="EL24" s="388">
        <f>1791+18+38</f>
        <v>1847</v>
      </c>
      <c r="EM24" s="388">
        <f>1802+18+36</f>
        <v>1856</v>
      </c>
      <c r="EN24" s="388">
        <f>1809+17+36</f>
        <v>1862</v>
      </c>
      <c r="EO24" s="388">
        <f>1817+17+34</f>
        <v>1868</v>
      </c>
      <c r="EP24" s="388">
        <f>1812+16+34</f>
        <v>1862</v>
      </c>
      <c r="EQ24" s="388">
        <f>1833+16+37</f>
        <v>1886</v>
      </c>
      <c r="ER24" s="388">
        <f>1831+16+37</f>
        <v>1884</v>
      </c>
      <c r="ES24" s="388">
        <f>1824+16+38</f>
        <v>1878</v>
      </c>
      <c r="ET24" s="388">
        <f>1849+16+38</f>
        <v>1903</v>
      </c>
      <c r="EU24" s="388">
        <f>1846+16+38</f>
        <v>1900</v>
      </c>
      <c r="EV24" s="388">
        <f>1852+17+37</f>
        <v>1906</v>
      </c>
      <c r="EW24" s="388">
        <f>1853+18+37</f>
        <v>1908</v>
      </c>
      <c r="EX24" s="388">
        <f>1859+18+37</f>
        <v>1914</v>
      </c>
      <c r="EY24" s="388">
        <f>1856+18+37</f>
        <v>1911</v>
      </c>
      <c r="EZ24" s="388">
        <f>1850+19+38</f>
        <v>1907</v>
      </c>
      <c r="FA24" s="388">
        <f>1840+19+38</f>
        <v>1897</v>
      </c>
      <c r="FB24" s="388">
        <f>1853+19+36</f>
        <v>1908</v>
      </c>
      <c r="FC24" s="388">
        <f>1841+21+40</f>
        <v>1902</v>
      </c>
      <c r="FD24" s="388">
        <f>1848+21+40</f>
        <v>1909</v>
      </c>
      <c r="FE24" s="388">
        <f>1843+21+40</f>
        <v>1904</v>
      </c>
      <c r="FF24" s="388">
        <f>1841+21+40</f>
        <v>1902</v>
      </c>
      <c r="FG24" s="388">
        <f>1814+21+40</f>
        <v>1875</v>
      </c>
      <c r="FH24" s="388">
        <f>1810+22+40</f>
        <v>1872</v>
      </c>
      <c r="FI24" s="388">
        <f>1804+22+40</f>
        <v>1866</v>
      </c>
      <c r="FJ24" s="388">
        <f>1809+23+41</f>
        <v>1873</v>
      </c>
      <c r="FK24" s="388">
        <f>1805+23+41</f>
        <v>1869</v>
      </c>
      <c r="FL24" s="388">
        <f>1803+23+40</f>
        <v>1866</v>
      </c>
      <c r="FM24" s="388">
        <f>1818+23+40</f>
        <v>1881</v>
      </c>
      <c r="FN24" s="388">
        <f>1814+23+40</f>
        <v>1877</v>
      </c>
      <c r="FO24" s="388">
        <f>1821+22+40</f>
        <v>1883</v>
      </c>
      <c r="FP24" s="388">
        <f>1799+22+38</f>
        <v>1859</v>
      </c>
      <c r="FQ24" s="388">
        <f>1786+22+38</f>
        <v>1846</v>
      </c>
      <c r="FR24" s="388">
        <f>1765+22+40</f>
        <v>1827</v>
      </c>
      <c r="FS24" s="388">
        <f>1756+21+41</f>
        <v>1818</v>
      </c>
      <c r="FT24" s="388">
        <f>1729+22+40</f>
        <v>1791</v>
      </c>
    </row>
    <row r="25" spans="2:176" s="387" customFormat="1" ht="13.8" hidden="1" thickBot="1" x14ac:dyDescent="0.3">
      <c r="B25" s="391" t="s">
        <v>8</v>
      </c>
      <c r="C25" s="439">
        <v>39</v>
      </c>
      <c r="D25" s="393">
        <v>93</v>
      </c>
      <c r="E25" s="393">
        <v>244</v>
      </c>
      <c r="F25" s="393">
        <v>306</v>
      </c>
      <c r="G25" s="393">
        <v>294</v>
      </c>
      <c r="H25" s="393">
        <v>532</v>
      </c>
      <c r="I25" s="393">
        <v>510</v>
      </c>
      <c r="J25" s="393">
        <v>561</v>
      </c>
      <c r="K25" s="393">
        <v>600</v>
      </c>
      <c r="L25" s="393">
        <v>644</v>
      </c>
      <c r="M25" s="393">
        <v>650</v>
      </c>
      <c r="N25" s="394">
        <v>662</v>
      </c>
      <c r="O25" s="439">
        <v>1193</v>
      </c>
      <c r="P25" s="393">
        <v>1378</v>
      </c>
      <c r="Q25" s="393">
        <v>1362</v>
      </c>
      <c r="R25" s="393">
        <v>1392</v>
      </c>
      <c r="S25" s="393">
        <v>1467</v>
      </c>
      <c r="T25" s="393">
        <v>1596</v>
      </c>
      <c r="U25" s="393">
        <v>1630</v>
      </c>
      <c r="V25" s="393">
        <v>1619</v>
      </c>
      <c r="W25" s="393">
        <v>1696</v>
      </c>
      <c r="X25" s="393">
        <v>1709</v>
      </c>
      <c r="Y25" s="393">
        <v>1730</v>
      </c>
      <c r="Z25" s="394">
        <v>1768</v>
      </c>
      <c r="AA25" s="439">
        <v>1907</v>
      </c>
      <c r="AB25" s="393">
        <v>1919</v>
      </c>
      <c r="AC25" s="393">
        <v>1941</v>
      </c>
      <c r="AD25" s="393">
        <v>2016</v>
      </c>
      <c r="AE25" s="393">
        <v>2058</v>
      </c>
      <c r="AF25" s="393">
        <v>2131</v>
      </c>
      <c r="AG25" s="393">
        <v>2169</v>
      </c>
      <c r="AH25" s="393">
        <v>2188</v>
      </c>
      <c r="AI25" s="393">
        <v>2182</v>
      </c>
      <c r="AJ25" s="393">
        <v>2242</v>
      </c>
      <c r="AK25" s="393">
        <v>2276</v>
      </c>
      <c r="AL25" s="394">
        <v>2338</v>
      </c>
      <c r="AM25" s="439">
        <f>2320+72</f>
        <v>2392</v>
      </c>
      <c r="AN25" s="393">
        <f>2353+74</f>
        <v>2427</v>
      </c>
      <c r="AO25" s="393">
        <f>2406+74</f>
        <v>2480</v>
      </c>
      <c r="AP25" s="393">
        <f>2435+74</f>
        <v>2509</v>
      </c>
      <c r="AQ25" s="393">
        <f>2477+74</f>
        <v>2551</v>
      </c>
      <c r="AR25" s="393">
        <f>2758+77</f>
        <v>2835</v>
      </c>
      <c r="AS25" s="393">
        <f>2821+79</f>
        <v>2900</v>
      </c>
      <c r="AT25" s="393">
        <f>2836+80</f>
        <v>2916</v>
      </c>
      <c r="AU25" s="393">
        <f>2858+79</f>
        <v>2937</v>
      </c>
      <c r="AV25" s="393">
        <f>2905+79</f>
        <v>2984</v>
      </c>
      <c r="AW25" s="393">
        <f>2956+81</f>
        <v>3037</v>
      </c>
      <c r="AX25" s="394">
        <f>2970+81</f>
        <v>3051</v>
      </c>
      <c r="AY25" s="439">
        <f>3165+86</f>
        <v>3251</v>
      </c>
      <c r="AZ25" s="393">
        <f>3191+88</f>
        <v>3279</v>
      </c>
      <c r="BA25" s="393">
        <f>3196+88</f>
        <v>3284</v>
      </c>
      <c r="BB25" s="393">
        <f>3215+92</f>
        <v>3307</v>
      </c>
      <c r="BC25" s="393">
        <f>3207+92</f>
        <v>3299</v>
      </c>
      <c r="BD25" s="393">
        <f>3231+93</f>
        <v>3324</v>
      </c>
      <c r="BE25" s="393">
        <f>3220+93</f>
        <v>3313</v>
      </c>
      <c r="BF25" s="393">
        <f>3237+93</f>
        <v>3330</v>
      </c>
      <c r="BG25" s="393">
        <f>3282+94</f>
        <v>3376</v>
      </c>
      <c r="BH25" s="393">
        <f>3298+94</f>
        <v>3392</v>
      </c>
      <c r="BI25" s="393">
        <f>3310+95</f>
        <v>3405</v>
      </c>
      <c r="BJ25" s="394">
        <f>3322+95</f>
        <v>3417</v>
      </c>
      <c r="BK25" s="439">
        <f>3368+99</f>
        <v>3467</v>
      </c>
      <c r="BL25" s="393">
        <f>3417+99</f>
        <v>3516</v>
      </c>
      <c r="BM25" s="393">
        <f>3439+102</f>
        <v>3541</v>
      </c>
      <c r="BN25" s="393">
        <f>3461+103</f>
        <v>3564</v>
      </c>
      <c r="BO25" s="393">
        <f>3491+102</f>
        <v>3593</v>
      </c>
      <c r="BP25" s="393">
        <f>3514+99</f>
        <v>3613</v>
      </c>
      <c r="BQ25" s="393">
        <f>3514+96</f>
        <v>3610</v>
      </c>
      <c r="BR25" s="393">
        <f>3542+96</f>
        <v>3638</v>
      </c>
      <c r="BS25" s="393">
        <f>97+3561</f>
        <v>3658</v>
      </c>
      <c r="BT25" s="393">
        <v>3696</v>
      </c>
      <c r="BU25" s="393">
        <v>3714</v>
      </c>
      <c r="BV25" s="394">
        <v>3737</v>
      </c>
      <c r="BW25" s="439">
        <f>3664+102</f>
        <v>3766</v>
      </c>
      <c r="BX25" s="393">
        <f>3696+102</f>
        <v>3798</v>
      </c>
      <c r="BY25" s="393">
        <f>103+3698</f>
        <v>3801</v>
      </c>
      <c r="BZ25" s="393">
        <f>3709+103</f>
        <v>3812</v>
      </c>
      <c r="CA25" s="393">
        <f>3707+106</f>
        <v>3813</v>
      </c>
      <c r="CB25" s="393">
        <f>109+3730</f>
        <v>3839</v>
      </c>
      <c r="CC25" s="393">
        <f>3736+111</f>
        <v>3847</v>
      </c>
      <c r="CD25" s="393">
        <f>113+3734</f>
        <v>3847</v>
      </c>
      <c r="CE25" s="393">
        <f>3732+112</f>
        <v>3844</v>
      </c>
      <c r="CF25" s="393">
        <f>3743+112</f>
        <v>3855</v>
      </c>
      <c r="CG25" s="393">
        <f>3760+116</f>
        <v>3876</v>
      </c>
      <c r="CH25" s="394">
        <f>3771+117</f>
        <v>3888</v>
      </c>
      <c r="CI25" s="439">
        <f>3766+116</f>
        <v>3882</v>
      </c>
      <c r="CJ25" s="393">
        <f>3772+116</f>
        <v>3888</v>
      </c>
      <c r="CK25" s="393">
        <f>3778+117</f>
        <v>3895</v>
      </c>
      <c r="CL25" s="393">
        <f>3780+116</f>
        <v>3896</v>
      </c>
      <c r="CM25" s="393">
        <f>3795+116</f>
        <v>3911</v>
      </c>
      <c r="CN25" s="393">
        <f>3798+113</f>
        <v>3911</v>
      </c>
      <c r="CO25" s="393">
        <f>3808+113</f>
        <v>3921</v>
      </c>
      <c r="CP25" s="393">
        <f>3821+112</f>
        <v>3933</v>
      </c>
      <c r="CQ25" s="393">
        <f>3830+113</f>
        <v>3943</v>
      </c>
      <c r="CR25" s="393">
        <f>3842+145</f>
        <v>3987</v>
      </c>
      <c r="CS25" s="393">
        <f>3842+145</f>
        <v>3987</v>
      </c>
      <c r="CT25" s="394">
        <f>3848+145</f>
        <v>3993</v>
      </c>
      <c r="CU25" s="440">
        <f>3820+152</f>
        <v>3972</v>
      </c>
      <c r="CV25" s="393">
        <f>3771+151</f>
        <v>3922</v>
      </c>
      <c r="CW25" s="416">
        <f>3787+150</f>
        <v>3937</v>
      </c>
      <c r="CX25" s="393">
        <f>3801+40+111</f>
        <v>3952</v>
      </c>
      <c r="CY25" s="393">
        <f>3801+53+113</f>
        <v>3967</v>
      </c>
      <c r="CZ25" s="393">
        <f>3852+53+113</f>
        <v>4018</v>
      </c>
      <c r="DA25" s="393">
        <f>3882+54+114</f>
        <v>4050</v>
      </c>
      <c r="DB25" s="393">
        <f>3922+57+114</f>
        <v>4093</v>
      </c>
      <c r="DC25" s="393">
        <f>3948+57+114</f>
        <v>4119</v>
      </c>
      <c r="DD25" s="393">
        <f>3978+57+114</f>
        <v>4149</v>
      </c>
      <c r="DE25" s="393">
        <f>3977+57+116</f>
        <v>4150</v>
      </c>
      <c r="DF25" s="394">
        <f>4008+57+116</f>
        <v>4181</v>
      </c>
      <c r="DG25" s="387">
        <f>3953+50+116</f>
        <v>4119</v>
      </c>
      <c r="DH25" s="387">
        <f>3993+51+120</f>
        <v>4164</v>
      </c>
      <c r="DI25" s="387">
        <f>4024+51+119</f>
        <v>4194</v>
      </c>
      <c r="DJ25" s="393">
        <f>4022+51+121</f>
        <v>4194</v>
      </c>
      <c r="DK25" s="393">
        <f>4040+51+122</f>
        <v>4213</v>
      </c>
      <c r="DL25" s="393">
        <f>4118+53+122</f>
        <v>4293</v>
      </c>
      <c r="DM25" s="393">
        <f>4115+53+122</f>
        <v>4290</v>
      </c>
      <c r="DN25" s="393">
        <f>4125+53+120</f>
        <v>4298</v>
      </c>
      <c r="DO25" s="393">
        <f>4138+58+120</f>
        <v>4316</v>
      </c>
      <c r="DP25" s="393">
        <f>4156+58+120</f>
        <v>4334</v>
      </c>
      <c r="DQ25" s="393">
        <f>4163+58+120</f>
        <v>4341</v>
      </c>
      <c r="DR25" s="393">
        <f>4188+58+121</f>
        <v>4367</v>
      </c>
      <c r="DS25" s="393">
        <v>4389</v>
      </c>
      <c r="DT25" s="416">
        <v>4401</v>
      </c>
      <c r="DU25" s="393">
        <v>4413</v>
      </c>
      <c r="DV25" s="396">
        <v>4449</v>
      </c>
      <c r="DW25" s="396">
        <v>4489</v>
      </c>
      <c r="DX25" s="396">
        <v>4522</v>
      </c>
      <c r="DY25" s="393">
        <v>4430</v>
      </c>
      <c r="DZ25" s="416">
        <v>4461</v>
      </c>
      <c r="EA25" s="393">
        <v>4473</v>
      </c>
      <c r="EB25" s="416">
        <f>4423+58+127</f>
        <v>4608</v>
      </c>
      <c r="EC25" s="416">
        <f>4441+59+127</f>
        <v>4627</v>
      </c>
      <c r="ED25" s="416">
        <f>4456+58+128</f>
        <v>4642</v>
      </c>
      <c r="EE25" s="416">
        <f>4420+53+131</f>
        <v>4604</v>
      </c>
      <c r="EF25" s="416">
        <f>4434+53+133</f>
        <v>4620</v>
      </c>
      <c r="EG25" s="416">
        <f>4450+54+133</f>
        <v>4637</v>
      </c>
      <c r="EH25" s="416">
        <f>4471+55+134</f>
        <v>4660</v>
      </c>
      <c r="EI25" s="416">
        <f>4491+59+135</f>
        <v>4685</v>
      </c>
      <c r="EJ25" s="416">
        <f>4539+59+135</f>
        <v>4733</v>
      </c>
      <c r="EK25" s="416">
        <f>4537+60+136</f>
        <v>4733</v>
      </c>
      <c r="EL25" s="416">
        <f>4549+60+138</f>
        <v>4747</v>
      </c>
      <c r="EM25" s="416">
        <f>4557+60+139</f>
        <v>4756</v>
      </c>
      <c r="EN25" s="416">
        <f>4560+61+140</f>
        <v>4761</v>
      </c>
      <c r="EO25" s="416">
        <f>4576+61+141</f>
        <v>4778</v>
      </c>
      <c r="EP25" s="416">
        <f>4580+62+141</f>
        <v>4783</v>
      </c>
      <c r="EQ25" s="416">
        <f>4573+62+138</f>
        <v>4773</v>
      </c>
      <c r="ER25" s="416">
        <f>4593+62+139</f>
        <v>4794</v>
      </c>
      <c r="ES25" s="416">
        <f>4605+62+139</f>
        <v>4806</v>
      </c>
      <c r="ET25" s="416">
        <f>4615+62+140</f>
        <v>4817</v>
      </c>
      <c r="EU25" s="416">
        <f>4633+62+140</f>
        <v>4835</v>
      </c>
      <c r="EV25" s="416">
        <f>4639+62+141</f>
        <v>4842</v>
      </c>
      <c r="EW25" s="416">
        <f>4642+63+141</f>
        <v>4846</v>
      </c>
      <c r="EX25" s="416">
        <f>4648+64+142</f>
        <v>4854</v>
      </c>
      <c r="EY25" s="416">
        <f>4658+64+143</f>
        <v>4865</v>
      </c>
      <c r="EZ25" s="416">
        <f>4673+63+142</f>
        <v>4878</v>
      </c>
      <c r="FA25" s="416">
        <f>4699+63+142</f>
        <v>4904</v>
      </c>
      <c r="FB25" s="416">
        <f>4698+63+142</f>
        <v>4903</v>
      </c>
      <c r="FC25" s="416">
        <f>4720+61+138</f>
        <v>4919</v>
      </c>
      <c r="FD25" s="416">
        <f>4725+61+138</f>
        <v>4924</v>
      </c>
      <c r="FE25" s="416">
        <f>4739+61+138</f>
        <v>4938</v>
      </c>
      <c r="FF25" s="416">
        <f>4746+61+140</f>
        <v>4947</v>
      </c>
      <c r="FG25" s="416">
        <f>4765+61+141</f>
        <v>4967</v>
      </c>
      <c r="FH25" s="416">
        <f>4766+63+143</f>
        <v>4972</v>
      </c>
      <c r="FI25" s="416">
        <f>4781+63+143</f>
        <v>4987</v>
      </c>
      <c r="FJ25" s="416">
        <f>4790+63+144</f>
        <v>4997</v>
      </c>
      <c r="FK25" s="416">
        <f>4806+64+145</f>
        <v>5015</v>
      </c>
      <c r="FL25" s="416">
        <f>4812+64+146</f>
        <v>5022</v>
      </c>
      <c r="FM25" s="416">
        <f>4807+66+146</f>
        <v>5019</v>
      </c>
      <c r="FN25" s="416">
        <f>4822+67+147</f>
        <v>5036</v>
      </c>
      <c r="FO25" s="416">
        <f>4821+67+148</f>
        <v>5036</v>
      </c>
      <c r="FP25" s="416">
        <f>4858+68+147</f>
        <v>5073</v>
      </c>
      <c r="FQ25" s="416">
        <f>4874+68+146</f>
        <v>5088</v>
      </c>
      <c r="FR25" s="416">
        <f>4895+68+145</f>
        <v>5108</v>
      </c>
      <c r="FS25" s="416">
        <f>4917+69+145</f>
        <v>5131</v>
      </c>
      <c r="FT25" s="416">
        <f>4948+69+146</f>
        <v>5163</v>
      </c>
    </row>
    <row r="26" spans="2:176" s="387" customFormat="1" ht="13.8" hidden="1" thickTop="1" x14ac:dyDescent="0.25">
      <c r="B26" s="390" t="s">
        <v>9</v>
      </c>
      <c r="C26" s="441">
        <f t="shared" ref="C26:Q26" si="94">SUM(C24:C25)</f>
        <v>4027</v>
      </c>
      <c r="D26" s="398">
        <f t="shared" si="94"/>
        <v>4081</v>
      </c>
      <c r="E26" s="398">
        <f t="shared" si="94"/>
        <v>5403</v>
      </c>
      <c r="F26" s="398">
        <f t="shared" si="94"/>
        <v>5568</v>
      </c>
      <c r="G26" s="398">
        <f t="shared" si="94"/>
        <v>5427</v>
      </c>
      <c r="H26" s="398">
        <f t="shared" si="94"/>
        <v>6182</v>
      </c>
      <c r="I26" s="398">
        <f t="shared" si="94"/>
        <v>6413</v>
      </c>
      <c r="J26" s="398">
        <f t="shared" si="94"/>
        <v>6054</v>
      </c>
      <c r="K26" s="398">
        <f t="shared" si="94"/>
        <v>6066</v>
      </c>
      <c r="L26" s="398">
        <f t="shared" si="94"/>
        <v>6073</v>
      </c>
      <c r="M26" s="398">
        <f t="shared" si="94"/>
        <v>6071</v>
      </c>
      <c r="N26" s="399">
        <f t="shared" si="94"/>
        <v>6067</v>
      </c>
      <c r="O26" s="441">
        <f t="shared" si="94"/>
        <v>6027</v>
      </c>
      <c r="P26" s="398">
        <f t="shared" si="94"/>
        <v>6034</v>
      </c>
      <c r="Q26" s="398">
        <f t="shared" si="94"/>
        <v>6026</v>
      </c>
      <c r="R26" s="398">
        <f t="shared" ref="R26:W26" si="95">SUM(R24:R25)</f>
        <v>6052</v>
      </c>
      <c r="S26" s="398">
        <f t="shared" si="95"/>
        <v>6045</v>
      </c>
      <c r="T26" s="398">
        <f t="shared" si="95"/>
        <v>6015</v>
      </c>
      <c r="U26" s="398">
        <f t="shared" si="95"/>
        <v>6005</v>
      </c>
      <c r="V26" s="398">
        <f t="shared" si="95"/>
        <v>5985</v>
      </c>
      <c r="W26" s="398">
        <f t="shared" si="95"/>
        <v>5970</v>
      </c>
      <c r="X26" s="398">
        <f t="shared" ref="X26:AC26" si="96">SUM(X24:X25)</f>
        <v>5957</v>
      </c>
      <c r="Y26" s="398">
        <f t="shared" si="96"/>
        <v>5947</v>
      </c>
      <c r="Z26" s="399">
        <f t="shared" si="96"/>
        <v>5946</v>
      </c>
      <c r="AA26" s="441">
        <f t="shared" si="96"/>
        <v>5932</v>
      </c>
      <c r="AB26" s="398">
        <f t="shared" si="96"/>
        <v>5926</v>
      </c>
      <c r="AC26" s="398">
        <f t="shared" si="96"/>
        <v>5922</v>
      </c>
      <c r="AD26" s="398">
        <f t="shared" ref="AD26:AI26" si="97">SUM(AD24:AD25)</f>
        <v>5908</v>
      </c>
      <c r="AE26" s="398">
        <f t="shared" si="97"/>
        <v>5897</v>
      </c>
      <c r="AF26" s="398">
        <f t="shared" si="97"/>
        <v>5893</v>
      </c>
      <c r="AG26" s="398">
        <f t="shared" si="97"/>
        <v>5874</v>
      </c>
      <c r="AH26" s="398">
        <f t="shared" si="97"/>
        <v>5869</v>
      </c>
      <c r="AI26" s="398">
        <f t="shared" si="97"/>
        <v>5849</v>
      </c>
      <c r="AJ26" s="398">
        <f t="shared" ref="AJ26:AP26" si="98">SUM(AJ24:AJ25)</f>
        <v>5853</v>
      </c>
      <c r="AK26" s="398">
        <f t="shared" si="98"/>
        <v>5859</v>
      </c>
      <c r="AL26" s="399">
        <f t="shared" si="98"/>
        <v>5862</v>
      </c>
      <c r="AM26" s="441">
        <f t="shared" si="98"/>
        <v>5700</v>
      </c>
      <c r="AN26" s="398">
        <f t="shared" si="98"/>
        <v>5699</v>
      </c>
      <c r="AO26" s="398">
        <f t="shared" si="98"/>
        <v>5694</v>
      </c>
      <c r="AP26" s="398">
        <f t="shared" si="98"/>
        <v>5688</v>
      </c>
      <c r="AQ26" s="398">
        <f t="shared" ref="AQ26:AX26" si="99">SUM(AQ24:AQ25)</f>
        <v>5675</v>
      </c>
      <c r="AR26" s="398">
        <f t="shared" si="99"/>
        <v>5672</v>
      </c>
      <c r="AS26" s="398">
        <f t="shared" si="99"/>
        <v>5656</v>
      </c>
      <c r="AT26" s="398">
        <f t="shared" si="99"/>
        <v>5657</v>
      </c>
      <c r="AU26" s="398">
        <f t="shared" si="99"/>
        <v>5661</v>
      </c>
      <c r="AV26" s="398">
        <f t="shared" si="99"/>
        <v>5661</v>
      </c>
      <c r="AW26" s="398">
        <f t="shared" si="99"/>
        <v>5663</v>
      </c>
      <c r="AX26" s="399">
        <f t="shared" si="99"/>
        <v>5665</v>
      </c>
      <c r="AY26" s="441">
        <f t="shared" ref="AY26:BJ26" si="100">SUM(AY24:AY25)</f>
        <v>5846</v>
      </c>
      <c r="AZ26" s="398">
        <f t="shared" si="100"/>
        <v>5846</v>
      </c>
      <c r="BA26" s="398">
        <f t="shared" si="100"/>
        <v>5834</v>
      </c>
      <c r="BB26" s="398">
        <f t="shared" si="100"/>
        <v>5845</v>
      </c>
      <c r="BC26" s="398">
        <f t="shared" si="100"/>
        <v>5849</v>
      </c>
      <c r="BD26" s="398">
        <f t="shared" si="100"/>
        <v>5856</v>
      </c>
      <c r="BE26" s="398">
        <f t="shared" si="100"/>
        <v>5845</v>
      </c>
      <c r="BF26" s="398">
        <f t="shared" si="100"/>
        <v>5851</v>
      </c>
      <c r="BG26" s="398">
        <f t="shared" si="100"/>
        <v>5856</v>
      </c>
      <c r="BH26" s="398">
        <f t="shared" si="100"/>
        <v>5871</v>
      </c>
      <c r="BI26" s="398">
        <f t="shared" si="100"/>
        <v>5872</v>
      </c>
      <c r="BJ26" s="399">
        <f t="shared" si="100"/>
        <v>5882</v>
      </c>
      <c r="BK26" s="441">
        <f t="shared" ref="BK26:BP26" si="101">SUM(BK24:BK25)</f>
        <v>5895</v>
      </c>
      <c r="BL26" s="398">
        <f t="shared" si="101"/>
        <v>5903</v>
      </c>
      <c r="BM26" s="398">
        <f t="shared" si="101"/>
        <v>5909</v>
      </c>
      <c r="BN26" s="398">
        <f t="shared" si="101"/>
        <v>5916</v>
      </c>
      <c r="BO26" s="398">
        <f t="shared" si="101"/>
        <v>5935</v>
      </c>
      <c r="BP26" s="398">
        <f t="shared" si="101"/>
        <v>5937</v>
      </c>
      <c r="BQ26" s="398">
        <f t="shared" ref="BQ26:CB26" si="102">SUM(BQ24:BQ25)</f>
        <v>5928</v>
      </c>
      <c r="BR26" s="398">
        <f t="shared" si="102"/>
        <v>5938</v>
      </c>
      <c r="BS26" s="398">
        <f t="shared" si="102"/>
        <v>5938</v>
      </c>
      <c r="BT26" s="398">
        <f t="shared" si="102"/>
        <v>5951</v>
      </c>
      <c r="BU26" s="398">
        <f t="shared" si="102"/>
        <v>5971</v>
      </c>
      <c r="BV26" s="399">
        <f t="shared" si="102"/>
        <v>5993</v>
      </c>
      <c r="BW26" s="441">
        <f t="shared" si="102"/>
        <v>6012</v>
      </c>
      <c r="BX26" s="398">
        <f t="shared" si="102"/>
        <v>6044</v>
      </c>
      <c r="BY26" s="398">
        <f t="shared" si="102"/>
        <v>6057</v>
      </c>
      <c r="BZ26" s="398">
        <f t="shared" si="102"/>
        <v>6073</v>
      </c>
      <c r="CA26" s="398">
        <f t="shared" si="102"/>
        <v>6077</v>
      </c>
      <c r="CB26" s="398">
        <f t="shared" si="102"/>
        <v>6084</v>
      </c>
      <c r="CC26" s="398">
        <f t="shared" ref="CC26:CK26" si="103">SUM(CC24:CC25)</f>
        <v>6091</v>
      </c>
      <c r="CD26" s="398">
        <f t="shared" si="103"/>
        <v>6105</v>
      </c>
      <c r="CE26" s="398">
        <f t="shared" si="103"/>
        <v>6103</v>
      </c>
      <c r="CF26" s="398">
        <f t="shared" si="103"/>
        <v>6111</v>
      </c>
      <c r="CG26" s="398">
        <f t="shared" si="103"/>
        <v>6133</v>
      </c>
      <c r="CH26" s="442">
        <f t="shared" si="103"/>
        <v>6147</v>
      </c>
      <c r="CI26" s="441">
        <f t="shared" si="103"/>
        <v>6161</v>
      </c>
      <c r="CJ26" s="398">
        <f t="shared" si="103"/>
        <v>6169</v>
      </c>
      <c r="CK26" s="398">
        <f t="shared" si="103"/>
        <v>6187</v>
      </c>
      <c r="CL26" s="398">
        <f t="shared" ref="CL26:CT26" si="104">SUM(CL24:CL25)</f>
        <v>6184</v>
      </c>
      <c r="CM26" s="398">
        <f t="shared" si="104"/>
        <v>6183</v>
      </c>
      <c r="CN26" s="398">
        <f t="shared" si="104"/>
        <v>6182</v>
      </c>
      <c r="CO26" s="398">
        <f t="shared" si="104"/>
        <v>6183</v>
      </c>
      <c r="CP26" s="398">
        <f t="shared" si="104"/>
        <v>6189</v>
      </c>
      <c r="CQ26" s="398">
        <f t="shared" si="104"/>
        <v>6193</v>
      </c>
      <c r="CR26" s="398">
        <f t="shared" si="104"/>
        <v>6194</v>
      </c>
      <c r="CS26" s="398">
        <f t="shared" si="104"/>
        <v>6187</v>
      </c>
      <c r="CT26" s="399">
        <f t="shared" si="104"/>
        <v>6185</v>
      </c>
      <c r="CU26" s="400">
        <f>SUM(CU24:CU25)</f>
        <v>6190</v>
      </c>
      <c r="CV26" s="400">
        <f>SUM(CV24:CV25)</f>
        <v>6184</v>
      </c>
      <c r="CW26" s="400">
        <f>SUM(CW24:CW25)</f>
        <v>6179</v>
      </c>
      <c r="CX26" s="400">
        <f t="shared" ref="CX26:DC26" si="105">SUM(CX24:CX25)</f>
        <v>6189</v>
      </c>
      <c r="CY26" s="400">
        <f t="shared" si="105"/>
        <v>6179</v>
      </c>
      <c r="CZ26" s="400">
        <f t="shared" si="105"/>
        <v>6199</v>
      </c>
      <c r="DA26" s="400">
        <f t="shared" si="105"/>
        <v>6211</v>
      </c>
      <c r="DB26" s="400">
        <f t="shared" si="105"/>
        <v>6222</v>
      </c>
      <c r="DC26" s="400">
        <f t="shared" si="105"/>
        <v>6238</v>
      </c>
      <c r="DD26" s="400">
        <f t="shared" ref="DD26:DL26" si="106">SUM(DD24:DD25)</f>
        <v>6244</v>
      </c>
      <c r="DE26" s="400">
        <f t="shared" si="106"/>
        <v>6243</v>
      </c>
      <c r="DF26" s="399">
        <f t="shared" si="106"/>
        <v>6258</v>
      </c>
      <c r="DG26" s="400">
        <f t="shared" si="106"/>
        <v>6284</v>
      </c>
      <c r="DH26" s="400">
        <f t="shared" si="106"/>
        <v>6310</v>
      </c>
      <c r="DI26" s="400">
        <f t="shared" si="106"/>
        <v>6316</v>
      </c>
      <c r="DJ26" s="502">
        <f t="shared" si="106"/>
        <v>6303</v>
      </c>
      <c r="DK26" s="502">
        <f t="shared" si="106"/>
        <v>6311</v>
      </c>
      <c r="DL26" s="502">
        <f t="shared" si="106"/>
        <v>6323</v>
      </c>
      <c r="DM26" s="502">
        <f t="shared" ref="DM26:DU26" si="107">SUM(DM24:DM25)</f>
        <v>6317</v>
      </c>
      <c r="DN26" s="502">
        <f t="shared" si="107"/>
        <v>6323</v>
      </c>
      <c r="DO26" s="502">
        <f t="shared" si="107"/>
        <v>6329</v>
      </c>
      <c r="DP26" s="502">
        <f t="shared" si="107"/>
        <v>6332</v>
      </c>
      <c r="DQ26" s="502">
        <f t="shared" si="107"/>
        <v>6323</v>
      </c>
      <c r="DR26" s="502">
        <f t="shared" si="107"/>
        <v>6331</v>
      </c>
      <c r="DS26" s="502">
        <f t="shared" si="107"/>
        <v>6342</v>
      </c>
      <c r="DT26" s="502">
        <f t="shared" si="107"/>
        <v>6345</v>
      </c>
      <c r="DU26" s="502">
        <f t="shared" si="107"/>
        <v>6350</v>
      </c>
      <c r="DV26" s="503">
        <f t="shared" ref="DV26:FN26" si="108">SUM(DV24:DV25)</f>
        <v>6374</v>
      </c>
      <c r="DW26" s="503">
        <f t="shared" si="108"/>
        <v>6388</v>
      </c>
      <c r="DX26" s="503">
        <f t="shared" si="108"/>
        <v>6398</v>
      </c>
      <c r="DY26" s="503">
        <f t="shared" si="108"/>
        <v>6242</v>
      </c>
      <c r="DZ26" s="503">
        <f t="shared" si="108"/>
        <v>6259</v>
      </c>
      <c r="EA26" s="503">
        <f t="shared" si="108"/>
        <v>6260</v>
      </c>
      <c r="EB26" s="503">
        <f t="shared" si="108"/>
        <v>6433</v>
      </c>
      <c r="EC26" s="503">
        <f t="shared" si="108"/>
        <v>6445</v>
      </c>
      <c r="ED26" s="503">
        <f t="shared" si="108"/>
        <v>6459</v>
      </c>
      <c r="EE26" s="503">
        <f t="shared" si="108"/>
        <v>6471</v>
      </c>
      <c r="EF26" s="503">
        <f t="shared" si="108"/>
        <v>6489</v>
      </c>
      <c r="EG26" s="503">
        <f t="shared" si="108"/>
        <v>6499</v>
      </c>
      <c r="EH26" s="503">
        <f t="shared" si="108"/>
        <v>6519</v>
      </c>
      <c r="EI26" s="503">
        <f t="shared" si="108"/>
        <v>6527</v>
      </c>
      <c r="EJ26" s="503">
        <f t="shared" si="108"/>
        <v>6567</v>
      </c>
      <c r="EK26" s="503">
        <f t="shared" si="108"/>
        <v>6582</v>
      </c>
      <c r="EL26" s="503">
        <f t="shared" si="108"/>
        <v>6594</v>
      </c>
      <c r="EM26" s="503">
        <f t="shared" si="108"/>
        <v>6612</v>
      </c>
      <c r="EN26" s="503">
        <f t="shared" si="108"/>
        <v>6623</v>
      </c>
      <c r="EO26" s="503">
        <f t="shared" si="108"/>
        <v>6646</v>
      </c>
      <c r="EP26" s="503">
        <f t="shared" si="108"/>
        <v>6645</v>
      </c>
      <c r="EQ26" s="503">
        <f t="shared" si="108"/>
        <v>6659</v>
      </c>
      <c r="ER26" s="503">
        <f t="shared" si="108"/>
        <v>6678</v>
      </c>
      <c r="ES26" s="503">
        <f t="shared" si="108"/>
        <v>6684</v>
      </c>
      <c r="ET26" s="503">
        <f t="shared" si="108"/>
        <v>6720</v>
      </c>
      <c r="EU26" s="503">
        <f t="shared" si="108"/>
        <v>6735</v>
      </c>
      <c r="EV26" s="503">
        <f t="shared" si="108"/>
        <v>6748</v>
      </c>
      <c r="EW26" s="503">
        <f t="shared" si="108"/>
        <v>6754</v>
      </c>
      <c r="EX26" s="503">
        <f t="shared" si="108"/>
        <v>6768</v>
      </c>
      <c r="EY26" s="503">
        <f t="shared" si="108"/>
        <v>6776</v>
      </c>
      <c r="EZ26" s="503">
        <f t="shared" si="108"/>
        <v>6785</v>
      </c>
      <c r="FA26" s="503">
        <f t="shared" si="108"/>
        <v>6801</v>
      </c>
      <c r="FB26" s="503">
        <f t="shared" si="108"/>
        <v>6811</v>
      </c>
      <c r="FC26" s="503">
        <f t="shared" si="108"/>
        <v>6821</v>
      </c>
      <c r="FD26" s="503">
        <f t="shared" si="108"/>
        <v>6833</v>
      </c>
      <c r="FE26" s="503">
        <f t="shared" si="108"/>
        <v>6842</v>
      </c>
      <c r="FF26" s="503">
        <f t="shared" si="108"/>
        <v>6849</v>
      </c>
      <c r="FG26" s="503">
        <f t="shared" si="108"/>
        <v>6842</v>
      </c>
      <c r="FH26" s="503">
        <f t="shared" si="108"/>
        <v>6844</v>
      </c>
      <c r="FI26" s="503">
        <f t="shared" si="108"/>
        <v>6853</v>
      </c>
      <c r="FJ26" s="503">
        <f t="shared" si="108"/>
        <v>6870</v>
      </c>
      <c r="FK26" s="503">
        <f t="shared" si="108"/>
        <v>6884</v>
      </c>
      <c r="FL26" s="503">
        <f t="shared" si="108"/>
        <v>6888</v>
      </c>
      <c r="FM26" s="503">
        <f t="shared" si="108"/>
        <v>6900</v>
      </c>
      <c r="FN26" s="503">
        <f t="shared" si="108"/>
        <v>6913</v>
      </c>
      <c r="FO26" s="503">
        <f t="shared" ref="FO26:FQ26" si="109">SUM(FO24:FO25)</f>
        <v>6919</v>
      </c>
      <c r="FP26" s="503">
        <f t="shared" si="109"/>
        <v>6932</v>
      </c>
      <c r="FQ26" s="503">
        <f t="shared" si="109"/>
        <v>6934</v>
      </c>
      <c r="FR26" s="503">
        <f t="shared" ref="FR26:FT26" si="110">SUM(FR24:FR25)</f>
        <v>6935</v>
      </c>
      <c r="FS26" s="503">
        <f t="shared" si="110"/>
        <v>6949</v>
      </c>
      <c r="FT26" s="503">
        <f t="shared" si="110"/>
        <v>6954</v>
      </c>
    </row>
    <row r="27" spans="2:176" s="409" customFormat="1" hidden="1" x14ac:dyDescent="0.25">
      <c r="B27" s="403" t="s">
        <v>10</v>
      </c>
      <c r="C27" s="460">
        <f t="shared" ref="C27:Q27" si="111">SUM(C24)/C26</f>
        <v>0.99031537124410229</v>
      </c>
      <c r="D27" s="405">
        <f t="shared" si="111"/>
        <v>0.97721146777750556</v>
      </c>
      <c r="E27" s="405">
        <f t="shared" si="111"/>
        <v>0.95483990375717198</v>
      </c>
      <c r="F27" s="405">
        <f t="shared" si="111"/>
        <v>0.94504310344827591</v>
      </c>
      <c r="G27" s="405">
        <f t="shared" si="111"/>
        <v>0.94582642343836376</v>
      </c>
      <c r="H27" s="405">
        <f t="shared" si="111"/>
        <v>0.91394370753801357</v>
      </c>
      <c r="I27" s="405">
        <f t="shared" si="111"/>
        <v>0.92047403711211606</v>
      </c>
      <c r="J27" s="405">
        <f t="shared" si="111"/>
        <v>0.90733399405351833</v>
      </c>
      <c r="K27" s="405">
        <f t="shared" si="111"/>
        <v>0.90108803165182982</v>
      </c>
      <c r="L27" s="405">
        <f t="shared" si="111"/>
        <v>0.89395685822492998</v>
      </c>
      <c r="M27" s="405">
        <f t="shared" si="111"/>
        <v>0.89293361884368305</v>
      </c>
      <c r="N27" s="406">
        <f t="shared" si="111"/>
        <v>0.89088511620240651</v>
      </c>
      <c r="O27" s="460">
        <f t="shared" si="111"/>
        <v>0.80205740832918537</v>
      </c>
      <c r="P27" s="405">
        <f t="shared" si="111"/>
        <v>0.77162744448127274</v>
      </c>
      <c r="Q27" s="405">
        <f t="shared" si="111"/>
        <v>0.77397942250248919</v>
      </c>
      <c r="R27" s="405">
        <f t="shared" ref="R27:W27" si="112">SUM(R24)/R26</f>
        <v>0.76999339061467287</v>
      </c>
      <c r="S27" s="405">
        <f t="shared" si="112"/>
        <v>0.75732009925558308</v>
      </c>
      <c r="T27" s="405">
        <f t="shared" si="112"/>
        <v>0.73466334164588531</v>
      </c>
      <c r="U27" s="405">
        <f t="shared" si="112"/>
        <v>0.72855953372189841</v>
      </c>
      <c r="V27" s="405">
        <f t="shared" si="112"/>
        <v>0.72949039264828741</v>
      </c>
      <c r="W27" s="405">
        <f t="shared" si="112"/>
        <v>0.7159128978224456</v>
      </c>
      <c r="X27" s="405">
        <f t="shared" ref="X27:AC27" si="113">SUM(X24)/X26</f>
        <v>0.71311062615410437</v>
      </c>
      <c r="Y27" s="405">
        <f t="shared" si="113"/>
        <v>0.70909702370943328</v>
      </c>
      <c r="Z27" s="406">
        <f t="shared" si="113"/>
        <v>0.70265724857046752</v>
      </c>
      <c r="AA27" s="460">
        <f t="shared" si="113"/>
        <v>0.67852326365475391</v>
      </c>
      <c r="AB27" s="405">
        <f t="shared" si="113"/>
        <v>0.67617279784002704</v>
      </c>
      <c r="AC27" s="405">
        <f t="shared" si="113"/>
        <v>0.67223910840932122</v>
      </c>
      <c r="AD27" s="405">
        <f t="shared" ref="AD27:AI27" si="114">SUM(AD24)/AD26</f>
        <v>0.65876777251184837</v>
      </c>
      <c r="AE27" s="405">
        <f t="shared" si="114"/>
        <v>0.65100898762082415</v>
      </c>
      <c r="AF27" s="405">
        <f t="shared" si="114"/>
        <v>0.63838452401153911</v>
      </c>
      <c r="AG27" s="405">
        <f t="shared" si="114"/>
        <v>0.63074565883554645</v>
      </c>
      <c r="AH27" s="405">
        <f t="shared" si="114"/>
        <v>0.62719372976657006</v>
      </c>
      <c r="AI27" s="405">
        <f t="shared" si="114"/>
        <v>0.62694477688493755</v>
      </c>
      <c r="AJ27" s="405">
        <f t="shared" ref="AJ27:AP27" si="115">SUM(AJ24)/AJ26</f>
        <v>0.61694857338117204</v>
      </c>
      <c r="AK27" s="405">
        <f t="shared" si="115"/>
        <v>0.61153780508619215</v>
      </c>
      <c r="AL27" s="406">
        <f t="shared" si="115"/>
        <v>0.60116001364721938</v>
      </c>
      <c r="AM27" s="460">
        <f t="shared" si="115"/>
        <v>0.58035087719298251</v>
      </c>
      <c r="AN27" s="405">
        <f t="shared" si="115"/>
        <v>0.57413581330057906</v>
      </c>
      <c r="AO27" s="405">
        <f t="shared" si="115"/>
        <v>0.56445381102915348</v>
      </c>
      <c r="AP27" s="405">
        <f t="shared" si="115"/>
        <v>0.55889592123769338</v>
      </c>
      <c r="AQ27" s="405">
        <f t="shared" ref="AQ27:AX27" si="116">SUM(AQ24)/AQ26</f>
        <v>0.55048458149779733</v>
      </c>
      <c r="AR27" s="405">
        <f t="shared" si="116"/>
        <v>0.50017630465444285</v>
      </c>
      <c r="AS27" s="405">
        <f t="shared" si="116"/>
        <v>0.48727015558698727</v>
      </c>
      <c r="AT27" s="405">
        <f t="shared" si="116"/>
        <v>0.48453243768782039</v>
      </c>
      <c r="AU27" s="405">
        <f t="shared" si="116"/>
        <v>0.48118706942236356</v>
      </c>
      <c r="AV27" s="405">
        <f t="shared" si="116"/>
        <v>0.47288464935523761</v>
      </c>
      <c r="AW27" s="405">
        <f t="shared" si="116"/>
        <v>0.46371181352639945</v>
      </c>
      <c r="AX27" s="406">
        <f t="shared" si="116"/>
        <v>0.46142983230361873</v>
      </c>
      <c r="AY27" s="460">
        <f t="shared" ref="AY27:BJ27" si="117">SUM(AY24)/AY26</f>
        <v>0.44389326034895654</v>
      </c>
      <c r="AZ27" s="405">
        <f t="shared" si="117"/>
        <v>0.43910366062264794</v>
      </c>
      <c r="BA27" s="405">
        <f t="shared" si="117"/>
        <v>0.43709290366815223</v>
      </c>
      <c r="BB27" s="405">
        <f t="shared" si="117"/>
        <v>0.43421727972626178</v>
      </c>
      <c r="BC27" s="405">
        <f t="shared" si="117"/>
        <v>0.43597196101897762</v>
      </c>
      <c r="BD27" s="405">
        <f t="shared" si="117"/>
        <v>0.43237704918032788</v>
      </c>
      <c r="BE27" s="405">
        <f t="shared" si="117"/>
        <v>0.43319076133447393</v>
      </c>
      <c r="BF27" s="405">
        <f t="shared" si="117"/>
        <v>0.43086651854383867</v>
      </c>
      <c r="BG27" s="405">
        <f t="shared" si="117"/>
        <v>0.42349726775956287</v>
      </c>
      <c r="BH27" s="405">
        <f t="shared" si="117"/>
        <v>0.4222449327201499</v>
      </c>
      <c r="BI27" s="405">
        <f t="shared" si="117"/>
        <v>0.42012942779291551</v>
      </c>
      <c r="BJ27" s="406">
        <f t="shared" si="117"/>
        <v>0.41907514450867051</v>
      </c>
      <c r="BK27" s="460">
        <f t="shared" ref="BK27:BP27" si="118">SUM(BK24)/BK26</f>
        <v>0.41187446988973708</v>
      </c>
      <c r="BL27" s="405">
        <f t="shared" si="118"/>
        <v>0.40437065898695579</v>
      </c>
      <c r="BM27" s="405">
        <f t="shared" si="118"/>
        <v>0.40074462684041295</v>
      </c>
      <c r="BN27" s="405">
        <f t="shared" si="118"/>
        <v>0.39756592292089249</v>
      </c>
      <c r="BO27" s="405">
        <f t="shared" si="118"/>
        <v>0.3946082561078349</v>
      </c>
      <c r="BP27" s="405">
        <f t="shared" si="118"/>
        <v>0.39144348997810341</v>
      </c>
      <c r="BQ27" s="405">
        <f t="shared" ref="BQ27:CB27" si="119">SUM(BQ24)/BQ26</f>
        <v>0.39102564102564102</v>
      </c>
      <c r="BR27" s="405">
        <f t="shared" si="119"/>
        <v>0.38733580330077466</v>
      </c>
      <c r="BS27" s="405">
        <f t="shared" si="119"/>
        <v>0.38396766588076792</v>
      </c>
      <c r="BT27" s="405">
        <f t="shared" si="119"/>
        <v>0.37892791127541592</v>
      </c>
      <c r="BU27" s="405">
        <f t="shared" si="119"/>
        <v>0.37799363590688329</v>
      </c>
      <c r="BV27" s="406">
        <f t="shared" si="119"/>
        <v>0.37643917904221591</v>
      </c>
      <c r="BW27" s="460">
        <f t="shared" si="119"/>
        <v>0.3735861610113107</v>
      </c>
      <c r="BX27" s="405">
        <f t="shared" si="119"/>
        <v>0.37160820648577103</v>
      </c>
      <c r="BY27" s="405">
        <f t="shared" si="119"/>
        <v>0.37246161466072314</v>
      </c>
      <c r="BZ27" s="405">
        <f t="shared" si="119"/>
        <v>0.37230363905812613</v>
      </c>
      <c r="CA27" s="405">
        <f t="shared" si="119"/>
        <v>0.37255224617409904</v>
      </c>
      <c r="CB27" s="405">
        <f t="shared" si="119"/>
        <v>0.3690006574621959</v>
      </c>
      <c r="CC27" s="405">
        <f t="shared" ref="CC27:CK27" si="120">SUM(CC24)/CC26</f>
        <v>0.36841241175504841</v>
      </c>
      <c r="CD27" s="405">
        <f t="shared" si="120"/>
        <v>0.36986076986076988</v>
      </c>
      <c r="CE27" s="405">
        <f t="shared" si="120"/>
        <v>0.37014582991971162</v>
      </c>
      <c r="CF27" s="405">
        <f t="shared" si="120"/>
        <v>0.36917034855179187</v>
      </c>
      <c r="CG27" s="405">
        <f t="shared" si="120"/>
        <v>0.36800913093102888</v>
      </c>
      <c r="CH27" s="406">
        <f t="shared" si="120"/>
        <v>0.36749633967789164</v>
      </c>
      <c r="CI27" s="460">
        <f t="shared" si="120"/>
        <v>0.36990748255153383</v>
      </c>
      <c r="CJ27" s="405">
        <f t="shared" si="120"/>
        <v>0.36975198573512724</v>
      </c>
      <c r="CK27" s="405">
        <f t="shared" si="120"/>
        <v>0.37045417811540327</v>
      </c>
      <c r="CL27" s="405">
        <f t="shared" ref="CL27:CQ27" si="121">SUM(CL24)/CL26</f>
        <v>0.36998706338939197</v>
      </c>
      <c r="CM27" s="405">
        <f t="shared" si="121"/>
        <v>0.36745916221898756</v>
      </c>
      <c r="CN27" s="405">
        <f t="shared" si="121"/>
        <v>0.36735684244581041</v>
      </c>
      <c r="CO27" s="405">
        <f t="shared" si="121"/>
        <v>0.36584182435710821</v>
      </c>
      <c r="CP27" s="405">
        <f t="shared" si="121"/>
        <v>0.36451769268056228</v>
      </c>
      <c r="CQ27" s="405">
        <f t="shared" si="121"/>
        <v>0.36331341837558534</v>
      </c>
      <c r="CR27" s="405">
        <f t="shared" ref="CR27:DJ27" si="122">SUM(CR24)/CR26</f>
        <v>0.35631256054246047</v>
      </c>
      <c r="CS27" s="405">
        <f t="shared" si="122"/>
        <v>0.35558428963956684</v>
      </c>
      <c r="CT27" s="406">
        <f t="shared" si="122"/>
        <v>0.35440582053354891</v>
      </c>
      <c r="CU27" s="405">
        <f t="shared" si="122"/>
        <v>0.35831987075928917</v>
      </c>
      <c r="CV27" s="405">
        <f t="shared" si="122"/>
        <v>0.36578266494178524</v>
      </c>
      <c r="CW27" s="405">
        <f t="shared" si="122"/>
        <v>0.36284188379996762</v>
      </c>
      <c r="CX27" s="405">
        <f t="shared" si="122"/>
        <v>0.36144772984327034</v>
      </c>
      <c r="CY27" s="405">
        <f t="shared" si="122"/>
        <v>0.35798672924421426</v>
      </c>
      <c r="CZ27" s="405">
        <f t="shared" si="122"/>
        <v>0.35183094047427005</v>
      </c>
      <c r="DA27" s="405">
        <f t="shared" si="122"/>
        <v>0.34793109000161004</v>
      </c>
      <c r="DB27" s="405">
        <f t="shared" si="122"/>
        <v>0.34217293474766958</v>
      </c>
      <c r="DC27" s="405">
        <f t="shared" si="122"/>
        <v>0.33969220904135938</v>
      </c>
      <c r="DD27" s="405">
        <f t="shared" si="122"/>
        <v>0.33552210121716847</v>
      </c>
      <c r="DE27" s="405">
        <f t="shared" si="122"/>
        <v>0.33525548614448181</v>
      </c>
      <c r="DF27" s="406">
        <f t="shared" si="122"/>
        <v>0.33189517417705339</v>
      </c>
      <c r="DG27" s="405">
        <f t="shared" si="122"/>
        <v>0.34452577975811582</v>
      </c>
      <c r="DH27" s="405">
        <f t="shared" si="122"/>
        <v>0.34009508716323295</v>
      </c>
      <c r="DI27" s="405">
        <f t="shared" si="122"/>
        <v>0.33597213426219125</v>
      </c>
      <c r="DJ27" s="405">
        <f t="shared" si="122"/>
        <v>0.33460257020466444</v>
      </c>
      <c r="DK27" s="405">
        <f t="shared" ref="DK27:FN27" si="123">SUM(DK24)/DK26</f>
        <v>0.33243543020123595</v>
      </c>
      <c r="DL27" s="405">
        <f t="shared" si="123"/>
        <v>0.32105013442985925</v>
      </c>
      <c r="DM27" s="405">
        <f t="shared" si="123"/>
        <v>0.3208801646351116</v>
      </c>
      <c r="DN27" s="405">
        <f t="shared" si="123"/>
        <v>0.32025937055195319</v>
      </c>
      <c r="DO27" s="405">
        <f t="shared" si="123"/>
        <v>0.31805972507505137</v>
      </c>
      <c r="DP27" s="405">
        <f t="shared" si="123"/>
        <v>0.31554011370814911</v>
      </c>
      <c r="DQ27" s="405">
        <f t="shared" si="123"/>
        <v>0.31345880120196107</v>
      </c>
      <c r="DR27" s="405">
        <f t="shared" si="123"/>
        <v>0.31021955457273731</v>
      </c>
      <c r="DS27" s="405">
        <f t="shared" si="123"/>
        <v>0.30794701986754969</v>
      </c>
      <c r="DT27" s="405">
        <f t="shared" si="123"/>
        <v>0.30638297872340425</v>
      </c>
      <c r="DU27" s="405">
        <f t="shared" si="123"/>
        <v>0.30503937007874016</v>
      </c>
      <c r="DV27" s="408">
        <f t="shared" si="123"/>
        <v>0.30200815814245374</v>
      </c>
      <c r="DW27" s="408">
        <f t="shared" si="123"/>
        <v>0.29727614276768943</v>
      </c>
      <c r="DX27" s="408">
        <f t="shared" si="123"/>
        <v>0.29321663019693656</v>
      </c>
      <c r="DY27" s="408">
        <f t="shared" si="123"/>
        <v>0.29029157321371357</v>
      </c>
      <c r="DZ27" s="408">
        <f t="shared" si="123"/>
        <v>0.28726633647547534</v>
      </c>
      <c r="EA27" s="408">
        <f t="shared" si="123"/>
        <v>0.28546325878594248</v>
      </c>
      <c r="EB27" s="408">
        <f t="shared" si="123"/>
        <v>0.28369345561946213</v>
      </c>
      <c r="EC27" s="408">
        <f t="shared" si="123"/>
        <v>0.28207913110938715</v>
      </c>
      <c r="ED27" s="408">
        <f t="shared" si="123"/>
        <v>0.28131289673324045</v>
      </c>
      <c r="EE27" s="408">
        <f t="shared" si="123"/>
        <v>0.28851800339978367</v>
      </c>
      <c r="EF27" s="408">
        <f t="shared" si="123"/>
        <v>0.28802588996763756</v>
      </c>
      <c r="EG27" s="408">
        <f t="shared" si="123"/>
        <v>0.28650561624865362</v>
      </c>
      <c r="EH27" s="408">
        <f t="shared" si="123"/>
        <v>0.28516643657002611</v>
      </c>
      <c r="EI27" s="408">
        <f t="shared" si="123"/>
        <v>0.28221234870537765</v>
      </c>
      <c r="EJ27" s="408">
        <f t="shared" si="123"/>
        <v>0.27927516369727423</v>
      </c>
      <c r="EK27" s="408">
        <f t="shared" si="123"/>
        <v>0.28091765420844728</v>
      </c>
      <c r="EL27" s="408">
        <f t="shared" si="123"/>
        <v>0.28010312405216864</v>
      </c>
      <c r="EM27" s="408">
        <f t="shared" si="123"/>
        <v>0.2807017543859649</v>
      </c>
      <c r="EN27" s="408">
        <f t="shared" si="123"/>
        <v>0.28114147667220291</v>
      </c>
      <c r="EO27" s="408">
        <f t="shared" si="123"/>
        <v>0.28107132109539573</v>
      </c>
      <c r="EP27" s="408">
        <f t="shared" si="123"/>
        <v>0.28021068472535743</v>
      </c>
      <c r="EQ27" s="408">
        <f t="shared" si="123"/>
        <v>0.2832257095660009</v>
      </c>
      <c r="ER27" s="408">
        <f t="shared" si="123"/>
        <v>0.28212039532794247</v>
      </c>
      <c r="ES27" s="408">
        <f t="shared" si="123"/>
        <v>0.28096947935368044</v>
      </c>
      <c r="ET27" s="408">
        <f t="shared" si="123"/>
        <v>0.2831845238095238</v>
      </c>
      <c r="EU27" s="408">
        <f t="shared" si="123"/>
        <v>0.28210838901262064</v>
      </c>
      <c r="EV27" s="408">
        <f t="shared" si="123"/>
        <v>0.28245406046235921</v>
      </c>
      <c r="EW27" s="408">
        <f t="shared" si="123"/>
        <v>0.28249925969795675</v>
      </c>
      <c r="EX27" s="408">
        <f t="shared" si="123"/>
        <v>0.28280141843971629</v>
      </c>
      <c r="EY27" s="408">
        <f t="shared" si="123"/>
        <v>0.28202479338842973</v>
      </c>
      <c r="EZ27" s="408">
        <f t="shared" si="123"/>
        <v>0.2810611643330877</v>
      </c>
      <c r="FA27" s="408">
        <f t="shared" si="123"/>
        <v>0.27892956918100281</v>
      </c>
      <c r="FB27" s="408">
        <f t="shared" si="123"/>
        <v>0.28013507561297901</v>
      </c>
      <c r="FC27" s="408">
        <f t="shared" si="123"/>
        <v>0.27884474417240873</v>
      </c>
      <c r="FD27" s="408">
        <f t="shared" si="123"/>
        <v>0.27937948192594758</v>
      </c>
      <c r="FE27" s="408">
        <f t="shared" si="123"/>
        <v>0.27828120432622039</v>
      </c>
      <c r="FF27" s="408">
        <f t="shared" si="123"/>
        <v>0.27770477441962332</v>
      </c>
      <c r="FG27" s="408">
        <f t="shared" si="123"/>
        <v>0.27404267757965506</v>
      </c>
      <c r="FH27" s="408">
        <f t="shared" si="123"/>
        <v>0.2735242548217417</v>
      </c>
      <c r="FI27" s="408">
        <f t="shared" si="123"/>
        <v>0.27228950824456444</v>
      </c>
      <c r="FJ27" s="408">
        <f t="shared" si="123"/>
        <v>0.27263464337700144</v>
      </c>
      <c r="FK27" s="408">
        <f t="shared" si="123"/>
        <v>0.27149912841371293</v>
      </c>
      <c r="FL27" s="408">
        <f t="shared" si="123"/>
        <v>0.27090592334494773</v>
      </c>
      <c r="FM27" s="408">
        <f t="shared" si="123"/>
        <v>0.27260869565217394</v>
      </c>
      <c r="FN27" s="408">
        <f t="shared" si="123"/>
        <v>0.27151743092723851</v>
      </c>
      <c r="FO27" s="408">
        <f t="shared" ref="FO27:FQ27" si="124">SUM(FO24)/FO26</f>
        <v>0.2721491545020957</v>
      </c>
      <c r="FP27" s="408">
        <f t="shared" si="124"/>
        <v>0.26817657241777265</v>
      </c>
      <c r="FQ27" s="408">
        <f t="shared" si="124"/>
        <v>0.26622440149985577</v>
      </c>
      <c r="FR27" s="408">
        <f t="shared" ref="FR27:FT27" si="125">SUM(FR24)/FR26</f>
        <v>0.26344628695025235</v>
      </c>
      <c r="FS27" s="408">
        <f t="shared" si="125"/>
        <v>0.26162037703266655</v>
      </c>
      <c r="FT27" s="408">
        <f t="shared" si="125"/>
        <v>0.25754961173425367</v>
      </c>
    </row>
    <row r="28" spans="2:176" s="409" customFormat="1" ht="13.8" hidden="1" thickBot="1" x14ac:dyDescent="0.3">
      <c r="B28" s="410" t="s">
        <v>11</v>
      </c>
      <c r="C28" s="462">
        <f t="shared" ref="C28:Q28" si="126">SUM(C25/C26)</f>
        <v>9.6846287558976906E-3</v>
      </c>
      <c r="D28" s="412">
        <f t="shared" si="126"/>
        <v>2.2788532222494488E-2</v>
      </c>
      <c r="E28" s="412">
        <f t="shared" si="126"/>
        <v>4.516009624282806E-2</v>
      </c>
      <c r="F28" s="412">
        <f t="shared" si="126"/>
        <v>5.4956896551724137E-2</v>
      </c>
      <c r="G28" s="412">
        <f t="shared" si="126"/>
        <v>5.4173576561636266E-2</v>
      </c>
      <c r="H28" s="412">
        <f t="shared" si="126"/>
        <v>8.6056292461986414E-2</v>
      </c>
      <c r="I28" s="412">
        <f t="shared" si="126"/>
        <v>7.952596288788398E-2</v>
      </c>
      <c r="J28" s="412">
        <f t="shared" si="126"/>
        <v>9.2666005946481667E-2</v>
      </c>
      <c r="K28" s="412">
        <f t="shared" si="126"/>
        <v>9.8911968348170135E-2</v>
      </c>
      <c r="L28" s="412">
        <f t="shared" si="126"/>
        <v>0.10604314177506999</v>
      </c>
      <c r="M28" s="412">
        <f t="shared" si="126"/>
        <v>0.10706638115631692</v>
      </c>
      <c r="N28" s="413">
        <f t="shared" si="126"/>
        <v>0.10911488379759354</v>
      </c>
      <c r="O28" s="462">
        <f t="shared" si="126"/>
        <v>0.19794259167081465</v>
      </c>
      <c r="P28" s="412">
        <f t="shared" si="126"/>
        <v>0.2283725555187272</v>
      </c>
      <c r="Q28" s="412">
        <f t="shared" si="126"/>
        <v>0.22602057749751078</v>
      </c>
      <c r="R28" s="412">
        <f t="shared" ref="R28:W28" si="127">SUM(R25/R26)</f>
        <v>0.23000660938532716</v>
      </c>
      <c r="S28" s="412">
        <f t="shared" si="127"/>
        <v>0.24267990074441687</v>
      </c>
      <c r="T28" s="412">
        <f t="shared" si="127"/>
        <v>0.26533665835411474</v>
      </c>
      <c r="U28" s="412">
        <f t="shared" si="127"/>
        <v>0.27144046627810159</v>
      </c>
      <c r="V28" s="412">
        <f t="shared" si="127"/>
        <v>0.27050960735171259</v>
      </c>
      <c r="W28" s="412">
        <f t="shared" si="127"/>
        <v>0.28408710217755445</v>
      </c>
      <c r="X28" s="412">
        <f t="shared" ref="X28:AC28" si="128">SUM(X25/X26)</f>
        <v>0.28688937384589558</v>
      </c>
      <c r="Y28" s="412">
        <f t="shared" si="128"/>
        <v>0.29090297629056666</v>
      </c>
      <c r="Z28" s="413">
        <f t="shared" si="128"/>
        <v>0.29734275142953248</v>
      </c>
      <c r="AA28" s="462">
        <f t="shared" si="128"/>
        <v>0.32147673634524615</v>
      </c>
      <c r="AB28" s="412">
        <f t="shared" si="128"/>
        <v>0.32382720215997302</v>
      </c>
      <c r="AC28" s="412">
        <f t="shared" si="128"/>
        <v>0.32776089159067884</v>
      </c>
      <c r="AD28" s="412">
        <f t="shared" ref="AD28:AI28" si="129">SUM(AD25/AD26)</f>
        <v>0.34123222748815168</v>
      </c>
      <c r="AE28" s="412">
        <f t="shared" si="129"/>
        <v>0.34899101237917585</v>
      </c>
      <c r="AF28" s="412">
        <f t="shared" si="129"/>
        <v>0.36161547598846089</v>
      </c>
      <c r="AG28" s="412">
        <f t="shared" si="129"/>
        <v>0.36925434116445355</v>
      </c>
      <c r="AH28" s="412">
        <f t="shared" si="129"/>
        <v>0.37280627023342988</v>
      </c>
      <c r="AI28" s="412">
        <f t="shared" si="129"/>
        <v>0.3730552231150624</v>
      </c>
      <c r="AJ28" s="412">
        <f t="shared" ref="AJ28:AP28" si="130">SUM(AJ25/AJ26)</f>
        <v>0.38305142661882796</v>
      </c>
      <c r="AK28" s="412">
        <f t="shared" si="130"/>
        <v>0.38846219491380779</v>
      </c>
      <c r="AL28" s="413">
        <f t="shared" si="130"/>
        <v>0.39883998635278062</v>
      </c>
      <c r="AM28" s="462">
        <f t="shared" si="130"/>
        <v>0.41964912280701755</v>
      </c>
      <c r="AN28" s="412">
        <f t="shared" si="130"/>
        <v>0.42586418669942094</v>
      </c>
      <c r="AO28" s="412">
        <f t="shared" si="130"/>
        <v>0.43554618897084652</v>
      </c>
      <c r="AP28" s="412">
        <f t="shared" si="130"/>
        <v>0.44110407876230662</v>
      </c>
      <c r="AQ28" s="412">
        <f t="shared" ref="AQ28:AX28" si="131">SUM(AQ25/AQ26)</f>
        <v>0.44951541850220267</v>
      </c>
      <c r="AR28" s="412">
        <f t="shared" si="131"/>
        <v>0.4998236953455571</v>
      </c>
      <c r="AS28" s="412">
        <f t="shared" si="131"/>
        <v>0.51272984441301273</v>
      </c>
      <c r="AT28" s="412">
        <f t="shared" si="131"/>
        <v>0.51546756231217961</v>
      </c>
      <c r="AU28" s="412">
        <f t="shared" si="131"/>
        <v>0.51881293057763644</v>
      </c>
      <c r="AV28" s="412">
        <f t="shared" si="131"/>
        <v>0.52711535064476245</v>
      </c>
      <c r="AW28" s="412">
        <f t="shared" si="131"/>
        <v>0.53628818647360055</v>
      </c>
      <c r="AX28" s="413">
        <f t="shared" si="131"/>
        <v>0.53857016769638133</v>
      </c>
      <c r="AY28" s="462">
        <f t="shared" ref="AY28:BJ28" si="132">SUM(AY25/AY26)</f>
        <v>0.5561067396510434</v>
      </c>
      <c r="AZ28" s="412">
        <f t="shared" si="132"/>
        <v>0.56089633937735206</v>
      </c>
      <c r="BA28" s="412">
        <f t="shared" si="132"/>
        <v>0.56290709633184777</v>
      </c>
      <c r="BB28" s="412">
        <f t="shared" si="132"/>
        <v>0.56578272027373822</v>
      </c>
      <c r="BC28" s="412">
        <f t="shared" si="132"/>
        <v>0.56402803898102238</v>
      </c>
      <c r="BD28" s="412">
        <f t="shared" si="132"/>
        <v>0.56762295081967218</v>
      </c>
      <c r="BE28" s="412">
        <f t="shared" si="132"/>
        <v>0.56680923866552613</v>
      </c>
      <c r="BF28" s="412">
        <f t="shared" si="132"/>
        <v>0.56913348145616138</v>
      </c>
      <c r="BG28" s="412">
        <f t="shared" si="132"/>
        <v>0.57650273224043713</v>
      </c>
      <c r="BH28" s="412">
        <f t="shared" si="132"/>
        <v>0.57775506727985015</v>
      </c>
      <c r="BI28" s="412">
        <f t="shared" si="132"/>
        <v>0.57987057220708449</v>
      </c>
      <c r="BJ28" s="413">
        <f t="shared" si="132"/>
        <v>0.58092485549132944</v>
      </c>
      <c r="BK28" s="462">
        <f t="shared" ref="BK28:BP28" si="133">SUM(BK25/BK26)</f>
        <v>0.58812553011026292</v>
      </c>
      <c r="BL28" s="412">
        <f t="shared" si="133"/>
        <v>0.59562934101304421</v>
      </c>
      <c r="BM28" s="412">
        <f t="shared" si="133"/>
        <v>0.5992553731595871</v>
      </c>
      <c r="BN28" s="412">
        <f t="shared" si="133"/>
        <v>0.60243407707910746</v>
      </c>
      <c r="BO28" s="412">
        <f t="shared" si="133"/>
        <v>0.6053917438921651</v>
      </c>
      <c r="BP28" s="412">
        <f t="shared" si="133"/>
        <v>0.60855651002189659</v>
      </c>
      <c r="BQ28" s="412">
        <f t="shared" ref="BQ28:CB28" si="134">SUM(BQ25/BQ26)</f>
        <v>0.60897435897435892</v>
      </c>
      <c r="BR28" s="412">
        <f t="shared" si="134"/>
        <v>0.61266419669922534</v>
      </c>
      <c r="BS28" s="412">
        <f t="shared" si="134"/>
        <v>0.61603233411923208</v>
      </c>
      <c r="BT28" s="412">
        <f t="shared" si="134"/>
        <v>0.62107208872458408</v>
      </c>
      <c r="BU28" s="412">
        <f t="shared" si="134"/>
        <v>0.62200636409311671</v>
      </c>
      <c r="BV28" s="413">
        <f t="shared" si="134"/>
        <v>0.62356082095778409</v>
      </c>
      <c r="BW28" s="462">
        <f t="shared" si="134"/>
        <v>0.6264138389886893</v>
      </c>
      <c r="BX28" s="412">
        <f t="shared" si="134"/>
        <v>0.62839179351422902</v>
      </c>
      <c r="BY28" s="412">
        <f t="shared" si="134"/>
        <v>0.62753838533927686</v>
      </c>
      <c r="BZ28" s="412">
        <f t="shared" si="134"/>
        <v>0.62769636094187387</v>
      </c>
      <c r="CA28" s="412">
        <f t="shared" si="134"/>
        <v>0.6274477538259009</v>
      </c>
      <c r="CB28" s="412">
        <f t="shared" si="134"/>
        <v>0.6309993425378041</v>
      </c>
      <c r="CC28" s="412">
        <f t="shared" ref="CC28:CK28" si="135">SUM(CC25/CC26)</f>
        <v>0.63158758824495154</v>
      </c>
      <c r="CD28" s="412">
        <f t="shared" si="135"/>
        <v>0.63013923013923012</v>
      </c>
      <c r="CE28" s="412">
        <f t="shared" si="135"/>
        <v>0.62985417008028843</v>
      </c>
      <c r="CF28" s="412">
        <f t="shared" si="135"/>
        <v>0.63082965144820813</v>
      </c>
      <c r="CG28" s="412">
        <f t="shared" si="135"/>
        <v>0.63199086906897117</v>
      </c>
      <c r="CH28" s="413">
        <f t="shared" si="135"/>
        <v>0.63250366032210836</v>
      </c>
      <c r="CI28" s="462">
        <f t="shared" si="135"/>
        <v>0.63009251744846617</v>
      </c>
      <c r="CJ28" s="412">
        <f t="shared" si="135"/>
        <v>0.63024801426487276</v>
      </c>
      <c r="CK28" s="412">
        <f t="shared" si="135"/>
        <v>0.62954582188459673</v>
      </c>
      <c r="CL28" s="412">
        <f t="shared" ref="CL28:CQ28" si="136">SUM(CL25/CL26)</f>
        <v>0.63001293661060798</v>
      </c>
      <c r="CM28" s="412">
        <f t="shared" si="136"/>
        <v>0.63254083778101244</v>
      </c>
      <c r="CN28" s="412">
        <f t="shared" si="136"/>
        <v>0.63264315755418954</v>
      </c>
      <c r="CO28" s="412">
        <f t="shared" si="136"/>
        <v>0.63415817564289179</v>
      </c>
      <c r="CP28" s="412">
        <f t="shared" si="136"/>
        <v>0.63548230731943767</v>
      </c>
      <c r="CQ28" s="412">
        <f t="shared" si="136"/>
        <v>0.63668658162441472</v>
      </c>
      <c r="CR28" s="412">
        <f t="shared" ref="CR28:DJ28" si="137">SUM(CR25/CR26)</f>
        <v>0.64368743945753959</v>
      </c>
      <c r="CS28" s="412">
        <f t="shared" si="137"/>
        <v>0.64441571036043321</v>
      </c>
      <c r="CT28" s="413">
        <f t="shared" si="137"/>
        <v>0.64559417946645115</v>
      </c>
      <c r="CU28" s="412">
        <f t="shared" si="137"/>
        <v>0.64168012924071083</v>
      </c>
      <c r="CV28" s="412">
        <f t="shared" si="137"/>
        <v>0.63421733505821476</v>
      </c>
      <c r="CW28" s="412">
        <f t="shared" si="137"/>
        <v>0.63715811620003238</v>
      </c>
      <c r="CX28" s="412">
        <f t="shared" si="137"/>
        <v>0.63855227015672966</v>
      </c>
      <c r="CY28" s="412">
        <f t="shared" si="137"/>
        <v>0.64201327075578574</v>
      </c>
      <c r="CZ28" s="412">
        <f t="shared" si="137"/>
        <v>0.64816905952573001</v>
      </c>
      <c r="DA28" s="412">
        <f t="shared" si="137"/>
        <v>0.65206890999838996</v>
      </c>
      <c r="DB28" s="412">
        <f t="shared" si="137"/>
        <v>0.65782706525233048</v>
      </c>
      <c r="DC28" s="412">
        <f t="shared" si="137"/>
        <v>0.66030779095864056</v>
      </c>
      <c r="DD28" s="412">
        <f t="shared" si="137"/>
        <v>0.66447789878283148</v>
      </c>
      <c r="DE28" s="412">
        <f t="shared" si="137"/>
        <v>0.66474451385551814</v>
      </c>
      <c r="DF28" s="413">
        <f t="shared" si="137"/>
        <v>0.66810482582294661</v>
      </c>
      <c r="DG28" s="412">
        <f t="shared" si="137"/>
        <v>0.65547422024188418</v>
      </c>
      <c r="DH28" s="412">
        <f t="shared" si="137"/>
        <v>0.659904912836767</v>
      </c>
      <c r="DI28" s="412">
        <f t="shared" si="137"/>
        <v>0.6640278657378087</v>
      </c>
      <c r="DJ28" s="412">
        <f t="shared" si="137"/>
        <v>0.66539742979533556</v>
      </c>
      <c r="DK28" s="412">
        <f t="shared" ref="DK28:FN28" si="138">SUM(DK25/DK26)</f>
        <v>0.66756456979876411</v>
      </c>
      <c r="DL28" s="412">
        <f t="shared" si="138"/>
        <v>0.67894986557014081</v>
      </c>
      <c r="DM28" s="412">
        <f t="shared" si="138"/>
        <v>0.6791198353648884</v>
      </c>
      <c r="DN28" s="412">
        <f t="shared" si="138"/>
        <v>0.67974062944804681</v>
      </c>
      <c r="DO28" s="412">
        <f t="shared" si="138"/>
        <v>0.68194027492494869</v>
      </c>
      <c r="DP28" s="412">
        <f t="shared" si="138"/>
        <v>0.68445988629185095</v>
      </c>
      <c r="DQ28" s="412">
        <f t="shared" si="138"/>
        <v>0.68654119879803888</v>
      </c>
      <c r="DR28" s="412">
        <f t="shared" si="138"/>
        <v>0.68978044542726269</v>
      </c>
      <c r="DS28" s="412">
        <f t="shared" si="138"/>
        <v>0.69205298013245031</v>
      </c>
      <c r="DT28" s="412">
        <f t="shared" si="138"/>
        <v>0.69361702127659575</v>
      </c>
      <c r="DU28" s="412">
        <f t="shared" si="138"/>
        <v>0.69496062992125984</v>
      </c>
      <c r="DV28" s="415">
        <f t="shared" si="138"/>
        <v>0.69799184185754626</v>
      </c>
      <c r="DW28" s="415">
        <f t="shared" si="138"/>
        <v>0.70272385723231057</v>
      </c>
      <c r="DX28" s="415">
        <f t="shared" si="138"/>
        <v>0.70678336980306344</v>
      </c>
      <c r="DY28" s="415">
        <f t="shared" si="138"/>
        <v>0.70970842678628643</v>
      </c>
      <c r="DZ28" s="415">
        <f t="shared" si="138"/>
        <v>0.71273366352452472</v>
      </c>
      <c r="EA28" s="415">
        <f t="shared" si="138"/>
        <v>0.71453674121405752</v>
      </c>
      <c r="EB28" s="415">
        <f t="shared" si="138"/>
        <v>0.71630654438053787</v>
      </c>
      <c r="EC28" s="415">
        <f t="shared" si="138"/>
        <v>0.71792086889061291</v>
      </c>
      <c r="ED28" s="415">
        <f t="shared" si="138"/>
        <v>0.71868710326675955</v>
      </c>
      <c r="EE28" s="415">
        <f t="shared" si="138"/>
        <v>0.71148199660021638</v>
      </c>
      <c r="EF28" s="415">
        <f t="shared" si="138"/>
        <v>0.71197411003236244</v>
      </c>
      <c r="EG28" s="415">
        <f t="shared" si="138"/>
        <v>0.71349438375134633</v>
      </c>
      <c r="EH28" s="415">
        <f t="shared" si="138"/>
        <v>0.71483356342997395</v>
      </c>
      <c r="EI28" s="415">
        <f t="shared" si="138"/>
        <v>0.7177876512946223</v>
      </c>
      <c r="EJ28" s="415">
        <f t="shared" si="138"/>
        <v>0.72072483630272577</v>
      </c>
      <c r="EK28" s="415">
        <f t="shared" si="138"/>
        <v>0.71908234579155272</v>
      </c>
      <c r="EL28" s="415">
        <f t="shared" si="138"/>
        <v>0.71989687594783136</v>
      </c>
      <c r="EM28" s="415">
        <f t="shared" si="138"/>
        <v>0.7192982456140351</v>
      </c>
      <c r="EN28" s="415">
        <f t="shared" si="138"/>
        <v>0.71885852332779709</v>
      </c>
      <c r="EO28" s="415">
        <f t="shared" si="138"/>
        <v>0.71892867890460432</v>
      </c>
      <c r="EP28" s="415">
        <f t="shared" si="138"/>
        <v>0.71978931527464263</v>
      </c>
      <c r="EQ28" s="415">
        <f t="shared" si="138"/>
        <v>0.7167742904339991</v>
      </c>
      <c r="ER28" s="415">
        <f t="shared" si="138"/>
        <v>0.71787960467205747</v>
      </c>
      <c r="ES28" s="415">
        <f t="shared" si="138"/>
        <v>0.71903052064631956</v>
      </c>
      <c r="ET28" s="415">
        <f t="shared" si="138"/>
        <v>0.71681547619047614</v>
      </c>
      <c r="EU28" s="415">
        <f t="shared" si="138"/>
        <v>0.71789161098737941</v>
      </c>
      <c r="EV28" s="415">
        <f t="shared" si="138"/>
        <v>0.71754593953764079</v>
      </c>
      <c r="EW28" s="415">
        <f t="shared" si="138"/>
        <v>0.71750074030204325</v>
      </c>
      <c r="EX28" s="415">
        <f t="shared" si="138"/>
        <v>0.71719858156028371</v>
      </c>
      <c r="EY28" s="415">
        <f t="shared" si="138"/>
        <v>0.71797520661157022</v>
      </c>
      <c r="EZ28" s="415">
        <f t="shared" si="138"/>
        <v>0.7189388356669123</v>
      </c>
      <c r="FA28" s="415">
        <f t="shared" si="138"/>
        <v>0.72107043081899724</v>
      </c>
      <c r="FB28" s="415">
        <f t="shared" si="138"/>
        <v>0.71986492438702099</v>
      </c>
      <c r="FC28" s="415">
        <f t="shared" si="138"/>
        <v>0.72115525582759121</v>
      </c>
      <c r="FD28" s="415">
        <f t="shared" si="138"/>
        <v>0.72062051807405236</v>
      </c>
      <c r="FE28" s="415">
        <f t="shared" si="138"/>
        <v>0.72171879567377961</v>
      </c>
      <c r="FF28" s="415">
        <f t="shared" si="138"/>
        <v>0.72229522558037673</v>
      </c>
      <c r="FG28" s="415">
        <f t="shared" si="138"/>
        <v>0.72595732242034494</v>
      </c>
      <c r="FH28" s="415">
        <f t="shared" si="138"/>
        <v>0.7264757451782583</v>
      </c>
      <c r="FI28" s="415">
        <f t="shared" si="138"/>
        <v>0.72771049175543556</v>
      </c>
      <c r="FJ28" s="415">
        <f t="shared" si="138"/>
        <v>0.7273653566229985</v>
      </c>
      <c r="FK28" s="415">
        <f t="shared" si="138"/>
        <v>0.72850087158628707</v>
      </c>
      <c r="FL28" s="415">
        <f t="shared" si="138"/>
        <v>0.72909407665505221</v>
      </c>
      <c r="FM28" s="415">
        <f t="shared" si="138"/>
        <v>0.72739130434782606</v>
      </c>
      <c r="FN28" s="415">
        <f t="shared" si="138"/>
        <v>0.72848256907276143</v>
      </c>
      <c r="FO28" s="415">
        <f t="shared" ref="FO28:FQ28" si="139">SUM(FO25/FO26)</f>
        <v>0.72785084549790435</v>
      </c>
      <c r="FP28" s="415">
        <f t="shared" si="139"/>
        <v>0.7318234275822274</v>
      </c>
      <c r="FQ28" s="415">
        <f t="shared" si="139"/>
        <v>0.73377559850014418</v>
      </c>
      <c r="FR28" s="415">
        <f t="shared" ref="FR28:FT28" si="140">SUM(FR25/FR26)</f>
        <v>0.7365537130497477</v>
      </c>
      <c r="FS28" s="415">
        <f t="shared" si="140"/>
        <v>0.73837962296733339</v>
      </c>
      <c r="FT28" s="415">
        <f t="shared" si="140"/>
        <v>0.74245038826574639</v>
      </c>
    </row>
    <row r="29" spans="2:176" s="387" customFormat="1" hidden="1" x14ac:dyDescent="0.25">
      <c r="B29" s="390"/>
      <c r="C29" s="346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8"/>
      <c r="O29" s="346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8"/>
      <c r="AA29" s="346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8"/>
      <c r="AM29" s="346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8"/>
      <c r="AY29" s="346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8"/>
      <c r="BK29" s="346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8"/>
      <c r="BW29" s="346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8"/>
      <c r="CI29" s="346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8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8"/>
      <c r="DT29" s="388"/>
      <c r="DV29" s="389"/>
      <c r="DW29" s="389"/>
      <c r="DX29" s="389"/>
      <c r="DZ29" s="388"/>
      <c r="EE29" s="388"/>
    </row>
    <row r="30" spans="2:176" s="387" customFormat="1" x14ac:dyDescent="0.25">
      <c r="B30" s="384" t="s">
        <v>53</v>
      </c>
      <c r="C30" s="346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8"/>
      <c r="O30" s="346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8"/>
      <c r="AA30" s="346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8"/>
      <c r="AM30" s="346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8"/>
      <c r="AY30" s="346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8"/>
      <c r="BK30" s="346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8"/>
      <c r="BW30" s="346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8"/>
      <c r="CI30" s="346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8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8"/>
      <c r="DT30" s="388"/>
      <c r="DV30" s="389"/>
      <c r="DW30" s="389"/>
      <c r="DX30" s="389"/>
      <c r="DZ30" s="388"/>
      <c r="EE30" s="388"/>
    </row>
    <row r="31" spans="2:176" s="387" customFormat="1" x14ac:dyDescent="0.25">
      <c r="B31" s="390" t="s">
        <v>1</v>
      </c>
      <c r="C31" s="346">
        <v>94721</v>
      </c>
      <c r="D31" s="347">
        <v>94721</v>
      </c>
      <c r="E31" s="347">
        <v>112035</v>
      </c>
      <c r="F31" s="347">
        <v>111313</v>
      </c>
      <c r="G31" s="347">
        <v>109152</v>
      </c>
      <c r="H31" s="347">
        <v>110336</v>
      </c>
      <c r="I31" s="347">
        <v>108539</v>
      </c>
      <c r="J31" s="347">
        <v>108116</v>
      </c>
      <c r="K31" s="347">
        <v>107711</v>
      </c>
      <c r="L31" s="347">
        <v>107151</v>
      </c>
      <c r="M31" s="347">
        <v>106697</v>
      </c>
      <c r="N31" s="348">
        <v>106111</v>
      </c>
      <c r="O31" s="346">
        <v>105531</v>
      </c>
      <c r="P31" s="347">
        <v>104627</v>
      </c>
      <c r="Q31" s="347">
        <v>103920</v>
      </c>
      <c r="R31" s="347">
        <v>103232</v>
      </c>
      <c r="S31" s="347">
        <v>102461</v>
      </c>
      <c r="T31" s="347">
        <v>101808</v>
      </c>
      <c r="U31" s="347">
        <v>101305</v>
      </c>
      <c r="V31" s="347">
        <v>101580</v>
      </c>
      <c r="W31" s="347">
        <v>101090</v>
      </c>
      <c r="X31" s="347">
        <v>100513</v>
      </c>
      <c r="Y31" s="347">
        <v>100014</v>
      </c>
      <c r="Z31" s="348">
        <v>99449</v>
      </c>
      <c r="AA31" s="346">
        <v>99951</v>
      </c>
      <c r="AB31" s="347">
        <v>99605</v>
      </c>
      <c r="AC31" s="347">
        <v>98982</v>
      </c>
      <c r="AD31" s="347">
        <v>98536</v>
      </c>
      <c r="AE31" s="347">
        <v>98119</v>
      </c>
      <c r="AF31" s="347">
        <v>97408</v>
      </c>
      <c r="AG31" s="347">
        <v>96705</v>
      </c>
      <c r="AH31" s="347">
        <v>95931</v>
      </c>
      <c r="AI31" s="347">
        <v>95059</v>
      </c>
      <c r="AJ31" s="347">
        <v>94338</v>
      </c>
      <c r="AK31" s="347">
        <v>93722</v>
      </c>
      <c r="AL31" s="348">
        <v>93171</v>
      </c>
      <c r="AM31" s="346">
        <v>91336</v>
      </c>
      <c r="AN31" s="347">
        <v>90848</v>
      </c>
      <c r="AO31" s="347">
        <v>90296</v>
      </c>
      <c r="AP31" s="347">
        <v>86372</v>
      </c>
      <c r="AQ31" s="347">
        <v>84264</v>
      </c>
      <c r="AR31" s="347">
        <v>83410</v>
      </c>
      <c r="AS31" s="347">
        <v>82788</v>
      </c>
      <c r="AT31" s="347">
        <v>82250</v>
      </c>
      <c r="AU31" s="347">
        <v>81694</v>
      </c>
      <c r="AV31" s="347">
        <v>81234</v>
      </c>
      <c r="AW31" s="347">
        <v>80794</v>
      </c>
      <c r="AX31" s="348">
        <v>80424</v>
      </c>
      <c r="AY31" s="346">
        <v>79881</v>
      </c>
      <c r="AZ31" s="347">
        <v>79348</v>
      </c>
      <c r="BA31" s="347">
        <v>78867</v>
      </c>
      <c r="BB31" s="347">
        <v>78285</v>
      </c>
      <c r="BC31" s="347">
        <v>77565</v>
      </c>
      <c r="BD31" s="347">
        <v>76852</v>
      </c>
      <c r="BE31" s="347">
        <v>76155</v>
      </c>
      <c r="BF31" s="347">
        <v>75554</v>
      </c>
      <c r="BG31" s="347">
        <v>75021</v>
      </c>
      <c r="BH31" s="347">
        <v>74597</v>
      </c>
      <c r="BI31" s="347">
        <v>74218</v>
      </c>
      <c r="BJ31" s="348">
        <v>73892</v>
      </c>
      <c r="BK31" s="346">
        <v>72670</v>
      </c>
      <c r="BL31" s="347">
        <v>72146</v>
      </c>
      <c r="BM31" s="347">
        <v>71763</v>
      </c>
      <c r="BN31" s="347">
        <v>71376</v>
      </c>
      <c r="BO31" s="347">
        <v>70962</v>
      </c>
      <c r="BP31" s="347">
        <v>69748</v>
      </c>
      <c r="BQ31" s="347">
        <v>66482</v>
      </c>
      <c r="BR31" s="347">
        <v>65218</v>
      </c>
      <c r="BS31" s="347">
        <v>64551</v>
      </c>
      <c r="BT31" s="347">
        <v>63916</v>
      </c>
      <c r="BU31" s="347">
        <v>63595</v>
      </c>
      <c r="BV31" s="348">
        <v>63200</v>
      </c>
      <c r="BW31" s="346">
        <v>62767</v>
      </c>
      <c r="BX31" s="347">
        <v>62447</v>
      </c>
      <c r="BY31" s="347">
        <v>62194</v>
      </c>
      <c r="BZ31" s="347">
        <v>61912</v>
      </c>
      <c r="CA31" s="347">
        <v>61595</v>
      </c>
      <c r="CB31" s="347">
        <v>61208</v>
      </c>
      <c r="CC31" s="347">
        <v>60843</v>
      </c>
      <c r="CD31" s="347">
        <v>60470</v>
      </c>
      <c r="CE31" s="347">
        <v>60174</v>
      </c>
      <c r="CF31" s="347">
        <v>59965</v>
      </c>
      <c r="CG31" s="347">
        <v>59605</v>
      </c>
      <c r="CH31" s="348">
        <v>59293</v>
      </c>
      <c r="CI31" s="346">
        <v>58839</v>
      </c>
      <c r="CJ31" s="347">
        <v>58588</v>
      </c>
      <c r="CK31" s="347">
        <v>58155</v>
      </c>
      <c r="CL31" s="347">
        <v>57855</v>
      </c>
      <c r="CM31" s="347">
        <v>57546</v>
      </c>
      <c r="CN31" s="347">
        <v>57268</v>
      </c>
      <c r="CO31" s="347">
        <v>56878</v>
      </c>
      <c r="CP31" s="347">
        <v>56482</v>
      </c>
      <c r="CQ31" s="347">
        <v>55990</v>
      </c>
      <c r="CR31" s="347">
        <v>55268</v>
      </c>
      <c r="CS31" s="347">
        <v>54788</v>
      </c>
      <c r="CT31" s="348">
        <v>54436</v>
      </c>
      <c r="CU31" s="347">
        <v>54049</v>
      </c>
      <c r="CV31" s="347">
        <v>53701</v>
      </c>
      <c r="CW31" s="347">
        <v>53318</v>
      </c>
      <c r="CX31" s="347">
        <v>52963</v>
      </c>
      <c r="CY31" s="347">
        <v>52617</v>
      </c>
      <c r="CZ31" s="347">
        <v>52131</v>
      </c>
      <c r="DA31" s="347">
        <v>51731</v>
      </c>
      <c r="DB31" s="347">
        <v>51458</v>
      </c>
      <c r="DC31" s="347">
        <v>51149</v>
      </c>
      <c r="DD31" s="347">
        <v>50713</v>
      </c>
      <c r="DE31" s="347">
        <v>50254</v>
      </c>
      <c r="DF31" s="348">
        <v>49967</v>
      </c>
      <c r="DG31" s="387">
        <v>49655</v>
      </c>
      <c r="DH31" s="387">
        <v>49290</v>
      </c>
      <c r="DI31" s="387">
        <v>48940</v>
      </c>
      <c r="DJ31" s="387">
        <v>48626</v>
      </c>
      <c r="DK31" s="387">
        <v>48341</v>
      </c>
      <c r="DL31" s="387">
        <v>47897</v>
      </c>
      <c r="DM31" s="387">
        <v>47544</v>
      </c>
      <c r="DN31" s="387">
        <v>47253</v>
      </c>
      <c r="DO31" s="387">
        <v>46803</v>
      </c>
      <c r="DP31" s="387">
        <v>46345</v>
      </c>
      <c r="DQ31" s="387">
        <v>46011</v>
      </c>
      <c r="DR31" s="387">
        <v>45739</v>
      </c>
      <c r="DS31" s="387">
        <v>45321</v>
      </c>
      <c r="DT31" s="388">
        <v>45053</v>
      </c>
      <c r="DU31" s="387">
        <v>44797</v>
      </c>
      <c r="DV31" s="389">
        <v>44520</v>
      </c>
      <c r="DW31" s="389">
        <v>44247</v>
      </c>
      <c r="DX31" s="389">
        <v>43993</v>
      </c>
      <c r="DY31" s="387">
        <v>43720</v>
      </c>
      <c r="DZ31" s="388">
        <v>43506</v>
      </c>
      <c r="EA31" s="387">
        <v>43217</v>
      </c>
      <c r="EB31" s="387">
        <v>42996</v>
      </c>
      <c r="EC31" s="387">
        <v>43017</v>
      </c>
      <c r="ED31" s="387">
        <v>42888</v>
      </c>
      <c r="EE31" s="388">
        <v>42727</v>
      </c>
      <c r="EF31" s="387">
        <v>42500</v>
      </c>
      <c r="EG31" s="387">
        <v>42342</v>
      </c>
      <c r="EH31" s="387">
        <v>42057</v>
      </c>
      <c r="EI31" s="387">
        <v>41828</v>
      </c>
      <c r="EJ31" s="387">
        <v>41588</v>
      </c>
      <c r="EK31" s="387">
        <v>41411</v>
      </c>
      <c r="EL31" s="387">
        <v>41256</v>
      </c>
      <c r="EM31" s="387">
        <v>41064</v>
      </c>
      <c r="EN31" s="387">
        <v>40903</v>
      </c>
      <c r="EO31" s="387">
        <v>40739</v>
      </c>
      <c r="EP31" s="387">
        <v>40589</v>
      </c>
      <c r="EQ31" s="387">
        <v>40408</v>
      </c>
      <c r="ER31" s="387">
        <v>40267</v>
      </c>
      <c r="ES31" s="387">
        <v>40142</v>
      </c>
      <c r="ET31" s="387">
        <v>39981</v>
      </c>
      <c r="EU31" s="387">
        <v>39901</v>
      </c>
      <c r="EV31" s="387">
        <v>39744</v>
      </c>
      <c r="EW31" s="387">
        <v>39528</v>
      </c>
      <c r="EX31" s="387">
        <v>39365</v>
      </c>
      <c r="EY31" s="387">
        <v>39153</v>
      </c>
      <c r="EZ31" s="387">
        <v>39008</v>
      </c>
      <c r="FA31" s="387">
        <v>38904</v>
      </c>
      <c r="FB31" s="387">
        <v>38751</v>
      </c>
      <c r="FC31" s="387">
        <v>38643</v>
      </c>
      <c r="FD31" s="387">
        <v>38481</v>
      </c>
      <c r="FE31" s="387">
        <v>38331</v>
      </c>
      <c r="FF31" s="387">
        <v>38122</v>
      </c>
      <c r="FG31" s="387">
        <v>37661</v>
      </c>
      <c r="FH31" s="387">
        <v>36152</v>
      </c>
      <c r="FI31" s="387">
        <v>35780</v>
      </c>
      <c r="FJ31" s="387">
        <v>35675</v>
      </c>
      <c r="FK31" s="387">
        <v>35465</v>
      </c>
      <c r="FL31" s="387">
        <v>35375</v>
      </c>
      <c r="FM31" s="387">
        <v>35227</v>
      </c>
      <c r="FN31" s="387">
        <v>35101</v>
      </c>
      <c r="FO31" s="387">
        <v>34966</v>
      </c>
      <c r="FP31" s="387">
        <v>34834</v>
      </c>
      <c r="FQ31" s="387">
        <v>34702</v>
      </c>
      <c r="FR31" s="387">
        <v>34549</v>
      </c>
      <c r="FS31" s="387">
        <v>34377</v>
      </c>
      <c r="FT31" s="387">
        <v>34208</v>
      </c>
    </row>
    <row r="32" spans="2:176" s="387" customFormat="1" ht="13.8" thickBot="1" x14ac:dyDescent="0.3">
      <c r="B32" s="391" t="s">
        <v>8</v>
      </c>
      <c r="C32" s="439">
        <v>5</v>
      </c>
      <c r="D32" s="393">
        <v>506</v>
      </c>
      <c r="E32" s="393">
        <v>772</v>
      </c>
      <c r="F32" s="393">
        <v>884</v>
      </c>
      <c r="G32" s="393">
        <v>1028</v>
      </c>
      <c r="H32" s="393">
        <v>1399</v>
      </c>
      <c r="I32" s="393">
        <v>1445</v>
      </c>
      <c r="J32" s="393">
        <v>1469</v>
      </c>
      <c r="K32" s="393">
        <v>1564</v>
      </c>
      <c r="L32" s="393">
        <v>1750</v>
      </c>
      <c r="M32" s="393">
        <v>1903</v>
      </c>
      <c r="N32" s="394">
        <v>2147</v>
      </c>
      <c r="O32" s="439">
        <v>2416</v>
      </c>
      <c r="P32" s="393">
        <v>2886</v>
      </c>
      <c r="Q32" s="393">
        <v>3186</v>
      </c>
      <c r="R32" s="393">
        <v>3425</v>
      </c>
      <c r="S32" s="393">
        <v>3712</v>
      </c>
      <c r="T32" s="393">
        <v>3995</v>
      </c>
      <c r="U32" s="393">
        <v>4049</v>
      </c>
      <c r="V32" s="393">
        <v>4548</v>
      </c>
      <c r="W32" s="393">
        <v>4738</v>
      </c>
      <c r="X32" s="393">
        <v>4805</v>
      </c>
      <c r="Y32" s="393">
        <v>4880</v>
      </c>
      <c r="Z32" s="394">
        <v>5026</v>
      </c>
      <c r="AA32" s="439">
        <v>4092</v>
      </c>
      <c r="AB32" s="393">
        <v>4082</v>
      </c>
      <c r="AC32" s="393">
        <v>4116</v>
      </c>
      <c r="AD32" s="393">
        <v>4216</v>
      </c>
      <c r="AE32" s="393">
        <v>4263</v>
      </c>
      <c r="AF32" s="393">
        <v>4429</v>
      </c>
      <c r="AG32" s="393">
        <v>4564</v>
      </c>
      <c r="AH32" s="393">
        <v>4772</v>
      </c>
      <c r="AI32" s="393">
        <v>5057</v>
      </c>
      <c r="AJ32" s="393">
        <v>5248</v>
      </c>
      <c r="AK32" s="393">
        <v>5461</v>
      </c>
      <c r="AL32" s="394">
        <v>5622</v>
      </c>
      <c r="AM32" s="439">
        <v>6988</v>
      </c>
      <c r="AN32" s="393">
        <v>7096</v>
      </c>
      <c r="AO32" s="393">
        <v>7304</v>
      </c>
      <c r="AP32" s="393">
        <v>7502</v>
      </c>
      <c r="AQ32" s="393">
        <v>7798</v>
      </c>
      <c r="AR32" s="393">
        <v>8264</v>
      </c>
      <c r="AS32" s="393">
        <v>8587</v>
      </c>
      <c r="AT32" s="393">
        <v>8789</v>
      </c>
      <c r="AU32" s="393">
        <v>9059</v>
      </c>
      <c r="AV32" s="393">
        <v>9201</v>
      </c>
      <c r="AW32" s="393">
        <v>9394</v>
      </c>
      <c r="AX32" s="394">
        <v>9476</v>
      </c>
      <c r="AY32" s="439">
        <v>9677</v>
      </c>
      <c r="AZ32" s="393">
        <v>9855</v>
      </c>
      <c r="BA32" s="393">
        <v>10050</v>
      </c>
      <c r="BB32" s="393">
        <v>10286</v>
      </c>
      <c r="BC32" s="393">
        <v>10591</v>
      </c>
      <c r="BD32" s="393">
        <v>10881</v>
      </c>
      <c r="BE32" s="393">
        <v>11044</v>
      </c>
      <c r="BF32" s="393">
        <v>11184</v>
      </c>
      <c r="BG32" s="393">
        <v>11398</v>
      </c>
      <c r="BH32" s="393">
        <v>11554</v>
      </c>
      <c r="BI32" s="393">
        <v>11726</v>
      </c>
      <c r="BJ32" s="394">
        <v>11815</v>
      </c>
      <c r="BK32" s="439">
        <v>12695</v>
      </c>
      <c r="BL32" s="393">
        <v>12923</v>
      </c>
      <c r="BM32" s="393">
        <v>13036</v>
      </c>
      <c r="BN32" s="393">
        <v>13169</v>
      </c>
      <c r="BO32" s="393">
        <v>13345</v>
      </c>
      <c r="BP32" s="393">
        <v>13452</v>
      </c>
      <c r="BQ32" s="393">
        <v>13564</v>
      </c>
      <c r="BR32" s="393">
        <v>13662</v>
      </c>
      <c r="BS32" s="393">
        <v>13749</v>
      </c>
      <c r="BT32" s="393">
        <v>13930</v>
      </c>
      <c r="BU32" s="393">
        <v>14006</v>
      </c>
      <c r="BV32" s="394">
        <v>14155</v>
      </c>
      <c r="BW32" s="439">
        <v>14286</v>
      </c>
      <c r="BX32" s="393">
        <v>14346</v>
      </c>
      <c r="BY32" s="393">
        <v>14389</v>
      </c>
      <c r="BZ32" s="393">
        <v>14421</v>
      </c>
      <c r="CA32" s="393">
        <v>14500</v>
      </c>
      <c r="CB32" s="393">
        <v>14574</v>
      </c>
      <c r="CC32" s="393">
        <v>14625</v>
      </c>
      <c r="CD32" s="393">
        <v>14688</v>
      </c>
      <c r="CE32" s="393">
        <v>14771</v>
      </c>
      <c r="CF32" s="393">
        <v>14845</v>
      </c>
      <c r="CG32" s="393">
        <v>14885</v>
      </c>
      <c r="CH32" s="394">
        <v>14972</v>
      </c>
      <c r="CI32" s="439">
        <v>15162</v>
      </c>
      <c r="CJ32" s="393">
        <v>15229</v>
      </c>
      <c r="CK32" s="393">
        <v>15193</v>
      </c>
      <c r="CL32" s="393">
        <v>15278</v>
      </c>
      <c r="CM32" s="393">
        <v>15435</v>
      </c>
      <c r="CN32" s="393">
        <v>15500</v>
      </c>
      <c r="CO32" s="393">
        <v>15576</v>
      </c>
      <c r="CP32" s="393">
        <v>15723</v>
      </c>
      <c r="CQ32" s="393">
        <v>16004</v>
      </c>
      <c r="CR32" s="393">
        <v>16169</v>
      </c>
      <c r="CS32" s="393">
        <v>16299</v>
      </c>
      <c r="CT32" s="394">
        <v>16406</v>
      </c>
      <c r="CU32" s="440">
        <v>16441</v>
      </c>
      <c r="CV32" s="393">
        <v>16538</v>
      </c>
      <c r="CW32" s="393">
        <v>16664</v>
      </c>
      <c r="CX32" s="393">
        <v>16694</v>
      </c>
      <c r="CY32" s="393">
        <v>16790</v>
      </c>
      <c r="CZ32" s="393">
        <v>16994</v>
      </c>
      <c r="DA32" s="393">
        <v>17140</v>
      </c>
      <c r="DB32" s="393">
        <v>17260</v>
      </c>
      <c r="DC32" s="393">
        <v>17402</v>
      </c>
      <c r="DD32" s="393">
        <v>17562</v>
      </c>
      <c r="DE32" s="393">
        <v>17830</v>
      </c>
      <c r="DF32" s="394">
        <v>18025</v>
      </c>
      <c r="DG32" s="440">
        <v>18134</v>
      </c>
      <c r="DH32" s="393">
        <v>18316</v>
      </c>
      <c r="DI32" s="393">
        <v>18487</v>
      </c>
      <c r="DJ32" s="393">
        <v>18655</v>
      </c>
      <c r="DK32" s="393">
        <v>18815</v>
      </c>
      <c r="DL32" s="393">
        <v>19105</v>
      </c>
      <c r="DM32" s="393">
        <v>19308</v>
      </c>
      <c r="DN32" s="393">
        <v>19455</v>
      </c>
      <c r="DO32" s="393">
        <v>19670</v>
      </c>
      <c r="DP32" s="393">
        <v>19817</v>
      </c>
      <c r="DQ32" s="393">
        <v>19960</v>
      </c>
      <c r="DR32" s="393">
        <v>20107</v>
      </c>
      <c r="DS32" s="393">
        <v>20352</v>
      </c>
      <c r="DT32" s="416">
        <v>20496</v>
      </c>
      <c r="DU32" s="393">
        <v>20603</v>
      </c>
      <c r="DV32" s="396">
        <v>20763</v>
      </c>
      <c r="DW32" s="396">
        <v>20890</v>
      </c>
      <c r="DX32" s="396">
        <v>21010</v>
      </c>
      <c r="DY32" s="393">
        <v>21084</v>
      </c>
      <c r="DZ32" s="416">
        <v>21181</v>
      </c>
      <c r="EA32" s="393">
        <v>21270</v>
      </c>
      <c r="EB32" s="393">
        <v>20554</v>
      </c>
      <c r="EC32" s="393">
        <v>20687</v>
      </c>
      <c r="ED32" s="393">
        <v>20743</v>
      </c>
      <c r="EE32" s="416">
        <v>21578</v>
      </c>
      <c r="EF32" s="393">
        <v>21680</v>
      </c>
      <c r="EG32" s="393">
        <v>21772</v>
      </c>
      <c r="EH32" s="393">
        <v>21956</v>
      </c>
      <c r="EI32" s="393">
        <v>22081</v>
      </c>
      <c r="EJ32" s="393">
        <v>22157</v>
      </c>
      <c r="EK32" s="393">
        <v>22198</v>
      </c>
      <c r="EL32" s="393">
        <v>22246</v>
      </c>
      <c r="EM32" s="393">
        <v>22284</v>
      </c>
      <c r="EN32" s="393">
        <v>22373</v>
      </c>
      <c r="EO32" s="393">
        <v>22470</v>
      </c>
      <c r="EP32" s="393">
        <v>22529</v>
      </c>
      <c r="EQ32" s="393">
        <v>22534</v>
      </c>
      <c r="ER32" s="393">
        <v>22608</v>
      </c>
      <c r="ES32" s="393">
        <v>22634</v>
      </c>
      <c r="ET32" s="393">
        <v>22682</v>
      </c>
      <c r="EU32" s="393">
        <v>22729</v>
      </c>
      <c r="EV32" s="393">
        <v>22803</v>
      </c>
      <c r="EW32" s="393">
        <v>22901</v>
      </c>
      <c r="EX32" s="393">
        <v>22943</v>
      </c>
      <c r="EY32" s="393">
        <v>23060</v>
      </c>
      <c r="EZ32" s="393">
        <v>23095</v>
      </c>
      <c r="FA32" s="393">
        <v>23148</v>
      </c>
      <c r="FB32" s="393">
        <v>23212</v>
      </c>
      <c r="FC32" s="393">
        <v>23199</v>
      </c>
      <c r="FD32" s="393">
        <v>23284</v>
      </c>
      <c r="FE32" s="393">
        <v>23353</v>
      </c>
      <c r="FF32" s="393">
        <v>23447</v>
      </c>
      <c r="FG32" s="393">
        <v>23525</v>
      </c>
      <c r="FH32" s="393">
        <v>23780</v>
      </c>
      <c r="FI32" s="393">
        <v>23909</v>
      </c>
      <c r="FJ32" s="393">
        <v>23964</v>
      </c>
      <c r="FK32" s="393">
        <v>24047</v>
      </c>
      <c r="FL32" s="393">
        <v>24102</v>
      </c>
      <c r="FM32" s="393">
        <v>24212</v>
      </c>
      <c r="FN32" s="393">
        <v>24330</v>
      </c>
      <c r="FO32" s="393">
        <v>24368</v>
      </c>
      <c r="FP32" s="393">
        <v>24453</v>
      </c>
      <c r="FQ32" s="393">
        <v>24521</v>
      </c>
      <c r="FR32" s="393">
        <v>24594</v>
      </c>
      <c r="FS32" s="393">
        <v>24639</v>
      </c>
      <c r="FT32" s="393">
        <v>24732</v>
      </c>
    </row>
    <row r="33" spans="1:182" s="387" customFormat="1" ht="13.8" thickTop="1" x14ac:dyDescent="0.25">
      <c r="B33" s="390" t="s">
        <v>9</v>
      </c>
      <c r="C33" s="441">
        <f t="shared" ref="C33:Q33" si="141">SUM(C31:C32)</f>
        <v>94726</v>
      </c>
      <c r="D33" s="398">
        <f t="shared" si="141"/>
        <v>95227</v>
      </c>
      <c r="E33" s="398">
        <f t="shared" si="141"/>
        <v>112807</v>
      </c>
      <c r="F33" s="398">
        <f t="shared" si="141"/>
        <v>112197</v>
      </c>
      <c r="G33" s="398">
        <f t="shared" si="141"/>
        <v>110180</v>
      </c>
      <c r="H33" s="398">
        <f t="shared" si="141"/>
        <v>111735</v>
      </c>
      <c r="I33" s="398">
        <f t="shared" si="141"/>
        <v>109984</v>
      </c>
      <c r="J33" s="398">
        <f t="shared" si="141"/>
        <v>109585</v>
      </c>
      <c r="K33" s="398">
        <f t="shared" si="141"/>
        <v>109275</v>
      </c>
      <c r="L33" s="398">
        <f t="shared" si="141"/>
        <v>108901</v>
      </c>
      <c r="M33" s="398">
        <f t="shared" si="141"/>
        <v>108600</v>
      </c>
      <c r="N33" s="399">
        <f t="shared" si="141"/>
        <v>108258</v>
      </c>
      <c r="O33" s="441">
        <f t="shared" si="141"/>
        <v>107947</v>
      </c>
      <c r="P33" s="398">
        <f t="shared" si="141"/>
        <v>107513</v>
      </c>
      <c r="Q33" s="398">
        <f t="shared" si="141"/>
        <v>107106</v>
      </c>
      <c r="R33" s="398">
        <f t="shared" ref="R33:W33" si="142">SUM(R31:R32)</f>
        <v>106657</v>
      </c>
      <c r="S33" s="398">
        <f t="shared" si="142"/>
        <v>106173</v>
      </c>
      <c r="T33" s="398">
        <f t="shared" si="142"/>
        <v>105803</v>
      </c>
      <c r="U33" s="398">
        <f t="shared" si="142"/>
        <v>105354</v>
      </c>
      <c r="V33" s="398">
        <f t="shared" si="142"/>
        <v>106128</v>
      </c>
      <c r="W33" s="398">
        <f t="shared" si="142"/>
        <v>105828</v>
      </c>
      <c r="X33" s="398">
        <f t="shared" ref="X33:AC33" si="143">SUM(X31:X32)</f>
        <v>105318</v>
      </c>
      <c r="Y33" s="398">
        <f t="shared" si="143"/>
        <v>104894</v>
      </c>
      <c r="Z33" s="399">
        <f t="shared" si="143"/>
        <v>104475</v>
      </c>
      <c r="AA33" s="441">
        <f t="shared" si="143"/>
        <v>104043</v>
      </c>
      <c r="AB33" s="398">
        <f t="shared" si="143"/>
        <v>103687</v>
      </c>
      <c r="AC33" s="398">
        <f t="shared" si="143"/>
        <v>103098</v>
      </c>
      <c r="AD33" s="398">
        <f t="shared" ref="AD33:AI33" si="144">SUM(AD31:AD32)</f>
        <v>102752</v>
      </c>
      <c r="AE33" s="398">
        <f t="shared" si="144"/>
        <v>102382</v>
      </c>
      <c r="AF33" s="398">
        <f t="shared" si="144"/>
        <v>101837</v>
      </c>
      <c r="AG33" s="398">
        <f t="shared" si="144"/>
        <v>101269</v>
      </c>
      <c r="AH33" s="398">
        <f t="shared" si="144"/>
        <v>100703</v>
      </c>
      <c r="AI33" s="398">
        <f t="shared" si="144"/>
        <v>100116</v>
      </c>
      <c r="AJ33" s="398">
        <f t="shared" ref="AJ33:AP33" si="145">SUM(AJ31:AJ32)</f>
        <v>99586</v>
      </c>
      <c r="AK33" s="398">
        <f t="shared" si="145"/>
        <v>99183</v>
      </c>
      <c r="AL33" s="399">
        <f t="shared" si="145"/>
        <v>98793</v>
      </c>
      <c r="AM33" s="441">
        <f t="shared" si="145"/>
        <v>98324</v>
      </c>
      <c r="AN33" s="398">
        <f t="shared" si="145"/>
        <v>97944</v>
      </c>
      <c r="AO33" s="398">
        <f t="shared" si="145"/>
        <v>97600</v>
      </c>
      <c r="AP33" s="398">
        <f t="shared" si="145"/>
        <v>93874</v>
      </c>
      <c r="AQ33" s="398">
        <f t="shared" ref="AQ33:AX33" si="146">SUM(AQ31:AQ32)</f>
        <v>92062</v>
      </c>
      <c r="AR33" s="398">
        <f t="shared" si="146"/>
        <v>91674</v>
      </c>
      <c r="AS33" s="398">
        <f t="shared" si="146"/>
        <v>91375</v>
      </c>
      <c r="AT33" s="398">
        <f t="shared" si="146"/>
        <v>91039</v>
      </c>
      <c r="AU33" s="398">
        <f t="shared" si="146"/>
        <v>90753</v>
      </c>
      <c r="AV33" s="398">
        <f t="shared" si="146"/>
        <v>90435</v>
      </c>
      <c r="AW33" s="398">
        <f t="shared" si="146"/>
        <v>90188</v>
      </c>
      <c r="AX33" s="399">
        <f t="shared" si="146"/>
        <v>89900</v>
      </c>
      <c r="AY33" s="441">
        <f t="shared" ref="AY33:BJ33" si="147">SUM(AY31:AY32)</f>
        <v>89558</v>
      </c>
      <c r="AZ33" s="398">
        <f t="shared" si="147"/>
        <v>89203</v>
      </c>
      <c r="BA33" s="398">
        <f t="shared" si="147"/>
        <v>88917</v>
      </c>
      <c r="BB33" s="398">
        <f t="shared" si="147"/>
        <v>88571</v>
      </c>
      <c r="BC33" s="398">
        <f t="shared" si="147"/>
        <v>88156</v>
      </c>
      <c r="BD33" s="398">
        <f t="shared" si="147"/>
        <v>87733</v>
      </c>
      <c r="BE33" s="398">
        <f t="shared" si="147"/>
        <v>87199</v>
      </c>
      <c r="BF33" s="398">
        <f t="shared" si="147"/>
        <v>86738</v>
      </c>
      <c r="BG33" s="398">
        <f t="shared" si="147"/>
        <v>86419</v>
      </c>
      <c r="BH33" s="398">
        <f t="shared" si="147"/>
        <v>86151</v>
      </c>
      <c r="BI33" s="398">
        <f t="shared" si="147"/>
        <v>85944</v>
      </c>
      <c r="BJ33" s="399">
        <f t="shared" si="147"/>
        <v>85707</v>
      </c>
      <c r="BK33" s="441">
        <f t="shared" ref="BK33:BP33" si="148">SUM(BK31:BK32)</f>
        <v>85365</v>
      </c>
      <c r="BL33" s="398">
        <f t="shared" si="148"/>
        <v>85069</v>
      </c>
      <c r="BM33" s="398">
        <f t="shared" si="148"/>
        <v>84799</v>
      </c>
      <c r="BN33" s="398">
        <f t="shared" si="148"/>
        <v>84545</v>
      </c>
      <c r="BO33" s="398">
        <f t="shared" si="148"/>
        <v>84307</v>
      </c>
      <c r="BP33" s="398">
        <f t="shared" si="148"/>
        <v>83200</v>
      </c>
      <c r="BQ33" s="398">
        <f t="shared" ref="BQ33:CB33" si="149">SUM(BQ31:BQ32)</f>
        <v>80046</v>
      </c>
      <c r="BR33" s="398">
        <f t="shared" si="149"/>
        <v>78880</v>
      </c>
      <c r="BS33" s="398">
        <f t="shared" si="149"/>
        <v>78300</v>
      </c>
      <c r="BT33" s="398">
        <f t="shared" si="149"/>
        <v>77846</v>
      </c>
      <c r="BU33" s="398">
        <f t="shared" si="149"/>
        <v>77601</v>
      </c>
      <c r="BV33" s="399">
        <f t="shared" si="149"/>
        <v>77355</v>
      </c>
      <c r="BW33" s="441">
        <f t="shared" si="149"/>
        <v>77053</v>
      </c>
      <c r="BX33" s="398">
        <f t="shared" si="149"/>
        <v>76793</v>
      </c>
      <c r="BY33" s="398">
        <f t="shared" si="149"/>
        <v>76583</v>
      </c>
      <c r="BZ33" s="398">
        <f t="shared" si="149"/>
        <v>76333</v>
      </c>
      <c r="CA33" s="398">
        <f t="shared" si="149"/>
        <v>76095</v>
      </c>
      <c r="CB33" s="398">
        <f t="shared" si="149"/>
        <v>75782</v>
      </c>
      <c r="CC33" s="398">
        <f t="shared" ref="CC33:CK33" si="150">SUM(CC31:CC32)</f>
        <v>75468</v>
      </c>
      <c r="CD33" s="398">
        <f t="shared" si="150"/>
        <v>75158</v>
      </c>
      <c r="CE33" s="398">
        <f t="shared" si="150"/>
        <v>74945</v>
      </c>
      <c r="CF33" s="398">
        <f t="shared" si="150"/>
        <v>74810</v>
      </c>
      <c r="CG33" s="398">
        <f t="shared" si="150"/>
        <v>74490</v>
      </c>
      <c r="CH33" s="442">
        <f t="shared" si="150"/>
        <v>74265</v>
      </c>
      <c r="CI33" s="441">
        <f t="shared" si="150"/>
        <v>74001</v>
      </c>
      <c r="CJ33" s="398">
        <f t="shared" si="150"/>
        <v>73817</v>
      </c>
      <c r="CK33" s="398">
        <f t="shared" si="150"/>
        <v>73348</v>
      </c>
      <c r="CL33" s="398">
        <f t="shared" ref="CL33:CT33" si="151">SUM(CL31:CL32)</f>
        <v>73133</v>
      </c>
      <c r="CM33" s="398">
        <f t="shared" si="151"/>
        <v>72981</v>
      </c>
      <c r="CN33" s="398">
        <f t="shared" si="151"/>
        <v>72768</v>
      </c>
      <c r="CO33" s="398">
        <f t="shared" si="151"/>
        <v>72454</v>
      </c>
      <c r="CP33" s="398">
        <f t="shared" si="151"/>
        <v>72205</v>
      </c>
      <c r="CQ33" s="398">
        <f t="shared" si="151"/>
        <v>71994</v>
      </c>
      <c r="CR33" s="398">
        <f t="shared" si="151"/>
        <v>71437</v>
      </c>
      <c r="CS33" s="398">
        <f t="shared" si="151"/>
        <v>71087</v>
      </c>
      <c r="CT33" s="442">
        <f t="shared" si="151"/>
        <v>70842</v>
      </c>
      <c r="CU33" s="398">
        <f>SUM(CU31:CU32)</f>
        <v>70490</v>
      </c>
      <c r="CV33" s="398">
        <f>SUM(CV31:CV32)</f>
        <v>70239</v>
      </c>
      <c r="CW33" s="398">
        <f>SUM(CW31:CW32)</f>
        <v>69982</v>
      </c>
      <c r="CX33" s="398">
        <f t="shared" ref="CX33:DC33" si="152">SUM(CX31:CX32)</f>
        <v>69657</v>
      </c>
      <c r="CY33" s="398">
        <f t="shared" si="152"/>
        <v>69407</v>
      </c>
      <c r="CZ33" s="398">
        <f t="shared" si="152"/>
        <v>69125</v>
      </c>
      <c r="DA33" s="398">
        <f t="shared" si="152"/>
        <v>68871</v>
      </c>
      <c r="DB33" s="398">
        <f t="shared" si="152"/>
        <v>68718</v>
      </c>
      <c r="DC33" s="398">
        <f t="shared" si="152"/>
        <v>68551</v>
      </c>
      <c r="DD33" s="398">
        <f t="shared" ref="DD33:DL33" si="153">SUM(DD31:DD32)</f>
        <v>68275</v>
      </c>
      <c r="DE33" s="398">
        <f t="shared" si="153"/>
        <v>68084</v>
      </c>
      <c r="DF33" s="442">
        <f t="shared" si="153"/>
        <v>67992</v>
      </c>
      <c r="DG33" s="398">
        <f t="shared" si="153"/>
        <v>67789</v>
      </c>
      <c r="DH33" s="398">
        <f t="shared" si="153"/>
        <v>67606</v>
      </c>
      <c r="DI33" s="398">
        <f t="shared" si="153"/>
        <v>67427</v>
      </c>
      <c r="DJ33" s="502">
        <f t="shared" si="153"/>
        <v>67281</v>
      </c>
      <c r="DK33" s="502">
        <f t="shared" si="153"/>
        <v>67156</v>
      </c>
      <c r="DL33" s="502">
        <f t="shared" si="153"/>
        <v>67002</v>
      </c>
      <c r="DM33" s="502">
        <f t="shared" ref="DM33:FN33" si="154">SUM(DM31:DM32)</f>
        <v>66852</v>
      </c>
      <c r="DN33" s="502">
        <f t="shared" si="154"/>
        <v>66708</v>
      </c>
      <c r="DO33" s="502">
        <f t="shared" si="154"/>
        <v>66473</v>
      </c>
      <c r="DP33" s="502">
        <f t="shared" si="154"/>
        <v>66162</v>
      </c>
      <c r="DQ33" s="502">
        <f t="shared" si="154"/>
        <v>65971</v>
      </c>
      <c r="DR33" s="502">
        <f t="shared" si="154"/>
        <v>65846</v>
      </c>
      <c r="DS33" s="502">
        <f t="shared" si="154"/>
        <v>65673</v>
      </c>
      <c r="DT33" s="502">
        <f t="shared" si="154"/>
        <v>65549</v>
      </c>
      <c r="DU33" s="502">
        <f t="shared" si="154"/>
        <v>65400</v>
      </c>
      <c r="DV33" s="503">
        <f t="shared" si="154"/>
        <v>65283</v>
      </c>
      <c r="DW33" s="503">
        <f t="shared" si="154"/>
        <v>65137</v>
      </c>
      <c r="DX33" s="503">
        <f t="shared" si="154"/>
        <v>65003</v>
      </c>
      <c r="DY33" s="503">
        <f t="shared" si="154"/>
        <v>64804</v>
      </c>
      <c r="DZ33" s="503">
        <f t="shared" si="154"/>
        <v>64687</v>
      </c>
      <c r="EA33" s="503">
        <f t="shared" si="154"/>
        <v>64487</v>
      </c>
      <c r="EB33" s="503">
        <f t="shared" si="154"/>
        <v>63550</v>
      </c>
      <c r="EC33" s="503">
        <f t="shared" si="154"/>
        <v>63704</v>
      </c>
      <c r="ED33" s="503">
        <f t="shared" si="154"/>
        <v>63631</v>
      </c>
      <c r="EE33" s="503">
        <f t="shared" si="154"/>
        <v>64305</v>
      </c>
      <c r="EF33" s="503">
        <f t="shared" si="154"/>
        <v>64180</v>
      </c>
      <c r="EG33" s="503">
        <f t="shared" si="154"/>
        <v>64114</v>
      </c>
      <c r="EH33" s="503">
        <f t="shared" si="154"/>
        <v>64013</v>
      </c>
      <c r="EI33" s="503">
        <f t="shared" si="154"/>
        <v>63909</v>
      </c>
      <c r="EJ33" s="503">
        <f t="shared" si="154"/>
        <v>63745</v>
      </c>
      <c r="EK33" s="503">
        <f t="shared" si="154"/>
        <v>63609</v>
      </c>
      <c r="EL33" s="503">
        <f t="shared" si="154"/>
        <v>63502</v>
      </c>
      <c r="EM33" s="503">
        <f t="shared" si="154"/>
        <v>63348</v>
      </c>
      <c r="EN33" s="503">
        <f t="shared" si="154"/>
        <v>63276</v>
      </c>
      <c r="EO33" s="503">
        <f t="shared" si="154"/>
        <v>63209</v>
      </c>
      <c r="EP33" s="503">
        <f t="shared" si="154"/>
        <v>63118</v>
      </c>
      <c r="EQ33" s="503">
        <f t="shared" si="154"/>
        <v>62942</v>
      </c>
      <c r="ER33" s="503">
        <f t="shared" si="154"/>
        <v>62875</v>
      </c>
      <c r="ES33" s="503">
        <f t="shared" si="154"/>
        <v>62776</v>
      </c>
      <c r="ET33" s="503">
        <f t="shared" si="154"/>
        <v>62663</v>
      </c>
      <c r="EU33" s="503">
        <f t="shared" si="154"/>
        <v>62630</v>
      </c>
      <c r="EV33" s="503">
        <f t="shared" si="154"/>
        <v>62547</v>
      </c>
      <c r="EW33" s="503">
        <f t="shared" si="154"/>
        <v>62429</v>
      </c>
      <c r="EX33" s="503">
        <f t="shared" si="154"/>
        <v>62308</v>
      </c>
      <c r="EY33" s="503">
        <f t="shared" si="154"/>
        <v>62213</v>
      </c>
      <c r="EZ33" s="503">
        <f t="shared" si="154"/>
        <v>62103</v>
      </c>
      <c r="FA33" s="503">
        <f t="shared" si="154"/>
        <v>62052</v>
      </c>
      <c r="FB33" s="503">
        <f t="shared" si="154"/>
        <v>61963</v>
      </c>
      <c r="FC33" s="503">
        <f t="shared" si="154"/>
        <v>61842</v>
      </c>
      <c r="FD33" s="503">
        <f t="shared" si="154"/>
        <v>61765</v>
      </c>
      <c r="FE33" s="503">
        <f t="shared" si="154"/>
        <v>61684</v>
      </c>
      <c r="FF33" s="503">
        <f t="shared" si="154"/>
        <v>61569</v>
      </c>
      <c r="FG33" s="503">
        <f t="shared" si="154"/>
        <v>61186</v>
      </c>
      <c r="FH33" s="503">
        <f t="shared" si="154"/>
        <v>59932</v>
      </c>
      <c r="FI33" s="503">
        <f t="shared" si="154"/>
        <v>59689</v>
      </c>
      <c r="FJ33" s="503">
        <f t="shared" si="154"/>
        <v>59639</v>
      </c>
      <c r="FK33" s="503">
        <f t="shared" si="154"/>
        <v>59512</v>
      </c>
      <c r="FL33" s="503">
        <f t="shared" si="154"/>
        <v>59477</v>
      </c>
      <c r="FM33" s="503">
        <f t="shared" si="154"/>
        <v>59439</v>
      </c>
      <c r="FN33" s="503">
        <f t="shared" si="154"/>
        <v>59431</v>
      </c>
      <c r="FO33" s="503">
        <f t="shared" ref="FO33:FQ33" si="155">SUM(FO31:FO32)</f>
        <v>59334</v>
      </c>
      <c r="FP33" s="503">
        <f t="shared" si="155"/>
        <v>59287</v>
      </c>
      <c r="FQ33" s="503">
        <f t="shared" si="155"/>
        <v>59223</v>
      </c>
      <c r="FR33" s="503">
        <f t="shared" ref="FR33:FT33" si="156">SUM(FR31:FR32)</f>
        <v>59143</v>
      </c>
      <c r="FS33" s="503">
        <f t="shared" si="156"/>
        <v>59016</v>
      </c>
      <c r="FT33" s="503">
        <f t="shared" si="156"/>
        <v>58940</v>
      </c>
    </row>
    <row r="34" spans="1:182" s="409" customFormat="1" x14ac:dyDescent="0.25">
      <c r="B34" s="403" t="s">
        <v>10</v>
      </c>
      <c r="C34" s="460">
        <f t="shared" ref="C34:Q34" si="157">SUM(C31)/C33</f>
        <v>0.99994721618140747</v>
      </c>
      <c r="D34" s="405">
        <f t="shared" si="157"/>
        <v>0.99468638096338224</v>
      </c>
      <c r="E34" s="405">
        <f t="shared" si="157"/>
        <v>0.99315645305699118</v>
      </c>
      <c r="F34" s="405">
        <f t="shared" si="157"/>
        <v>0.9921210014528018</v>
      </c>
      <c r="G34" s="405">
        <f t="shared" si="157"/>
        <v>0.99066981303321833</v>
      </c>
      <c r="H34" s="405">
        <f t="shared" si="157"/>
        <v>0.98747930370967019</v>
      </c>
      <c r="I34" s="405">
        <f t="shared" si="157"/>
        <v>0.98686172534186789</v>
      </c>
      <c r="J34" s="405">
        <f t="shared" si="157"/>
        <v>0.98659488068622525</v>
      </c>
      <c r="K34" s="405">
        <f t="shared" si="157"/>
        <v>0.98568748570121256</v>
      </c>
      <c r="L34" s="405">
        <f t="shared" si="157"/>
        <v>0.98393035876621882</v>
      </c>
      <c r="M34" s="405">
        <f t="shared" si="157"/>
        <v>0.98247697974217307</v>
      </c>
      <c r="N34" s="406">
        <f t="shared" si="157"/>
        <v>0.98016774741820467</v>
      </c>
      <c r="O34" s="460">
        <f t="shared" si="157"/>
        <v>0.97761864618748084</v>
      </c>
      <c r="P34" s="405">
        <f t="shared" si="157"/>
        <v>0.97315673453442841</v>
      </c>
      <c r="Q34" s="405">
        <f t="shared" si="157"/>
        <v>0.97025376729594981</v>
      </c>
      <c r="R34" s="405">
        <f t="shared" ref="R34:W34" si="158">SUM(R31)/R33</f>
        <v>0.96788771482415592</v>
      </c>
      <c r="S34" s="405">
        <f t="shared" si="158"/>
        <v>0.9650381923841278</v>
      </c>
      <c r="T34" s="405">
        <f t="shared" si="158"/>
        <v>0.96224114628129642</v>
      </c>
      <c r="U34" s="405">
        <f t="shared" si="158"/>
        <v>0.96156766710328989</v>
      </c>
      <c r="V34" s="405">
        <f t="shared" si="158"/>
        <v>0.95714608774310261</v>
      </c>
      <c r="W34" s="405">
        <f t="shared" si="158"/>
        <v>0.95522923989870356</v>
      </c>
      <c r="X34" s="405">
        <f t="shared" ref="X34:AC34" si="159">SUM(X31)/X33</f>
        <v>0.95437626996334912</v>
      </c>
      <c r="Y34" s="405">
        <f t="shared" si="159"/>
        <v>0.95347684328941595</v>
      </c>
      <c r="Z34" s="406">
        <f t="shared" si="159"/>
        <v>0.95189279731993304</v>
      </c>
      <c r="AA34" s="460">
        <f t="shared" si="159"/>
        <v>0.96067010755168536</v>
      </c>
      <c r="AB34" s="405">
        <f t="shared" si="159"/>
        <v>0.96063151600489938</v>
      </c>
      <c r="AC34" s="405">
        <f t="shared" si="159"/>
        <v>0.9600768201129023</v>
      </c>
      <c r="AD34" s="405">
        <f t="shared" ref="AD34:AI34" si="160">SUM(AD31)/AD33</f>
        <v>0.95896916848333857</v>
      </c>
      <c r="AE34" s="405">
        <f t="shared" si="160"/>
        <v>0.95836182141392046</v>
      </c>
      <c r="AF34" s="405">
        <f t="shared" si="160"/>
        <v>0.95650893093865685</v>
      </c>
      <c r="AG34" s="405">
        <f t="shared" si="160"/>
        <v>0.95493191401119792</v>
      </c>
      <c r="AH34" s="405">
        <f t="shared" si="160"/>
        <v>0.95261312969822154</v>
      </c>
      <c r="AI34" s="405">
        <f t="shared" si="160"/>
        <v>0.94948859323185109</v>
      </c>
      <c r="AJ34" s="405">
        <f t="shared" ref="AJ34:AP34" si="161">SUM(AJ31)/AJ33</f>
        <v>0.9473018295744382</v>
      </c>
      <c r="AK34" s="405">
        <f t="shared" si="161"/>
        <v>0.94494016111632029</v>
      </c>
      <c r="AL34" s="406">
        <f t="shared" si="161"/>
        <v>0.94309313412893625</v>
      </c>
      <c r="AM34" s="460">
        <f t="shared" si="161"/>
        <v>0.92892884748382898</v>
      </c>
      <c r="AN34" s="405">
        <f t="shared" si="161"/>
        <v>0.92755043698439921</v>
      </c>
      <c r="AO34" s="405">
        <f t="shared" si="161"/>
        <v>0.92516393442622946</v>
      </c>
      <c r="AP34" s="405">
        <f t="shared" si="161"/>
        <v>0.9200843684087181</v>
      </c>
      <c r="AQ34" s="405">
        <f t="shared" ref="AQ34:AX34" si="162">SUM(AQ31)/AQ33</f>
        <v>0.91529621342138989</v>
      </c>
      <c r="AR34" s="405">
        <f t="shared" si="162"/>
        <v>0.90985448436852323</v>
      </c>
      <c r="AS34" s="405">
        <f t="shared" si="162"/>
        <v>0.90602462380300952</v>
      </c>
      <c r="AT34" s="405">
        <f t="shared" si="162"/>
        <v>0.90345895715023228</v>
      </c>
      <c r="AU34" s="405">
        <f t="shared" si="162"/>
        <v>0.90017960838760147</v>
      </c>
      <c r="AV34" s="405">
        <f t="shared" si="162"/>
        <v>0.89825841764803449</v>
      </c>
      <c r="AW34" s="405">
        <f t="shared" si="162"/>
        <v>0.89583980130394292</v>
      </c>
      <c r="AX34" s="406">
        <f t="shared" si="162"/>
        <v>0.89459399332591771</v>
      </c>
      <c r="AY34" s="460">
        <f t="shared" ref="AY34:BJ34" si="163">SUM(AY31)/AY33</f>
        <v>0.89194711806873761</v>
      </c>
      <c r="AZ34" s="405">
        <f t="shared" si="163"/>
        <v>0.88952165285920881</v>
      </c>
      <c r="BA34" s="405">
        <f t="shared" si="163"/>
        <v>0.88697324471136008</v>
      </c>
      <c r="BB34" s="405">
        <f t="shared" si="163"/>
        <v>0.88386718000248388</v>
      </c>
      <c r="BC34" s="405">
        <f t="shared" si="163"/>
        <v>0.87986070148373341</v>
      </c>
      <c r="BD34" s="405">
        <f t="shared" si="163"/>
        <v>0.87597597255308723</v>
      </c>
      <c r="BE34" s="405">
        <f t="shared" si="163"/>
        <v>0.87334717141251617</v>
      </c>
      <c r="BF34" s="405">
        <f t="shared" si="163"/>
        <v>0.87105997371394317</v>
      </c>
      <c r="BG34" s="405">
        <f t="shared" si="163"/>
        <v>0.86810770779573931</v>
      </c>
      <c r="BH34" s="405">
        <f t="shared" si="163"/>
        <v>0.86588664089795819</v>
      </c>
      <c r="BI34" s="405">
        <f t="shared" si="163"/>
        <v>0.86356231965000463</v>
      </c>
      <c r="BJ34" s="406">
        <f t="shared" si="163"/>
        <v>0.86214661579567597</v>
      </c>
      <c r="BK34" s="460">
        <f t="shared" ref="BK34:BP34" si="164">SUM(BK31)/BK33</f>
        <v>0.85128565571369996</v>
      </c>
      <c r="BL34" s="405">
        <f t="shared" si="164"/>
        <v>0.84808802266395511</v>
      </c>
      <c r="BM34" s="405">
        <f t="shared" si="164"/>
        <v>0.84627177207278392</v>
      </c>
      <c r="BN34" s="405">
        <f t="shared" si="164"/>
        <v>0.84423679697202669</v>
      </c>
      <c r="BO34" s="405">
        <f t="shared" si="164"/>
        <v>0.84170946659233514</v>
      </c>
      <c r="BP34" s="405">
        <f t="shared" si="164"/>
        <v>0.83831730769230772</v>
      </c>
      <c r="BQ34" s="405">
        <f t="shared" ref="BQ34:CB34" si="165">SUM(BQ31)/BQ33</f>
        <v>0.83054743522474572</v>
      </c>
      <c r="BR34" s="405">
        <f t="shared" si="165"/>
        <v>0.82680020283975664</v>
      </c>
      <c r="BS34" s="405">
        <f t="shared" si="165"/>
        <v>0.8244061302681992</v>
      </c>
      <c r="BT34" s="405">
        <f t="shared" si="165"/>
        <v>0.82105695861059014</v>
      </c>
      <c r="BU34" s="405">
        <f t="shared" si="165"/>
        <v>0.81951263514645434</v>
      </c>
      <c r="BV34" s="406">
        <f t="shared" si="165"/>
        <v>0.81701247495313811</v>
      </c>
      <c r="BW34" s="460">
        <f t="shared" si="165"/>
        <v>0.81459514879368744</v>
      </c>
      <c r="BX34" s="405">
        <f t="shared" si="165"/>
        <v>0.81318609769119576</v>
      </c>
      <c r="BY34" s="405">
        <f t="shared" si="165"/>
        <v>0.81211234869357429</v>
      </c>
      <c r="BZ34" s="405">
        <f t="shared" si="165"/>
        <v>0.81107777763221678</v>
      </c>
      <c r="CA34" s="405">
        <f t="shared" si="165"/>
        <v>0.80944871542151253</v>
      </c>
      <c r="CB34" s="405">
        <f t="shared" si="165"/>
        <v>0.80768520229078145</v>
      </c>
      <c r="CC34" s="405">
        <f t="shared" ref="CC34:CK34" si="166">SUM(CC31)/CC33</f>
        <v>0.80620925425345846</v>
      </c>
      <c r="CD34" s="405">
        <f t="shared" si="166"/>
        <v>0.80457170228052899</v>
      </c>
      <c r="CE34" s="405">
        <f t="shared" si="166"/>
        <v>0.80290879978651009</v>
      </c>
      <c r="CF34" s="405">
        <f t="shared" si="166"/>
        <v>0.80156396203716085</v>
      </c>
      <c r="CG34" s="405">
        <f t="shared" si="166"/>
        <v>0.80017452006980805</v>
      </c>
      <c r="CH34" s="406">
        <f t="shared" si="166"/>
        <v>0.7983976301083956</v>
      </c>
      <c r="CI34" s="460">
        <f t="shared" si="166"/>
        <v>0.79511087688004212</v>
      </c>
      <c r="CJ34" s="405">
        <f t="shared" si="166"/>
        <v>0.79369250985545337</v>
      </c>
      <c r="CK34" s="405">
        <f t="shared" si="166"/>
        <v>0.79286415444183889</v>
      </c>
      <c r="CL34" s="405">
        <f t="shared" ref="CL34:CQ34" si="167">SUM(CL31)/CL33</f>
        <v>0.79109294025952714</v>
      </c>
      <c r="CM34" s="405">
        <f t="shared" si="167"/>
        <v>0.78850659760759645</v>
      </c>
      <c r="CN34" s="405">
        <f t="shared" si="167"/>
        <v>0.78699428320140719</v>
      </c>
      <c r="CO34" s="405">
        <f t="shared" si="167"/>
        <v>0.78502222099539021</v>
      </c>
      <c r="CP34" s="405">
        <f t="shared" si="167"/>
        <v>0.78224499688387228</v>
      </c>
      <c r="CQ34" s="405">
        <f t="shared" si="167"/>
        <v>0.77770369753034974</v>
      </c>
      <c r="CR34" s="405">
        <f t="shared" ref="CR34:DJ34" si="168">SUM(CR31)/CR33</f>
        <v>0.77366070803645171</v>
      </c>
      <c r="CS34" s="405">
        <f t="shared" si="168"/>
        <v>0.77071757142656183</v>
      </c>
      <c r="CT34" s="406">
        <f t="shared" si="168"/>
        <v>0.76841421755455808</v>
      </c>
      <c r="CU34" s="405">
        <f t="shared" si="168"/>
        <v>0.76676124272946522</v>
      </c>
      <c r="CV34" s="405">
        <f t="shared" si="168"/>
        <v>0.76454676177052638</v>
      </c>
      <c r="CW34" s="405">
        <f t="shared" si="168"/>
        <v>0.76188162670400961</v>
      </c>
      <c r="CX34" s="405">
        <f t="shared" si="168"/>
        <v>0.76033995147652067</v>
      </c>
      <c r="CY34" s="405">
        <f t="shared" si="168"/>
        <v>0.7580935640497356</v>
      </c>
      <c r="CZ34" s="405">
        <f t="shared" si="168"/>
        <v>0.75415551537070524</v>
      </c>
      <c r="DA34" s="405">
        <f t="shared" si="168"/>
        <v>0.75112892218785843</v>
      </c>
      <c r="DB34" s="405">
        <f t="shared" si="168"/>
        <v>0.74882854565033907</v>
      </c>
      <c r="DC34" s="405">
        <f t="shared" si="168"/>
        <v>0.74614520575921572</v>
      </c>
      <c r="DD34" s="405">
        <f t="shared" si="168"/>
        <v>0.74277554009520319</v>
      </c>
      <c r="DE34" s="405">
        <f t="shared" si="168"/>
        <v>0.73811761941131548</v>
      </c>
      <c r="DF34" s="406">
        <f t="shared" si="168"/>
        <v>0.73489528179785857</v>
      </c>
      <c r="DG34" s="405">
        <f t="shared" si="168"/>
        <v>0.73249347239227602</v>
      </c>
      <c r="DH34" s="405">
        <f t="shared" si="168"/>
        <v>0.72907730083128719</v>
      </c>
      <c r="DI34" s="405">
        <f t="shared" si="168"/>
        <v>0.72582200008898512</v>
      </c>
      <c r="DJ34" s="405">
        <f t="shared" si="168"/>
        <v>0.72273004265691654</v>
      </c>
      <c r="DK34" s="405">
        <f t="shared" ref="DK34:FN34" si="169">SUM(DK31)/DK33</f>
        <v>0.71983143725058074</v>
      </c>
      <c r="DL34" s="405">
        <f t="shared" si="169"/>
        <v>0.71485925793259908</v>
      </c>
      <c r="DM34" s="405">
        <f t="shared" si="169"/>
        <v>0.71118291150601332</v>
      </c>
      <c r="DN34" s="405">
        <f t="shared" si="169"/>
        <v>0.708355819391977</v>
      </c>
      <c r="DO34" s="405">
        <f t="shared" si="169"/>
        <v>0.70409038256134071</v>
      </c>
      <c r="DP34" s="405">
        <f t="shared" si="169"/>
        <v>0.70047761554971133</v>
      </c>
      <c r="DQ34" s="405">
        <f t="shared" si="169"/>
        <v>0.6974428157826924</v>
      </c>
      <c r="DR34" s="405">
        <f t="shared" si="169"/>
        <v>0.69463596877562794</v>
      </c>
      <c r="DS34" s="405">
        <f t="shared" si="169"/>
        <v>0.69010095473025446</v>
      </c>
      <c r="DT34" s="405">
        <f t="shared" si="169"/>
        <v>0.68731788433080598</v>
      </c>
      <c r="DU34" s="405">
        <f t="shared" si="169"/>
        <v>0.68496941896024466</v>
      </c>
      <c r="DV34" s="408">
        <f t="shared" si="169"/>
        <v>0.68195395432195216</v>
      </c>
      <c r="DW34" s="408">
        <f t="shared" si="169"/>
        <v>0.67929133979151635</v>
      </c>
      <c r="DX34" s="408">
        <f t="shared" si="169"/>
        <v>0.67678414842391887</v>
      </c>
      <c r="DY34" s="408">
        <f t="shared" si="169"/>
        <v>0.67464971298068022</v>
      </c>
      <c r="DZ34" s="408">
        <f t="shared" si="169"/>
        <v>0.67256172028382832</v>
      </c>
      <c r="EA34" s="408">
        <f t="shared" si="169"/>
        <v>0.67016607998511324</v>
      </c>
      <c r="EB34" s="408">
        <f t="shared" si="169"/>
        <v>0.67656963021243111</v>
      </c>
      <c r="EC34" s="408">
        <f t="shared" si="169"/>
        <v>0.67526371970362931</v>
      </c>
      <c r="ED34" s="408">
        <f t="shared" si="169"/>
        <v>0.67401109522088287</v>
      </c>
      <c r="EE34" s="408">
        <f t="shared" si="169"/>
        <v>0.66444288935541562</v>
      </c>
      <c r="EF34" s="408">
        <f t="shared" si="169"/>
        <v>0.66220006232471174</v>
      </c>
      <c r="EG34" s="408">
        <f t="shared" si="169"/>
        <v>0.66041738153913343</v>
      </c>
      <c r="EH34" s="408">
        <f t="shared" si="169"/>
        <v>0.65700717041850876</v>
      </c>
      <c r="EI34" s="408">
        <f t="shared" si="169"/>
        <v>0.65449310738706601</v>
      </c>
      <c r="EJ34" s="408">
        <f t="shared" si="169"/>
        <v>0.65241195387873563</v>
      </c>
      <c r="EK34" s="408">
        <f t="shared" si="169"/>
        <v>0.65102422613152222</v>
      </c>
      <c r="EL34" s="408">
        <f t="shared" si="169"/>
        <v>0.64968032502913298</v>
      </c>
      <c r="EM34" s="408">
        <f t="shared" si="169"/>
        <v>0.64822883121803376</v>
      </c>
      <c r="EN34" s="408">
        <f t="shared" si="169"/>
        <v>0.64642202414817629</v>
      </c>
      <c r="EO34" s="408">
        <f t="shared" si="169"/>
        <v>0.64451264851524304</v>
      </c>
      <c r="EP34" s="408">
        <f t="shared" si="169"/>
        <v>0.6430653696251466</v>
      </c>
      <c r="EQ34" s="408">
        <f t="shared" si="169"/>
        <v>0.64198786184106005</v>
      </c>
      <c r="ER34" s="408">
        <f t="shared" si="169"/>
        <v>0.64042942345924458</v>
      </c>
      <c r="ES34" s="408">
        <f t="shared" si="169"/>
        <v>0.63944819676309417</v>
      </c>
      <c r="ET34" s="408">
        <f t="shared" si="169"/>
        <v>0.63803201251137032</v>
      </c>
      <c r="EU34" s="408">
        <f t="shared" si="169"/>
        <v>0.63709085102985785</v>
      </c>
      <c r="EV34" s="408">
        <f t="shared" si="169"/>
        <v>0.63542615952803494</v>
      </c>
      <c r="EW34" s="408">
        <f t="shared" si="169"/>
        <v>0.63316727802783968</v>
      </c>
      <c r="EX34" s="408">
        <f t="shared" si="169"/>
        <v>0.63178083071194713</v>
      </c>
      <c r="EY34" s="408">
        <f t="shared" si="169"/>
        <v>0.62933791972738817</v>
      </c>
      <c r="EZ34" s="408">
        <f t="shared" si="169"/>
        <v>0.62811780429286834</v>
      </c>
      <c r="FA34" s="408">
        <f t="shared" si="169"/>
        <v>0.62695803519628701</v>
      </c>
      <c r="FB34" s="408">
        <f t="shared" si="169"/>
        <v>0.62538934525442602</v>
      </c>
      <c r="FC34" s="408">
        <f t="shared" si="169"/>
        <v>0.62486659551760937</v>
      </c>
      <c r="FD34" s="408">
        <f t="shared" si="169"/>
        <v>0.62302274751072617</v>
      </c>
      <c r="FE34" s="408">
        <f t="shared" si="169"/>
        <v>0.6214091174372609</v>
      </c>
      <c r="FF34" s="408">
        <f t="shared" si="169"/>
        <v>0.61917523428998356</v>
      </c>
      <c r="FG34" s="408">
        <f t="shared" si="169"/>
        <v>0.61551662144935115</v>
      </c>
      <c r="FH34" s="408">
        <f t="shared" si="169"/>
        <v>0.60321697924314222</v>
      </c>
      <c r="FI34" s="408">
        <f t="shared" si="169"/>
        <v>0.59944043291058657</v>
      </c>
      <c r="FJ34" s="408">
        <f t="shared" si="169"/>
        <v>0.59818239742450408</v>
      </c>
      <c r="FK34" s="408">
        <f t="shared" si="169"/>
        <v>0.59593023255813948</v>
      </c>
      <c r="FL34" s="408">
        <f t="shared" si="169"/>
        <v>0.59476772533920674</v>
      </c>
      <c r="FM34" s="408">
        <f t="shared" si="169"/>
        <v>0.59265801914567873</v>
      </c>
      <c r="FN34" s="408">
        <f t="shared" si="169"/>
        <v>0.59061769110396933</v>
      </c>
      <c r="FO34" s="408">
        <f t="shared" ref="FO34:FQ34" si="170">SUM(FO31)/FO33</f>
        <v>0.5893079853035359</v>
      </c>
      <c r="FP34" s="408">
        <f t="shared" si="170"/>
        <v>0.58754870376305091</v>
      </c>
      <c r="FQ34" s="408">
        <f t="shared" si="170"/>
        <v>0.58595478108167431</v>
      </c>
      <c r="FR34" s="408">
        <f t="shared" ref="FR34:FT34" si="171">SUM(FR31)/FR33</f>
        <v>0.58416042473327356</v>
      </c>
      <c r="FS34" s="408">
        <f t="shared" si="171"/>
        <v>0.58250305002033342</v>
      </c>
      <c r="FT34" s="408">
        <f t="shared" si="171"/>
        <v>0.5803868340685443</v>
      </c>
    </row>
    <row r="35" spans="1:182" s="409" customFormat="1" ht="13.8" thickBot="1" x14ac:dyDescent="0.3">
      <c r="A35" s="406"/>
      <c r="B35" s="504" t="s">
        <v>11</v>
      </c>
      <c r="C35" s="462">
        <f t="shared" ref="C35:Q35" si="172">SUM(C32/C33)</f>
        <v>5.278381859257226E-5</v>
      </c>
      <c r="D35" s="412">
        <f t="shared" si="172"/>
        <v>5.3136190366177656E-3</v>
      </c>
      <c r="E35" s="412">
        <f t="shared" si="172"/>
        <v>6.8435469430088557E-3</v>
      </c>
      <c r="F35" s="412">
        <f t="shared" si="172"/>
        <v>7.8789985471982311E-3</v>
      </c>
      <c r="G35" s="412">
        <f t="shared" si="172"/>
        <v>9.3301869667816294E-3</v>
      </c>
      <c r="H35" s="412">
        <f t="shared" si="172"/>
        <v>1.2520696290329798E-2</v>
      </c>
      <c r="I35" s="412">
        <f t="shared" si="172"/>
        <v>1.3138274658132092E-2</v>
      </c>
      <c r="J35" s="412">
        <f t="shared" si="172"/>
        <v>1.3405119313774696E-2</v>
      </c>
      <c r="K35" s="412">
        <f t="shared" si="172"/>
        <v>1.4312514298787464E-2</v>
      </c>
      <c r="L35" s="412">
        <f t="shared" si="172"/>
        <v>1.6069641233781139E-2</v>
      </c>
      <c r="M35" s="412">
        <f t="shared" si="172"/>
        <v>1.7523020257826889E-2</v>
      </c>
      <c r="N35" s="413">
        <f t="shared" si="172"/>
        <v>1.9832252581795339E-2</v>
      </c>
      <c r="O35" s="462">
        <f t="shared" si="172"/>
        <v>2.2381353812519107E-2</v>
      </c>
      <c r="P35" s="412">
        <f t="shared" si="172"/>
        <v>2.6843265465571604E-2</v>
      </c>
      <c r="Q35" s="412">
        <f t="shared" si="172"/>
        <v>2.9746232704050194E-2</v>
      </c>
      <c r="R35" s="412">
        <f t="shared" ref="R35:W35" si="173">SUM(R32/R33)</f>
        <v>3.2112285175844059E-2</v>
      </c>
      <c r="S35" s="412">
        <f t="shared" si="173"/>
        <v>3.4961807615872212E-2</v>
      </c>
      <c r="T35" s="412">
        <f t="shared" si="173"/>
        <v>3.7758853718703626E-2</v>
      </c>
      <c r="U35" s="412">
        <f t="shared" si="173"/>
        <v>3.8432332896710136E-2</v>
      </c>
      <c r="V35" s="412">
        <f t="shared" si="173"/>
        <v>4.2853912256897331E-2</v>
      </c>
      <c r="W35" s="412">
        <f t="shared" si="173"/>
        <v>4.4770760101296443E-2</v>
      </c>
      <c r="X35" s="412">
        <f t="shared" ref="X35:AC35" si="174">SUM(X32/X33)</f>
        <v>4.5623730036650906E-2</v>
      </c>
      <c r="Y35" s="412">
        <f t="shared" si="174"/>
        <v>4.6523156710584018E-2</v>
      </c>
      <c r="Z35" s="413">
        <f t="shared" si="174"/>
        <v>4.8107202680067004E-2</v>
      </c>
      <c r="AA35" s="462">
        <f t="shared" si="174"/>
        <v>3.9329892448314641E-2</v>
      </c>
      <c r="AB35" s="412">
        <f t="shared" si="174"/>
        <v>3.9368483995100637E-2</v>
      </c>
      <c r="AC35" s="412">
        <f t="shared" si="174"/>
        <v>3.9923179887097711E-2</v>
      </c>
      <c r="AD35" s="412">
        <f t="shared" ref="AD35:AI35" si="175">SUM(AD32/AD33)</f>
        <v>4.1030831516661474E-2</v>
      </c>
      <c r="AE35" s="412">
        <f t="shared" si="175"/>
        <v>4.1638178586079586E-2</v>
      </c>
      <c r="AF35" s="412">
        <f t="shared" si="175"/>
        <v>4.3491069061343125E-2</v>
      </c>
      <c r="AG35" s="412">
        <f t="shared" si="175"/>
        <v>4.5068085988802103E-2</v>
      </c>
      <c r="AH35" s="412">
        <f t="shared" si="175"/>
        <v>4.7386870301778496E-2</v>
      </c>
      <c r="AI35" s="412">
        <f t="shared" si="175"/>
        <v>5.0511406768148949E-2</v>
      </c>
      <c r="AJ35" s="412">
        <f t="shared" ref="AJ35:AP35" si="176">SUM(AJ32/AJ33)</f>
        <v>5.2698170425561824E-2</v>
      </c>
      <c r="AK35" s="412">
        <f t="shared" si="176"/>
        <v>5.5059838883679664E-2</v>
      </c>
      <c r="AL35" s="413">
        <f t="shared" si="176"/>
        <v>5.6906865871063736E-2</v>
      </c>
      <c r="AM35" s="462">
        <f t="shared" si="176"/>
        <v>7.1071152516171021E-2</v>
      </c>
      <c r="AN35" s="412">
        <f t="shared" si="176"/>
        <v>7.2449563015600751E-2</v>
      </c>
      <c r="AO35" s="412">
        <f t="shared" si="176"/>
        <v>7.4836065573770497E-2</v>
      </c>
      <c r="AP35" s="412">
        <f t="shared" si="176"/>
        <v>7.9915631591281927E-2</v>
      </c>
      <c r="AQ35" s="412">
        <f t="shared" ref="AQ35:AX35" si="177">SUM(AQ32/AQ33)</f>
        <v>8.4703786578610066E-2</v>
      </c>
      <c r="AR35" s="412">
        <f t="shared" si="177"/>
        <v>9.0145515631476755E-2</v>
      </c>
      <c r="AS35" s="412">
        <f t="shared" si="177"/>
        <v>9.3975376196990423E-2</v>
      </c>
      <c r="AT35" s="412">
        <f t="shared" si="177"/>
        <v>9.654104284976768E-2</v>
      </c>
      <c r="AU35" s="412">
        <f t="shared" si="177"/>
        <v>9.9820391612398487E-2</v>
      </c>
      <c r="AV35" s="412">
        <f t="shared" si="177"/>
        <v>0.1017415823519655</v>
      </c>
      <c r="AW35" s="412">
        <f t="shared" si="177"/>
        <v>0.10416019869605712</v>
      </c>
      <c r="AX35" s="413">
        <f t="shared" si="177"/>
        <v>0.10540600667408231</v>
      </c>
      <c r="AY35" s="462">
        <f t="shared" ref="AY35:BJ35" si="178">SUM(AY32/AY33)</f>
        <v>0.10805288193126242</v>
      </c>
      <c r="AZ35" s="412">
        <f t="shared" si="178"/>
        <v>0.11047834714079123</v>
      </c>
      <c r="BA35" s="412">
        <f t="shared" si="178"/>
        <v>0.11302675528863997</v>
      </c>
      <c r="BB35" s="412">
        <f t="shared" si="178"/>
        <v>0.11613281999751612</v>
      </c>
      <c r="BC35" s="412">
        <f t="shared" si="178"/>
        <v>0.12013929851626662</v>
      </c>
      <c r="BD35" s="412">
        <f t="shared" si="178"/>
        <v>0.12402402744691279</v>
      </c>
      <c r="BE35" s="412">
        <f t="shared" si="178"/>
        <v>0.12665282858748381</v>
      </c>
      <c r="BF35" s="412">
        <f t="shared" si="178"/>
        <v>0.12894002628605686</v>
      </c>
      <c r="BG35" s="412">
        <f t="shared" si="178"/>
        <v>0.13189229220426063</v>
      </c>
      <c r="BH35" s="412">
        <f t="shared" si="178"/>
        <v>0.13411335910204175</v>
      </c>
      <c r="BI35" s="412">
        <f t="shared" si="178"/>
        <v>0.13643768034999534</v>
      </c>
      <c r="BJ35" s="413">
        <f t="shared" si="178"/>
        <v>0.13785338420432403</v>
      </c>
      <c r="BK35" s="462">
        <f t="shared" ref="BK35:BP35" si="179">SUM(BK32/BK33)</f>
        <v>0.14871434428630001</v>
      </c>
      <c r="BL35" s="412">
        <f t="shared" si="179"/>
        <v>0.15191197733604486</v>
      </c>
      <c r="BM35" s="412">
        <f t="shared" si="179"/>
        <v>0.15372822792721613</v>
      </c>
      <c r="BN35" s="412">
        <f t="shared" si="179"/>
        <v>0.15576320302797328</v>
      </c>
      <c r="BO35" s="412">
        <f t="shared" si="179"/>
        <v>0.15829053340766486</v>
      </c>
      <c r="BP35" s="412">
        <f t="shared" si="179"/>
        <v>0.16168269230769231</v>
      </c>
      <c r="BQ35" s="412">
        <f t="shared" ref="BQ35:CB35" si="180">SUM(BQ32/BQ33)</f>
        <v>0.16945256477525422</v>
      </c>
      <c r="BR35" s="412">
        <f t="shared" si="180"/>
        <v>0.17319979716024342</v>
      </c>
      <c r="BS35" s="412">
        <f t="shared" si="180"/>
        <v>0.17559386973180077</v>
      </c>
      <c r="BT35" s="412">
        <f t="shared" si="180"/>
        <v>0.17894304138940986</v>
      </c>
      <c r="BU35" s="412">
        <f t="shared" si="180"/>
        <v>0.18048736485354569</v>
      </c>
      <c r="BV35" s="413">
        <f t="shared" si="180"/>
        <v>0.18298752504686186</v>
      </c>
      <c r="BW35" s="462">
        <f t="shared" si="180"/>
        <v>0.18540485120631253</v>
      </c>
      <c r="BX35" s="412">
        <f t="shared" si="180"/>
        <v>0.18681390230880418</v>
      </c>
      <c r="BY35" s="412">
        <f t="shared" si="180"/>
        <v>0.18788765130642571</v>
      </c>
      <c r="BZ35" s="412">
        <f t="shared" si="180"/>
        <v>0.18892222236778328</v>
      </c>
      <c r="CA35" s="412">
        <f t="shared" si="180"/>
        <v>0.19055128457848741</v>
      </c>
      <c r="CB35" s="412">
        <f t="shared" si="180"/>
        <v>0.19231479770921855</v>
      </c>
      <c r="CC35" s="412">
        <f t="shared" ref="CC35:CK35" si="181">SUM(CC32/CC33)</f>
        <v>0.19379074574654159</v>
      </c>
      <c r="CD35" s="412">
        <f t="shared" si="181"/>
        <v>0.19542829771947098</v>
      </c>
      <c r="CE35" s="412">
        <f t="shared" si="181"/>
        <v>0.19709120021348989</v>
      </c>
      <c r="CF35" s="412">
        <f t="shared" si="181"/>
        <v>0.19843603796283918</v>
      </c>
      <c r="CG35" s="412">
        <f t="shared" si="181"/>
        <v>0.19982547993019198</v>
      </c>
      <c r="CH35" s="413">
        <f t="shared" si="181"/>
        <v>0.20160236989160438</v>
      </c>
      <c r="CI35" s="462">
        <f t="shared" si="181"/>
        <v>0.20488912311995783</v>
      </c>
      <c r="CJ35" s="412">
        <f t="shared" si="181"/>
        <v>0.20630749014454666</v>
      </c>
      <c r="CK35" s="412">
        <f t="shared" si="181"/>
        <v>0.20713584555816109</v>
      </c>
      <c r="CL35" s="412">
        <f t="shared" ref="CL35:CQ35" si="182">SUM(CL32/CL33)</f>
        <v>0.20890705974047283</v>
      </c>
      <c r="CM35" s="412">
        <f t="shared" si="182"/>
        <v>0.2114934023924035</v>
      </c>
      <c r="CN35" s="412">
        <f t="shared" si="182"/>
        <v>0.21300571679859279</v>
      </c>
      <c r="CO35" s="412">
        <f t="shared" si="182"/>
        <v>0.21497777900460982</v>
      </c>
      <c r="CP35" s="412">
        <f t="shared" si="182"/>
        <v>0.21775500311612769</v>
      </c>
      <c r="CQ35" s="412">
        <f t="shared" si="182"/>
        <v>0.22229630246965024</v>
      </c>
      <c r="CR35" s="412">
        <f t="shared" ref="CR35:DJ35" si="183">SUM(CR32/CR33)</f>
        <v>0.22633929196354829</v>
      </c>
      <c r="CS35" s="412">
        <f t="shared" si="183"/>
        <v>0.22928242857343817</v>
      </c>
      <c r="CT35" s="413">
        <f t="shared" si="183"/>
        <v>0.23158578244544198</v>
      </c>
      <c r="CU35" s="412">
        <f t="shared" si="183"/>
        <v>0.23323875727053484</v>
      </c>
      <c r="CV35" s="412">
        <f t="shared" si="183"/>
        <v>0.23545323822947364</v>
      </c>
      <c r="CW35" s="412">
        <f t="shared" si="183"/>
        <v>0.23811837329599039</v>
      </c>
      <c r="CX35" s="412">
        <f t="shared" si="183"/>
        <v>0.23966004852347933</v>
      </c>
      <c r="CY35" s="412">
        <f t="shared" si="183"/>
        <v>0.24190643595026437</v>
      </c>
      <c r="CZ35" s="412">
        <f t="shared" si="183"/>
        <v>0.24584448462929476</v>
      </c>
      <c r="DA35" s="412">
        <f t="shared" si="183"/>
        <v>0.24887107781214154</v>
      </c>
      <c r="DB35" s="412">
        <f t="shared" si="183"/>
        <v>0.25117145434966093</v>
      </c>
      <c r="DC35" s="412">
        <f t="shared" si="183"/>
        <v>0.25385479424078422</v>
      </c>
      <c r="DD35" s="412">
        <f t="shared" si="183"/>
        <v>0.25722445990479675</v>
      </c>
      <c r="DE35" s="412">
        <f t="shared" si="183"/>
        <v>0.26188238058868457</v>
      </c>
      <c r="DF35" s="413">
        <f t="shared" si="183"/>
        <v>0.26510471820214143</v>
      </c>
      <c r="DG35" s="412">
        <f t="shared" si="183"/>
        <v>0.26750652760772398</v>
      </c>
      <c r="DH35" s="412">
        <f t="shared" si="183"/>
        <v>0.27092269916871281</v>
      </c>
      <c r="DI35" s="412">
        <f t="shared" si="183"/>
        <v>0.27417799991101488</v>
      </c>
      <c r="DJ35" s="412">
        <f t="shared" si="183"/>
        <v>0.27726995734308346</v>
      </c>
      <c r="DK35" s="412">
        <f t="shared" ref="DK35:FN35" si="184">SUM(DK32/DK33)</f>
        <v>0.28016856274941926</v>
      </c>
      <c r="DL35" s="412">
        <f t="shared" si="184"/>
        <v>0.28514074206740098</v>
      </c>
      <c r="DM35" s="412">
        <f t="shared" si="184"/>
        <v>0.28881708849398674</v>
      </c>
      <c r="DN35" s="412">
        <f t="shared" si="184"/>
        <v>0.29164418060802305</v>
      </c>
      <c r="DO35" s="412">
        <f t="shared" si="184"/>
        <v>0.29590961743865929</v>
      </c>
      <c r="DP35" s="412">
        <f t="shared" si="184"/>
        <v>0.29952238445028867</v>
      </c>
      <c r="DQ35" s="412">
        <f t="shared" si="184"/>
        <v>0.3025571842173076</v>
      </c>
      <c r="DR35" s="412">
        <f t="shared" si="184"/>
        <v>0.305364031224372</v>
      </c>
      <c r="DS35" s="412">
        <f t="shared" si="184"/>
        <v>0.30989904526974554</v>
      </c>
      <c r="DT35" s="412">
        <f t="shared" si="184"/>
        <v>0.31268211566919402</v>
      </c>
      <c r="DU35" s="412">
        <f t="shared" si="184"/>
        <v>0.31503058103975534</v>
      </c>
      <c r="DV35" s="415">
        <f t="shared" si="184"/>
        <v>0.3180460456780479</v>
      </c>
      <c r="DW35" s="415">
        <f t="shared" si="184"/>
        <v>0.32070866020848365</v>
      </c>
      <c r="DX35" s="415">
        <f t="shared" si="184"/>
        <v>0.32321585157608113</v>
      </c>
      <c r="DY35" s="415">
        <f t="shared" si="184"/>
        <v>0.32535028701931978</v>
      </c>
      <c r="DZ35" s="415">
        <f t="shared" si="184"/>
        <v>0.32743827971617173</v>
      </c>
      <c r="EA35" s="415">
        <f t="shared" si="184"/>
        <v>0.32983392001488671</v>
      </c>
      <c r="EB35" s="415">
        <f t="shared" si="184"/>
        <v>0.32343036978756884</v>
      </c>
      <c r="EC35" s="415">
        <f t="shared" si="184"/>
        <v>0.32473628029637069</v>
      </c>
      <c r="ED35" s="415">
        <f t="shared" si="184"/>
        <v>0.32598890477911707</v>
      </c>
      <c r="EE35" s="415">
        <f t="shared" si="184"/>
        <v>0.33555711064458438</v>
      </c>
      <c r="EF35" s="415">
        <f t="shared" si="184"/>
        <v>0.33779993767528826</v>
      </c>
      <c r="EG35" s="415">
        <f t="shared" si="184"/>
        <v>0.33958261846086657</v>
      </c>
      <c r="EH35" s="415">
        <f t="shared" si="184"/>
        <v>0.34299282958149124</v>
      </c>
      <c r="EI35" s="415">
        <f t="shared" si="184"/>
        <v>0.34550689261293399</v>
      </c>
      <c r="EJ35" s="415">
        <f t="shared" si="184"/>
        <v>0.34758804612126443</v>
      </c>
      <c r="EK35" s="415">
        <f t="shared" si="184"/>
        <v>0.34897577386847772</v>
      </c>
      <c r="EL35" s="415">
        <f t="shared" si="184"/>
        <v>0.35031967497086708</v>
      </c>
      <c r="EM35" s="415">
        <f t="shared" si="184"/>
        <v>0.35177116878196629</v>
      </c>
      <c r="EN35" s="415">
        <f t="shared" si="184"/>
        <v>0.35357797585182377</v>
      </c>
      <c r="EO35" s="415">
        <f t="shared" si="184"/>
        <v>0.35548735148475691</v>
      </c>
      <c r="EP35" s="415">
        <f t="shared" si="184"/>
        <v>0.35693463037485346</v>
      </c>
      <c r="EQ35" s="415">
        <f t="shared" si="184"/>
        <v>0.35801213815893995</v>
      </c>
      <c r="ER35" s="415">
        <f t="shared" si="184"/>
        <v>0.35957057654075547</v>
      </c>
      <c r="ES35" s="415">
        <f t="shared" si="184"/>
        <v>0.36055180323690583</v>
      </c>
      <c r="ET35" s="415">
        <f t="shared" si="184"/>
        <v>0.36196798748862963</v>
      </c>
      <c r="EU35" s="415">
        <f t="shared" si="184"/>
        <v>0.36290914897014209</v>
      </c>
      <c r="EV35" s="415">
        <f t="shared" si="184"/>
        <v>0.36457384047196506</v>
      </c>
      <c r="EW35" s="415">
        <f t="shared" si="184"/>
        <v>0.36683272197216038</v>
      </c>
      <c r="EX35" s="415">
        <f t="shared" si="184"/>
        <v>0.36821916928805287</v>
      </c>
      <c r="EY35" s="415">
        <f t="shared" si="184"/>
        <v>0.37066208027261183</v>
      </c>
      <c r="EZ35" s="415">
        <f t="shared" si="184"/>
        <v>0.37188219570713171</v>
      </c>
      <c r="FA35" s="415">
        <f t="shared" si="184"/>
        <v>0.37304196480371299</v>
      </c>
      <c r="FB35" s="415">
        <f t="shared" si="184"/>
        <v>0.37461065474557398</v>
      </c>
      <c r="FC35" s="415">
        <f t="shared" si="184"/>
        <v>0.37513340448239063</v>
      </c>
      <c r="FD35" s="415">
        <f t="shared" si="184"/>
        <v>0.37697725248927388</v>
      </c>
      <c r="FE35" s="415">
        <f t="shared" si="184"/>
        <v>0.3785908825627391</v>
      </c>
      <c r="FF35" s="415">
        <f t="shared" si="184"/>
        <v>0.38082476571001639</v>
      </c>
      <c r="FG35" s="415">
        <f t="shared" si="184"/>
        <v>0.38448337855064885</v>
      </c>
      <c r="FH35" s="415">
        <f t="shared" si="184"/>
        <v>0.39678302075685778</v>
      </c>
      <c r="FI35" s="415">
        <f t="shared" si="184"/>
        <v>0.40055956708941348</v>
      </c>
      <c r="FJ35" s="415">
        <f t="shared" si="184"/>
        <v>0.40181760257549592</v>
      </c>
      <c r="FK35" s="415">
        <f t="shared" si="184"/>
        <v>0.40406976744186046</v>
      </c>
      <c r="FL35" s="415">
        <f t="shared" si="184"/>
        <v>0.40523227466079326</v>
      </c>
      <c r="FM35" s="415">
        <f t="shared" si="184"/>
        <v>0.40734198085432122</v>
      </c>
      <c r="FN35" s="415">
        <f t="shared" si="184"/>
        <v>0.40938230889603067</v>
      </c>
      <c r="FO35" s="415">
        <f t="shared" ref="FO35:FQ35" si="185">SUM(FO32/FO33)</f>
        <v>0.4106920146964641</v>
      </c>
      <c r="FP35" s="415">
        <f t="shared" si="185"/>
        <v>0.41245129623694909</v>
      </c>
      <c r="FQ35" s="415">
        <f t="shared" si="185"/>
        <v>0.41404521891832563</v>
      </c>
      <c r="FR35" s="415">
        <f t="shared" ref="FR35:FT35" si="186">SUM(FR32/FR33)</f>
        <v>0.41583957526672644</v>
      </c>
      <c r="FS35" s="415">
        <f t="shared" si="186"/>
        <v>0.41749694997966652</v>
      </c>
      <c r="FT35" s="415">
        <f t="shared" si="186"/>
        <v>0.4196131659314557</v>
      </c>
    </row>
    <row r="36" spans="1:182" s="387" customFormat="1" x14ac:dyDescent="0.25">
      <c r="A36" s="348"/>
      <c r="B36" s="502"/>
      <c r="C36" s="505"/>
      <c r="O36" s="505"/>
      <c r="AA36" s="505"/>
      <c r="AM36" s="505"/>
      <c r="AY36" s="505"/>
      <c r="BK36" s="505"/>
      <c r="BW36" s="506"/>
      <c r="CH36" s="454"/>
      <c r="CI36" s="507"/>
      <c r="CT36" s="454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8"/>
      <c r="DT36" s="388"/>
      <c r="DV36" s="389"/>
      <c r="DW36" s="389"/>
      <c r="DX36" s="389"/>
      <c r="DZ36" s="388"/>
      <c r="EE36" s="388"/>
    </row>
    <row r="37" spans="1:182" s="68" customFormat="1" x14ac:dyDescent="0.25">
      <c r="B37" s="108" t="s">
        <v>57</v>
      </c>
      <c r="C37" s="71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89"/>
      <c r="O37" s="71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89"/>
      <c r="AA37" s="71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89"/>
      <c r="AM37" s="71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89"/>
      <c r="AY37" s="71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89"/>
      <c r="BK37" s="71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201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89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T37" s="297"/>
      <c r="DV37" s="351"/>
      <c r="DW37" s="351"/>
      <c r="DX37" s="351"/>
      <c r="DZ37" s="297"/>
      <c r="EE37" s="297"/>
    </row>
    <row r="38" spans="1:182" s="68" customFormat="1" x14ac:dyDescent="0.25">
      <c r="B38" s="87" t="s">
        <v>1</v>
      </c>
      <c r="C38" s="71">
        <f>SUM(C8,C16,C24,C31)</f>
        <v>2312746</v>
      </c>
      <c r="D38" s="69">
        <f t="shared" ref="D38:N38" si="187">SUM(D8,D16,D24,D31)</f>
        <v>2312746</v>
      </c>
      <c r="E38" s="69">
        <f t="shared" si="187"/>
        <v>2727076</v>
      </c>
      <c r="F38" s="69">
        <f t="shared" si="187"/>
        <v>2732970</v>
      </c>
      <c r="G38" s="69">
        <f t="shared" si="187"/>
        <v>2708151</v>
      </c>
      <c r="H38" s="69">
        <f t="shared" si="187"/>
        <v>2765076</v>
      </c>
      <c r="I38" s="69">
        <f t="shared" si="187"/>
        <v>2743376</v>
      </c>
      <c r="J38" s="69">
        <f t="shared" si="187"/>
        <v>2715768</v>
      </c>
      <c r="K38" s="69">
        <f t="shared" si="187"/>
        <v>2708030</v>
      </c>
      <c r="L38" s="69">
        <f t="shared" si="187"/>
        <v>2712302</v>
      </c>
      <c r="M38" s="69">
        <f t="shared" si="187"/>
        <v>2703656</v>
      </c>
      <c r="N38" s="69">
        <f t="shared" si="187"/>
        <v>2695728</v>
      </c>
      <c r="O38" s="71">
        <f t="shared" ref="O38:Q39" si="188">SUM(O8,O16,O24,O31)</f>
        <v>2695128</v>
      </c>
      <c r="P38" s="69">
        <f t="shared" si="188"/>
        <v>2684551</v>
      </c>
      <c r="Q38" s="69">
        <f t="shared" si="188"/>
        <v>2667950</v>
      </c>
      <c r="R38" s="69">
        <f t="shared" ref="R38:T39" si="189">SUM(R8,R16,R24,R31)</f>
        <v>2646769</v>
      </c>
      <c r="S38" s="69">
        <f t="shared" si="189"/>
        <v>2635575</v>
      </c>
      <c r="T38" s="69">
        <f t="shared" si="189"/>
        <v>2611859</v>
      </c>
      <c r="U38" s="69">
        <f t="shared" ref="U38:W39" si="190">SUM(U8,U16,U24,U31)</f>
        <v>2598752</v>
      </c>
      <c r="V38" s="69">
        <f t="shared" si="190"/>
        <v>2587250</v>
      </c>
      <c r="W38" s="69">
        <f t="shared" si="190"/>
        <v>2565536</v>
      </c>
      <c r="X38" s="69">
        <f t="shared" ref="X38:Z39" si="191">SUM(X8,X16,X24,X31)</f>
        <v>2545686</v>
      </c>
      <c r="Y38" s="69">
        <f t="shared" si="191"/>
        <v>2534564</v>
      </c>
      <c r="Z38" s="69">
        <f t="shared" si="191"/>
        <v>2525774</v>
      </c>
      <c r="AA38" s="71">
        <f t="shared" ref="AA38:AC39" si="192">SUM(AA8,AA16,AA24,AA31)</f>
        <v>2532369</v>
      </c>
      <c r="AB38" s="69">
        <f t="shared" si="192"/>
        <v>2529718</v>
      </c>
      <c r="AC38" s="69">
        <f t="shared" si="192"/>
        <v>2526708</v>
      </c>
      <c r="AD38" s="69">
        <f t="shared" ref="AD38:AF39" si="193">SUM(AD8,AD16,AD24,AD31)</f>
        <v>2525264</v>
      </c>
      <c r="AE38" s="69">
        <f t="shared" si="193"/>
        <v>2519199</v>
      </c>
      <c r="AF38" s="69">
        <f t="shared" si="193"/>
        <v>2510510</v>
      </c>
      <c r="AG38" s="69">
        <f t="shared" ref="AG38:AI39" si="194">SUM(AG8,AG16,AG24,AG31)</f>
        <v>2492157</v>
      </c>
      <c r="AH38" s="69">
        <f t="shared" si="194"/>
        <v>2480530</v>
      </c>
      <c r="AI38" s="69">
        <f t="shared" si="194"/>
        <v>2458928</v>
      </c>
      <c r="AJ38" s="69">
        <f t="shared" ref="AJ38:AL39" si="195">SUM(AJ8,AJ16,AJ24,AJ31)</f>
        <v>2440546</v>
      </c>
      <c r="AK38" s="69">
        <f t="shared" si="195"/>
        <v>2422722</v>
      </c>
      <c r="AL38" s="69">
        <f t="shared" si="195"/>
        <v>2408578</v>
      </c>
      <c r="AM38" s="71">
        <f t="shared" ref="AM38:AP39" si="196">SUM(AM8,AM16,AM24,AM31)</f>
        <v>2385088</v>
      </c>
      <c r="AN38" s="69">
        <f t="shared" si="196"/>
        <v>2373892</v>
      </c>
      <c r="AO38" s="69">
        <f t="shared" si="196"/>
        <v>2359743</v>
      </c>
      <c r="AP38" s="69">
        <f t="shared" si="196"/>
        <v>2340170</v>
      </c>
      <c r="AQ38" s="69">
        <f t="shared" ref="AQ38:AU39" si="197">SUM(AQ8,AQ16,AQ24,AQ31)</f>
        <v>2316238</v>
      </c>
      <c r="AR38" s="69">
        <f t="shared" si="197"/>
        <v>2283551</v>
      </c>
      <c r="AS38" s="69">
        <f t="shared" si="197"/>
        <v>2258909</v>
      </c>
      <c r="AT38" s="69">
        <f t="shared" si="197"/>
        <v>2235154</v>
      </c>
      <c r="AU38" s="69">
        <f t="shared" si="197"/>
        <v>2212070</v>
      </c>
      <c r="AV38" s="69">
        <f t="shared" ref="AV38:AX39" si="198">SUM(AV8,AV16,AV24,AV31)</f>
        <v>2195552</v>
      </c>
      <c r="AW38" s="69">
        <f t="shared" si="198"/>
        <v>2179137</v>
      </c>
      <c r="AX38" s="69">
        <f t="shared" si="198"/>
        <v>2169713</v>
      </c>
      <c r="AY38" s="71">
        <f t="shared" ref="AY38:BA39" si="199">SUM(AY8,AY16,AY24,AY31)</f>
        <v>2160741</v>
      </c>
      <c r="AZ38" s="69">
        <f t="shared" si="199"/>
        <v>2152945</v>
      </c>
      <c r="BA38" s="69">
        <f t="shared" si="199"/>
        <v>2141934</v>
      </c>
      <c r="BB38" s="69">
        <f t="shared" ref="BB38:BD39" si="200">SUM(BB8,BB16,BB24,BB31)</f>
        <v>2128948</v>
      </c>
      <c r="BC38" s="69">
        <f t="shared" si="200"/>
        <v>2115541</v>
      </c>
      <c r="BD38" s="69">
        <f t="shared" si="200"/>
        <v>2099857</v>
      </c>
      <c r="BE38" s="69">
        <f t="shared" ref="BE38:BG39" si="201">SUM(BE8,BE16,BE24,BE31)</f>
        <v>2085704</v>
      </c>
      <c r="BF38" s="69">
        <f t="shared" si="201"/>
        <v>2067206</v>
      </c>
      <c r="BG38" s="69">
        <f t="shared" si="201"/>
        <v>2044270</v>
      </c>
      <c r="BH38" s="69">
        <f t="shared" ref="BH38:BJ39" si="202">SUM(BH8,BH16,BH24,BH31)</f>
        <v>2021839</v>
      </c>
      <c r="BI38" s="69">
        <f t="shared" si="202"/>
        <v>2001087</v>
      </c>
      <c r="BJ38" s="69">
        <f t="shared" si="202"/>
        <v>1987267</v>
      </c>
      <c r="BK38" s="71">
        <f t="shared" ref="BK38:BM39" si="203">SUM(BK8,BK16,BK24,BK31)</f>
        <v>1973628</v>
      </c>
      <c r="BL38" s="69">
        <f t="shared" si="203"/>
        <v>1961964</v>
      </c>
      <c r="BM38" s="69">
        <f t="shared" si="203"/>
        <v>1945167</v>
      </c>
      <c r="BN38" s="69">
        <f t="shared" ref="BN38:BP39" si="204">SUM(BN8,BN16,BN24,BN31)</f>
        <v>1927454</v>
      </c>
      <c r="BO38" s="69">
        <f t="shared" si="204"/>
        <v>1912779</v>
      </c>
      <c r="BP38" s="69">
        <f t="shared" si="204"/>
        <v>1902439</v>
      </c>
      <c r="BQ38" s="69">
        <f t="shared" ref="BQ38:BS39" si="205">SUM(BQ8,BQ16,BQ24,BQ31)</f>
        <v>1893109</v>
      </c>
      <c r="BR38" s="69">
        <f t="shared" si="205"/>
        <v>1886507</v>
      </c>
      <c r="BS38" s="69">
        <f t="shared" si="205"/>
        <v>1881998</v>
      </c>
      <c r="BT38" s="69">
        <f t="shared" ref="BT38:CB39" si="206">SUM(BT8,BT16,BT24,BT31)</f>
        <v>1877434</v>
      </c>
      <c r="BU38" s="69">
        <f t="shared" si="206"/>
        <v>1874083</v>
      </c>
      <c r="BV38" s="69">
        <f t="shared" si="206"/>
        <v>1869455</v>
      </c>
      <c r="BW38" s="201">
        <f t="shared" si="206"/>
        <v>1867396</v>
      </c>
      <c r="BX38" s="69">
        <f t="shared" si="206"/>
        <v>1862632</v>
      </c>
      <c r="BY38" s="69">
        <f t="shared" si="206"/>
        <v>1859461</v>
      </c>
      <c r="BZ38" s="69">
        <f t="shared" si="206"/>
        <v>1853444</v>
      </c>
      <c r="CA38" s="69">
        <f t="shared" si="206"/>
        <v>1851936</v>
      </c>
      <c r="CB38" s="69">
        <f t="shared" si="206"/>
        <v>1849195</v>
      </c>
      <c r="CC38" s="69">
        <f t="shared" ref="CC38:CK38" si="207">SUM(CC8,CC16,CC24,CC31)</f>
        <v>1846298</v>
      </c>
      <c r="CD38" s="69">
        <f t="shared" si="207"/>
        <v>1847556</v>
      </c>
      <c r="CE38" s="69">
        <f t="shared" si="207"/>
        <v>1848436</v>
      </c>
      <c r="CF38" s="69">
        <f t="shared" si="207"/>
        <v>1847387</v>
      </c>
      <c r="CG38" s="69">
        <f t="shared" si="207"/>
        <v>1845903</v>
      </c>
      <c r="CH38" s="89">
        <f t="shared" si="207"/>
        <v>1843450</v>
      </c>
      <c r="CI38" s="71">
        <f t="shared" si="207"/>
        <v>1839767</v>
      </c>
      <c r="CJ38" s="69">
        <f t="shared" si="207"/>
        <v>1839656</v>
      </c>
      <c r="CK38" s="69">
        <f t="shared" si="207"/>
        <v>1842007</v>
      </c>
      <c r="CL38" s="69">
        <f t="shared" ref="CL38:CQ38" si="208">SUM(CL8,CL16,CL24,CL31)</f>
        <v>1840489</v>
      </c>
      <c r="CM38" s="69">
        <f t="shared" si="208"/>
        <v>1835175</v>
      </c>
      <c r="CN38" s="69">
        <f t="shared" si="208"/>
        <v>1830548</v>
      </c>
      <c r="CO38" s="69">
        <f t="shared" si="208"/>
        <v>1821734</v>
      </c>
      <c r="CP38" s="69">
        <f t="shared" si="208"/>
        <v>1810479</v>
      </c>
      <c r="CQ38" s="69">
        <f t="shared" si="208"/>
        <v>1793877</v>
      </c>
      <c r="CR38" s="69">
        <f t="shared" ref="CR38:DO38" si="209">SUM(CR8,CR16,CR24,CR31)</f>
        <v>1781689</v>
      </c>
      <c r="CS38" s="69">
        <f t="shared" si="209"/>
        <v>1772072</v>
      </c>
      <c r="CT38" s="89">
        <f t="shared" si="209"/>
        <v>1763359</v>
      </c>
      <c r="CU38" s="69">
        <f t="shared" si="209"/>
        <v>1757549</v>
      </c>
      <c r="CV38" s="69">
        <f t="shared" si="209"/>
        <v>1748281</v>
      </c>
      <c r="CW38" s="69">
        <f t="shared" si="209"/>
        <v>1738155</v>
      </c>
      <c r="CX38" s="69">
        <f t="shared" si="209"/>
        <v>1729938</v>
      </c>
      <c r="CY38" s="69">
        <f t="shared" si="209"/>
        <v>1721078</v>
      </c>
      <c r="CZ38" s="69">
        <f t="shared" si="209"/>
        <v>1710592</v>
      </c>
      <c r="DA38" s="69">
        <f t="shared" si="209"/>
        <v>1698272</v>
      </c>
      <c r="DB38" s="69">
        <f t="shared" si="209"/>
        <v>1685671</v>
      </c>
      <c r="DC38" s="69">
        <f t="shared" si="209"/>
        <v>1670605</v>
      </c>
      <c r="DD38" s="69">
        <f t="shared" si="209"/>
        <v>1655099</v>
      </c>
      <c r="DE38" s="69">
        <f t="shared" si="209"/>
        <v>1642722</v>
      </c>
      <c r="DF38" s="89">
        <f t="shared" si="209"/>
        <v>1631632</v>
      </c>
      <c r="DG38" s="69">
        <f t="shared" si="209"/>
        <v>1622367</v>
      </c>
      <c r="DH38" s="69">
        <f t="shared" si="209"/>
        <v>1610357</v>
      </c>
      <c r="DI38" s="322">
        <f t="shared" si="209"/>
        <v>1597317</v>
      </c>
      <c r="DJ38" s="69">
        <f t="shared" si="209"/>
        <v>1584274</v>
      </c>
      <c r="DK38" s="69">
        <f t="shared" si="209"/>
        <v>1573212</v>
      </c>
      <c r="DL38" s="69">
        <f t="shared" si="209"/>
        <v>1560928</v>
      </c>
      <c r="DM38" s="69">
        <f t="shared" si="209"/>
        <v>1533442</v>
      </c>
      <c r="DN38" s="69">
        <f t="shared" si="209"/>
        <v>1531135</v>
      </c>
      <c r="DO38" s="69">
        <f t="shared" si="209"/>
        <v>1516815</v>
      </c>
      <c r="DP38" s="68">
        <v>1503508</v>
      </c>
      <c r="DQ38" s="68">
        <v>1493828</v>
      </c>
      <c r="DR38" s="68">
        <v>1485688</v>
      </c>
      <c r="DS38" s="68">
        <v>1476581</v>
      </c>
      <c r="DT38" s="297">
        <v>1468709</v>
      </c>
      <c r="DU38" s="68">
        <v>1461110</v>
      </c>
      <c r="DV38" s="351">
        <v>1451206</v>
      </c>
      <c r="DW38" s="351">
        <v>1445539</v>
      </c>
      <c r="DX38" s="351">
        <v>1438244</v>
      </c>
      <c r="DY38" s="68">
        <v>1431718</v>
      </c>
      <c r="DZ38" s="297">
        <v>1424776</v>
      </c>
      <c r="EA38" s="68">
        <v>1417952</v>
      </c>
      <c r="EB38" s="68">
        <v>1412183</v>
      </c>
      <c r="EC38" s="68">
        <v>1406974</v>
      </c>
      <c r="ED38" s="68">
        <v>1404119</v>
      </c>
      <c r="EE38" s="359">
        <f t="shared" ref="EE38:ET39" si="210">SUM(EE8,EE16,EE24,EE31)</f>
        <v>1399964</v>
      </c>
      <c r="EF38" s="359">
        <f t="shared" si="210"/>
        <v>1395232</v>
      </c>
      <c r="EG38" s="359">
        <f t="shared" si="210"/>
        <v>1389174</v>
      </c>
      <c r="EH38" s="359">
        <f t="shared" si="210"/>
        <v>1382403</v>
      </c>
      <c r="EI38" s="359">
        <f t="shared" si="210"/>
        <v>1377702</v>
      </c>
      <c r="EJ38" s="359">
        <f t="shared" si="210"/>
        <v>1372860</v>
      </c>
      <c r="EK38" s="359">
        <f t="shared" si="210"/>
        <v>1366500</v>
      </c>
      <c r="EL38" s="359">
        <f t="shared" si="210"/>
        <v>1362100</v>
      </c>
      <c r="EM38" s="359">
        <f t="shared" si="210"/>
        <v>1357792</v>
      </c>
      <c r="EN38" s="359">
        <f t="shared" si="210"/>
        <v>1352615</v>
      </c>
      <c r="EO38" s="359">
        <f t="shared" si="210"/>
        <v>1348163</v>
      </c>
      <c r="EP38" s="359">
        <f t="shared" si="210"/>
        <v>1345769</v>
      </c>
      <c r="EQ38" s="359">
        <f t="shared" si="210"/>
        <v>1343084</v>
      </c>
      <c r="ER38" s="359">
        <f t="shared" si="210"/>
        <v>1337578</v>
      </c>
      <c r="ES38" s="359">
        <f t="shared" si="210"/>
        <v>1331891</v>
      </c>
      <c r="ET38" s="359">
        <f t="shared" si="210"/>
        <v>1327916</v>
      </c>
      <c r="EU38" s="359">
        <f t="shared" ref="EU38:FJ39" si="211">SUM(EU8,EU16,EU24,EU31)</f>
        <v>1325211</v>
      </c>
      <c r="EV38" s="359">
        <f t="shared" si="211"/>
        <v>1320985</v>
      </c>
      <c r="EW38" s="359">
        <f t="shared" si="211"/>
        <v>1315363</v>
      </c>
      <c r="EX38" s="359">
        <f t="shared" si="211"/>
        <v>1308964</v>
      </c>
      <c r="EY38" s="359">
        <f t="shared" si="211"/>
        <v>1304009</v>
      </c>
      <c r="EZ38" s="359">
        <f t="shared" si="211"/>
        <v>1300419</v>
      </c>
      <c r="FA38" s="359">
        <f t="shared" si="211"/>
        <v>1297231</v>
      </c>
      <c r="FB38" s="359">
        <f t="shared" si="211"/>
        <v>1294279</v>
      </c>
      <c r="FC38" s="359">
        <f t="shared" si="211"/>
        <v>1293167</v>
      </c>
      <c r="FD38" s="359">
        <f t="shared" si="211"/>
        <v>1294816</v>
      </c>
      <c r="FE38" s="359">
        <f t="shared" si="211"/>
        <v>1292721</v>
      </c>
      <c r="FF38" s="359">
        <f t="shared" si="211"/>
        <v>1288673</v>
      </c>
      <c r="FG38" s="359">
        <f t="shared" si="211"/>
        <v>1284544</v>
      </c>
      <c r="FH38" s="359">
        <f t="shared" si="211"/>
        <v>1279350</v>
      </c>
      <c r="FI38" s="359">
        <f t="shared" si="211"/>
        <v>1276070</v>
      </c>
      <c r="FJ38" s="359">
        <f t="shared" si="211"/>
        <v>1272702</v>
      </c>
      <c r="FK38" s="359">
        <f>SUM(FK8,FK16,FK24,FK31)</f>
        <v>1268464</v>
      </c>
      <c r="FL38" s="359">
        <f t="shared" ref="FL38:FT38" si="212">SUM(FL8,FL16,FL24,FL31)</f>
        <v>1263766</v>
      </c>
      <c r="FM38" s="359">
        <f t="shared" si="212"/>
        <v>1260200</v>
      </c>
      <c r="FN38" s="359">
        <f t="shared" si="212"/>
        <v>1257554</v>
      </c>
      <c r="FO38" s="359">
        <f t="shared" si="212"/>
        <v>1254401</v>
      </c>
      <c r="FP38" s="359">
        <f t="shared" si="212"/>
        <v>1245706</v>
      </c>
      <c r="FQ38" s="359">
        <f t="shared" si="212"/>
        <v>1241156</v>
      </c>
      <c r="FR38" s="359">
        <f t="shared" si="212"/>
        <v>1238012</v>
      </c>
      <c r="FS38" s="359">
        <f t="shared" si="212"/>
        <v>1235439</v>
      </c>
      <c r="FT38" s="359">
        <f t="shared" si="212"/>
        <v>1232311</v>
      </c>
    </row>
    <row r="39" spans="1:182" s="68" customFormat="1" ht="13.8" thickBot="1" x14ac:dyDescent="0.3">
      <c r="B39" s="90" t="s">
        <v>8</v>
      </c>
      <c r="C39" s="72">
        <f>SUM(C9,C17,C25,C32)</f>
        <v>39332</v>
      </c>
      <c r="D39" s="92">
        <f t="shared" ref="D39:N39" si="213">SUM(D9,D17,D25,D32)</f>
        <v>55518</v>
      </c>
      <c r="E39" s="92">
        <f t="shared" si="213"/>
        <v>67104</v>
      </c>
      <c r="F39" s="92">
        <f t="shared" si="213"/>
        <v>71893</v>
      </c>
      <c r="G39" s="92">
        <f t="shared" si="213"/>
        <v>85852</v>
      </c>
      <c r="H39" s="92">
        <f t="shared" si="213"/>
        <v>107520</v>
      </c>
      <c r="I39" s="92">
        <f t="shared" si="213"/>
        <v>91531</v>
      </c>
      <c r="J39" s="92">
        <f t="shared" si="213"/>
        <v>173765</v>
      </c>
      <c r="K39" s="92">
        <f t="shared" si="213"/>
        <v>182530</v>
      </c>
      <c r="L39" s="92">
        <f t="shared" si="213"/>
        <v>190847</v>
      </c>
      <c r="M39" s="92">
        <f t="shared" si="213"/>
        <v>201000</v>
      </c>
      <c r="N39" s="92">
        <f t="shared" si="213"/>
        <v>213523</v>
      </c>
      <c r="O39" s="72">
        <f t="shared" si="188"/>
        <v>216993</v>
      </c>
      <c r="P39" s="92">
        <f t="shared" si="188"/>
        <v>229728</v>
      </c>
      <c r="Q39" s="92">
        <f t="shared" si="188"/>
        <v>245672</v>
      </c>
      <c r="R39" s="92">
        <f t="shared" si="189"/>
        <v>262566</v>
      </c>
      <c r="S39" s="92">
        <f t="shared" si="189"/>
        <v>277196</v>
      </c>
      <c r="T39" s="92">
        <f t="shared" si="189"/>
        <v>297231</v>
      </c>
      <c r="U39" s="92">
        <f t="shared" si="190"/>
        <v>312229</v>
      </c>
      <c r="V39" s="92">
        <f t="shared" si="190"/>
        <v>329997</v>
      </c>
      <c r="W39" s="92">
        <f t="shared" si="190"/>
        <v>355206</v>
      </c>
      <c r="X39" s="92">
        <f t="shared" si="191"/>
        <v>376613</v>
      </c>
      <c r="Y39" s="92">
        <f t="shared" si="191"/>
        <v>391454</v>
      </c>
      <c r="Z39" s="92">
        <f t="shared" si="191"/>
        <v>406050</v>
      </c>
      <c r="AA39" s="72">
        <f t="shared" si="192"/>
        <v>403776</v>
      </c>
      <c r="AB39" s="92">
        <f t="shared" si="192"/>
        <v>409188</v>
      </c>
      <c r="AC39" s="92">
        <f t="shared" si="192"/>
        <v>415424</v>
      </c>
      <c r="AD39" s="92">
        <f t="shared" si="193"/>
        <v>422587</v>
      </c>
      <c r="AE39" s="92">
        <f t="shared" si="193"/>
        <v>431075</v>
      </c>
      <c r="AF39" s="92">
        <f t="shared" si="193"/>
        <v>443573</v>
      </c>
      <c r="AG39" s="92">
        <f t="shared" si="194"/>
        <v>459467</v>
      </c>
      <c r="AH39" s="92">
        <f t="shared" si="194"/>
        <v>480550</v>
      </c>
      <c r="AI39" s="92">
        <f t="shared" si="194"/>
        <v>503359</v>
      </c>
      <c r="AJ39" s="92">
        <f t="shared" si="195"/>
        <v>524970</v>
      </c>
      <c r="AK39" s="92">
        <f t="shared" si="195"/>
        <v>546250</v>
      </c>
      <c r="AL39" s="92">
        <f t="shared" si="195"/>
        <v>562177</v>
      </c>
      <c r="AM39" s="72">
        <f t="shared" si="196"/>
        <v>582279</v>
      </c>
      <c r="AN39" s="92">
        <f t="shared" si="196"/>
        <v>598392</v>
      </c>
      <c r="AO39" s="92">
        <f t="shared" si="196"/>
        <v>618582</v>
      </c>
      <c r="AP39" s="92">
        <f t="shared" si="196"/>
        <v>644021</v>
      </c>
      <c r="AQ39" s="92">
        <f t="shared" si="197"/>
        <v>672087</v>
      </c>
      <c r="AR39" s="92">
        <f t="shared" si="197"/>
        <v>709790</v>
      </c>
      <c r="AS39" s="92">
        <f t="shared" si="197"/>
        <v>739343</v>
      </c>
      <c r="AT39" s="92">
        <f t="shared" si="197"/>
        <v>765943</v>
      </c>
      <c r="AU39" s="92">
        <f t="shared" si="197"/>
        <v>794114</v>
      </c>
      <c r="AV39" s="92">
        <f t="shared" si="198"/>
        <v>812261</v>
      </c>
      <c r="AW39" s="92">
        <f t="shared" si="198"/>
        <v>829197</v>
      </c>
      <c r="AX39" s="92">
        <f t="shared" si="198"/>
        <v>840507</v>
      </c>
      <c r="AY39" s="72">
        <f t="shared" si="199"/>
        <v>853711</v>
      </c>
      <c r="AZ39" s="92">
        <f t="shared" si="199"/>
        <v>867832</v>
      </c>
      <c r="BA39" s="92">
        <f t="shared" si="199"/>
        <v>883161</v>
      </c>
      <c r="BB39" s="92">
        <f t="shared" si="200"/>
        <v>900771</v>
      </c>
      <c r="BC39" s="92">
        <f t="shared" si="200"/>
        <v>918596</v>
      </c>
      <c r="BD39" s="92">
        <f t="shared" si="200"/>
        <v>938460</v>
      </c>
      <c r="BE39" s="92">
        <f t="shared" si="201"/>
        <v>956995</v>
      </c>
      <c r="BF39" s="92">
        <f t="shared" si="201"/>
        <v>980335</v>
      </c>
      <c r="BG39" s="92">
        <f t="shared" si="201"/>
        <v>1006775</v>
      </c>
      <c r="BH39" s="92">
        <f t="shared" si="202"/>
        <v>1027366</v>
      </c>
      <c r="BI39" s="92">
        <f t="shared" si="202"/>
        <v>1049476</v>
      </c>
      <c r="BJ39" s="92">
        <f t="shared" si="202"/>
        <v>1068730</v>
      </c>
      <c r="BK39" s="72">
        <f t="shared" si="203"/>
        <v>1086401</v>
      </c>
      <c r="BL39" s="92">
        <f t="shared" si="203"/>
        <v>1103597</v>
      </c>
      <c r="BM39" s="92">
        <f t="shared" si="203"/>
        <v>1121580</v>
      </c>
      <c r="BN39" s="92">
        <f t="shared" si="204"/>
        <v>1143108</v>
      </c>
      <c r="BO39" s="92">
        <f t="shared" si="204"/>
        <v>1160644</v>
      </c>
      <c r="BP39" s="92">
        <f t="shared" si="204"/>
        <v>1174700</v>
      </c>
      <c r="BQ39" s="92">
        <f t="shared" si="205"/>
        <v>1186695</v>
      </c>
      <c r="BR39" s="92">
        <f t="shared" si="205"/>
        <v>1196667</v>
      </c>
      <c r="BS39" s="92">
        <f t="shared" si="205"/>
        <v>1204651</v>
      </c>
      <c r="BT39" s="92">
        <f t="shared" si="206"/>
        <v>1210716</v>
      </c>
      <c r="BU39" s="92">
        <f t="shared" si="206"/>
        <v>1216797</v>
      </c>
      <c r="BV39" s="92">
        <f t="shared" si="206"/>
        <v>1223326</v>
      </c>
      <c r="BW39" s="210">
        <f t="shared" si="206"/>
        <v>1228373</v>
      </c>
      <c r="BX39" s="92">
        <f t="shared" si="206"/>
        <v>1234975</v>
      </c>
      <c r="BY39" s="92">
        <f t="shared" si="206"/>
        <v>1241754</v>
      </c>
      <c r="BZ39" s="92">
        <f t="shared" si="206"/>
        <v>1248547</v>
      </c>
      <c r="CA39" s="92">
        <f t="shared" si="206"/>
        <v>1287733</v>
      </c>
      <c r="CB39" s="92">
        <f t="shared" si="206"/>
        <v>1258193</v>
      </c>
      <c r="CC39" s="92">
        <f t="shared" ref="CC39:CK39" si="214">SUM(CC9,CC17,CC25,CC32)</f>
        <v>1266729</v>
      </c>
      <c r="CD39" s="92">
        <f t="shared" si="214"/>
        <v>1269051</v>
      </c>
      <c r="CE39" s="92">
        <f t="shared" si="214"/>
        <v>1267475</v>
      </c>
      <c r="CF39" s="92">
        <f t="shared" si="214"/>
        <v>1270692</v>
      </c>
      <c r="CG39" s="92">
        <f t="shared" si="214"/>
        <v>1273941</v>
      </c>
      <c r="CH39" s="93">
        <f t="shared" si="214"/>
        <v>1278745</v>
      </c>
      <c r="CI39" s="72">
        <f t="shared" si="214"/>
        <v>1289606</v>
      </c>
      <c r="CJ39" s="92">
        <f t="shared" si="214"/>
        <v>1284486</v>
      </c>
      <c r="CK39" s="92">
        <f t="shared" si="214"/>
        <v>1286589</v>
      </c>
      <c r="CL39" s="92">
        <f t="shared" ref="CL39:CQ39" si="215">SUM(CL9,CL17,CL25,CL32)</f>
        <v>1290842</v>
      </c>
      <c r="CM39" s="92">
        <f t="shared" si="215"/>
        <v>1298153</v>
      </c>
      <c r="CN39" s="92">
        <f t="shared" si="215"/>
        <v>1306402</v>
      </c>
      <c r="CO39" s="92">
        <f t="shared" si="215"/>
        <v>1318822</v>
      </c>
      <c r="CP39" s="92">
        <f t="shared" si="215"/>
        <v>1332303</v>
      </c>
      <c r="CQ39" s="92">
        <f t="shared" si="215"/>
        <v>1347866</v>
      </c>
      <c r="CR39" s="92">
        <f t="shared" ref="CR39:DO39" si="216">SUM(CR9,CR17,CR25,CR32)</f>
        <v>1358890</v>
      </c>
      <c r="CS39" s="92">
        <f t="shared" si="216"/>
        <v>1369561</v>
      </c>
      <c r="CT39" s="93">
        <f t="shared" si="216"/>
        <v>1381223</v>
      </c>
      <c r="CU39" s="92">
        <f t="shared" si="216"/>
        <v>1389559</v>
      </c>
      <c r="CV39" s="92">
        <f t="shared" si="216"/>
        <v>1404362</v>
      </c>
      <c r="CW39" s="92">
        <f t="shared" si="216"/>
        <v>1416652</v>
      </c>
      <c r="CX39" s="92">
        <f t="shared" si="216"/>
        <v>1425276</v>
      </c>
      <c r="CY39" s="92">
        <f t="shared" si="216"/>
        <v>1436188</v>
      </c>
      <c r="CZ39" s="92">
        <f t="shared" si="216"/>
        <v>1448834</v>
      </c>
      <c r="DA39" s="92">
        <f t="shared" si="216"/>
        <v>1464159</v>
      </c>
      <c r="DB39" s="92">
        <f t="shared" si="216"/>
        <v>1481691</v>
      </c>
      <c r="DC39" s="92">
        <f t="shared" si="216"/>
        <v>1496583</v>
      </c>
      <c r="DD39" s="92">
        <f t="shared" si="216"/>
        <v>1511616</v>
      </c>
      <c r="DE39" s="92">
        <f t="shared" si="216"/>
        <v>1526271</v>
      </c>
      <c r="DF39" s="93">
        <f t="shared" si="216"/>
        <v>1539430</v>
      </c>
      <c r="DG39" s="92">
        <f t="shared" si="216"/>
        <v>1551486</v>
      </c>
      <c r="DH39" s="92">
        <f t="shared" si="216"/>
        <v>1567598</v>
      </c>
      <c r="DI39" s="276">
        <f t="shared" si="216"/>
        <v>1583933</v>
      </c>
      <c r="DJ39" s="276">
        <f t="shared" si="216"/>
        <v>1599621</v>
      </c>
      <c r="DK39" s="276">
        <f t="shared" si="216"/>
        <v>1612238</v>
      </c>
      <c r="DL39" s="276">
        <f t="shared" si="216"/>
        <v>1628154</v>
      </c>
      <c r="DM39" s="276">
        <f t="shared" si="216"/>
        <v>1645695</v>
      </c>
      <c r="DN39" s="276">
        <f t="shared" si="216"/>
        <v>1666171</v>
      </c>
      <c r="DO39" s="276">
        <f t="shared" si="216"/>
        <v>1679148</v>
      </c>
      <c r="DP39" s="92">
        <v>1692968</v>
      </c>
      <c r="DQ39" s="92">
        <v>1706203</v>
      </c>
      <c r="DR39" s="92">
        <v>1717657</v>
      </c>
      <c r="DS39" s="92">
        <v>1728875</v>
      </c>
      <c r="DT39" s="276">
        <v>1741182</v>
      </c>
      <c r="DU39" s="92">
        <v>1753314</v>
      </c>
      <c r="DV39" s="352">
        <v>1765853</v>
      </c>
      <c r="DW39" s="352">
        <v>1775571</v>
      </c>
      <c r="DX39" s="352">
        <v>1786569</v>
      </c>
      <c r="DY39" s="92">
        <v>1794859</v>
      </c>
      <c r="DZ39" s="276">
        <v>1804622</v>
      </c>
      <c r="EA39" s="92">
        <v>1814069</v>
      </c>
      <c r="EB39" s="92">
        <v>1822638</v>
      </c>
      <c r="EC39" s="92">
        <v>1831716</v>
      </c>
      <c r="ED39" s="92">
        <v>1837888</v>
      </c>
      <c r="EE39" s="352">
        <f t="shared" si="210"/>
        <v>1843775</v>
      </c>
      <c r="EF39" s="352">
        <f t="shared" si="210"/>
        <v>1853564</v>
      </c>
      <c r="EG39" s="352">
        <f t="shared" si="210"/>
        <v>1864072</v>
      </c>
      <c r="EH39" s="352">
        <f t="shared" si="210"/>
        <v>1875266</v>
      </c>
      <c r="EI39" s="352">
        <f t="shared" si="210"/>
        <v>1884392</v>
      </c>
      <c r="EJ39" s="352">
        <f t="shared" si="210"/>
        <v>1892785</v>
      </c>
      <c r="EK39" s="352">
        <f t="shared" si="210"/>
        <v>1902185</v>
      </c>
      <c r="EL39" s="352">
        <f t="shared" si="210"/>
        <v>1911617</v>
      </c>
      <c r="EM39" s="352">
        <f t="shared" si="210"/>
        <v>1917659</v>
      </c>
      <c r="EN39" s="352">
        <f t="shared" si="210"/>
        <v>1925627</v>
      </c>
      <c r="EO39" s="352">
        <f t="shared" si="210"/>
        <v>1933704</v>
      </c>
      <c r="EP39" s="352">
        <f t="shared" si="210"/>
        <v>1938579</v>
      </c>
      <c r="EQ39" s="352">
        <f t="shared" si="210"/>
        <v>1944284</v>
      </c>
      <c r="ER39" s="352">
        <f t="shared" si="210"/>
        <v>1954209</v>
      </c>
      <c r="ES39" s="352">
        <f t="shared" si="210"/>
        <v>1963907</v>
      </c>
      <c r="ET39" s="352">
        <f t="shared" si="210"/>
        <v>1972735</v>
      </c>
      <c r="EU39" s="352">
        <f t="shared" si="211"/>
        <v>1979922</v>
      </c>
      <c r="EV39" s="352">
        <f t="shared" si="211"/>
        <v>1987815</v>
      </c>
      <c r="EW39" s="352">
        <f t="shared" si="211"/>
        <v>1997590</v>
      </c>
      <c r="EX39" s="352">
        <f t="shared" si="211"/>
        <v>2008495</v>
      </c>
      <c r="EY39" s="352">
        <f t="shared" si="211"/>
        <v>2016789</v>
      </c>
      <c r="EZ39" s="352">
        <f t="shared" si="211"/>
        <v>2024135</v>
      </c>
      <c r="FA39" s="352">
        <f t="shared" si="211"/>
        <v>2031435</v>
      </c>
      <c r="FB39" s="352">
        <f t="shared" si="211"/>
        <v>2038102</v>
      </c>
      <c r="FC39" s="352">
        <f t="shared" si="211"/>
        <v>2042811</v>
      </c>
      <c r="FD39" s="352">
        <f t="shared" si="211"/>
        <v>2046203</v>
      </c>
      <c r="FE39" s="352">
        <f t="shared" si="211"/>
        <v>2051957</v>
      </c>
      <c r="FF39" s="352">
        <f t="shared" si="211"/>
        <v>2060618</v>
      </c>
      <c r="FG39" s="352">
        <f t="shared" si="211"/>
        <v>2068074</v>
      </c>
      <c r="FH39" s="352">
        <f t="shared" si="211"/>
        <v>2076468</v>
      </c>
      <c r="FI39" s="352">
        <f t="shared" si="211"/>
        <v>2083487</v>
      </c>
      <c r="FJ39" s="352">
        <f t="shared" si="211"/>
        <v>2091755</v>
      </c>
      <c r="FK39" s="352">
        <f>SUM(FK9,FK17,FK25,FK32)</f>
        <v>2098941</v>
      </c>
      <c r="FL39" s="352">
        <f t="shared" ref="FL39:FT39" si="217">SUM(FL9,FL17,FL25,FL32)</f>
        <v>2107765</v>
      </c>
      <c r="FM39" s="352">
        <f t="shared" si="217"/>
        <v>2114703</v>
      </c>
      <c r="FN39" s="352">
        <f t="shared" si="217"/>
        <v>2121529</v>
      </c>
      <c r="FO39" s="352">
        <f t="shared" si="217"/>
        <v>2127621</v>
      </c>
      <c r="FP39" s="352">
        <f t="shared" si="217"/>
        <v>2141533</v>
      </c>
      <c r="FQ39" s="352">
        <f t="shared" si="217"/>
        <v>2151898</v>
      </c>
      <c r="FR39" s="352">
        <f t="shared" si="217"/>
        <v>2160105</v>
      </c>
      <c r="FS39" s="352">
        <f t="shared" si="217"/>
        <v>2167393</v>
      </c>
      <c r="FT39" s="352">
        <f t="shared" si="217"/>
        <v>2174895</v>
      </c>
    </row>
    <row r="40" spans="1:182" s="68" customFormat="1" ht="13.8" thickTop="1" x14ac:dyDescent="0.25">
      <c r="B40" s="87" t="s">
        <v>9</v>
      </c>
      <c r="C40" s="106">
        <f t="shared" ref="C40:Q40" si="218">SUM(C38:C39)</f>
        <v>2352078</v>
      </c>
      <c r="D40" s="94">
        <f t="shared" si="218"/>
        <v>2368264</v>
      </c>
      <c r="E40" s="94">
        <f t="shared" si="218"/>
        <v>2794180</v>
      </c>
      <c r="F40" s="94">
        <f t="shared" si="218"/>
        <v>2804863</v>
      </c>
      <c r="G40" s="94">
        <f t="shared" si="218"/>
        <v>2794003</v>
      </c>
      <c r="H40" s="94">
        <f t="shared" si="218"/>
        <v>2872596</v>
      </c>
      <c r="I40" s="94">
        <f t="shared" si="218"/>
        <v>2834907</v>
      </c>
      <c r="J40" s="94">
        <f t="shared" si="218"/>
        <v>2889533</v>
      </c>
      <c r="K40" s="94">
        <f t="shared" si="218"/>
        <v>2890560</v>
      </c>
      <c r="L40" s="94">
        <f t="shared" si="218"/>
        <v>2903149</v>
      </c>
      <c r="M40" s="94">
        <f t="shared" si="218"/>
        <v>2904656</v>
      </c>
      <c r="N40" s="107">
        <f t="shared" si="218"/>
        <v>2909251</v>
      </c>
      <c r="O40" s="106">
        <f t="shared" si="218"/>
        <v>2912121</v>
      </c>
      <c r="P40" s="94">
        <f t="shared" si="218"/>
        <v>2914279</v>
      </c>
      <c r="Q40" s="94">
        <f t="shared" si="218"/>
        <v>2913622</v>
      </c>
      <c r="R40" s="94">
        <f t="shared" ref="R40:W40" si="219">SUM(R38:R39)</f>
        <v>2909335</v>
      </c>
      <c r="S40" s="94">
        <f t="shared" si="219"/>
        <v>2912771</v>
      </c>
      <c r="T40" s="94">
        <f t="shared" si="219"/>
        <v>2909090</v>
      </c>
      <c r="U40" s="94">
        <f t="shared" si="219"/>
        <v>2910981</v>
      </c>
      <c r="V40" s="94">
        <f t="shared" si="219"/>
        <v>2917247</v>
      </c>
      <c r="W40" s="94">
        <f t="shared" si="219"/>
        <v>2920742</v>
      </c>
      <c r="X40" s="94">
        <f t="shared" ref="X40:AC40" si="220">SUM(X38:X39)</f>
        <v>2922299</v>
      </c>
      <c r="Y40" s="94">
        <f t="shared" si="220"/>
        <v>2926018</v>
      </c>
      <c r="Z40" s="107">
        <f t="shared" si="220"/>
        <v>2931824</v>
      </c>
      <c r="AA40" s="106">
        <f t="shared" si="220"/>
        <v>2936145</v>
      </c>
      <c r="AB40" s="94">
        <f t="shared" si="220"/>
        <v>2938906</v>
      </c>
      <c r="AC40" s="94">
        <f t="shared" si="220"/>
        <v>2942132</v>
      </c>
      <c r="AD40" s="94">
        <f t="shared" ref="AD40:AI40" si="221">SUM(AD38:AD39)</f>
        <v>2947851</v>
      </c>
      <c r="AE40" s="94">
        <f t="shared" si="221"/>
        <v>2950274</v>
      </c>
      <c r="AF40" s="94">
        <f t="shared" si="221"/>
        <v>2954083</v>
      </c>
      <c r="AG40" s="94">
        <f t="shared" si="221"/>
        <v>2951624</v>
      </c>
      <c r="AH40" s="94">
        <f t="shared" si="221"/>
        <v>2961080</v>
      </c>
      <c r="AI40" s="94">
        <f t="shared" si="221"/>
        <v>2962287</v>
      </c>
      <c r="AJ40" s="94">
        <f t="shared" ref="AJ40:AP40" si="222">SUM(AJ38:AJ39)</f>
        <v>2965516</v>
      </c>
      <c r="AK40" s="94">
        <f t="shared" si="222"/>
        <v>2968972</v>
      </c>
      <c r="AL40" s="107">
        <f t="shared" si="222"/>
        <v>2970755</v>
      </c>
      <c r="AM40" s="106">
        <f t="shared" si="222"/>
        <v>2967367</v>
      </c>
      <c r="AN40" s="94">
        <f t="shared" si="222"/>
        <v>2972284</v>
      </c>
      <c r="AO40" s="94">
        <f t="shared" si="222"/>
        <v>2978325</v>
      </c>
      <c r="AP40" s="94">
        <f t="shared" si="222"/>
        <v>2984191</v>
      </c>
      <c r="AQ40" s="94">
        <f t="shared" ref="AQ40:AX40" si="223">SUM(AQ38:AQ39)</f>
        <v>2988325</v>
      </c>
      <c r="AR40" s="94">
        <f t="shared" si="223"/>
        <v>2993341</v>
      </c>
      <c r="AS40" s="94">
        <f t="shared" si="223"/>
        <v>2998252</v>
      </c>
      <c r="AT40" s="94">
        <f t="shared" si="223"/>
        <v>3001097</v>
      </c>
      <c r="AU40" s="94">
        <f t="shared" si="223"/>
        <v>3006184</v>
      </c>
      <c r="AV40" s="94">
        <f t="shared" si="223"/>
        <v>3007813</v>
      </c>
      <c r="AW40" s="94">
        <f t="shared" si="223"/>
        <v>3008334</v>
      </c>
      <c r="AX40" s="107">
        <f t="shared" si="223"/>
        <v>3010220</v>
      </c>
      <c r="AY40" s="106">
        <f t="shared" ref="AY40:BJ40" si="224">SUM(AY38:AY39)</f>
        <v>3014452</v>
      </c>
      <c r="AZ40" s="94">
        <f t="shared" si="224"/>
        <v>3020777</v>
      </c>
      <c r="BA40" s="94">
        <f t="shared" si="224"/>
        <v>3025095</v>
      </c>
      <c r="BB40" s="94">
        <f t="shared" si="224"/>
        <v>3029719</v>
      </c>
      <c r="BC40" s="94">
        <f t="shared" si="224"/>
        <v>3034137</v>
      </c>
      <c r="BD40" s="94">
        <f t="shared" si="224"/>
        <v>3038317</v>
      </c>
      <c r="BE40" s="94">
        <f t="shared" si="224"/>
        <v>3042699</v>
      </c>
      <c r="BF40" s="94">
        <f t="shared" si="224"/>
        <v>3047541</v>
      </c>
      <c r="BG40" s="94">
        <f t="shared" si="224"/>
        <v>3051045</v>
      </c>
      <c r="BH40" s="94">
        <f t="shared" si="224"/>
        <v>3049205</v>
      </c>
      <c r="BI40" s="94">
        <f t="shared" si="224"/>
        <v>3050563</v>
      </c>
      <c r="BJ40" s="107">
        <f t="shared" si="224"/>
        <v>3055997</v>
      </c>
      <c r="BK40" s="106">
        <f t="shared" ref="BK40:BP40" si="225">SUM(BK38:BK39)</f>
        <v>3060029</v>
      </c>
      <c r="BL40" s="94">
        <f t="shared" si="225"/>
        <v>3065561</v>
      </c>
      <c r="BM40" s="94">
        <f t="shared" si="225"/>
        <v>3066747</v>
      </c>
      <c r="BN40" s="94">
        <f t="shared" si="225"/>
        <v>3070562</v>
      </c>
      <c r="BO40" s="94">
        <f t="shared" si="225"/>
        <v>3073423</v>
      </c>
      <c r="BP40" s="94">
        <f t="shared" si="225"/>
        <v>3077139</v>
      </c>
      <c r="BQ40" s="94">
        <f t="shared" ref="BQ40:CB40" si="226">SUM(BQ38:BQ39)</f>
        <v>3079804</v>
      </c>
      <c r="BR40" s="94">
        <f t="shared" si="226"/>
        <v>3083174</v>
      </c>
      <c r="BS40" s="94">
        <f t="shared" si="226"/>
        <v>3086649</v>
      </c>
      <c r="BT40" s="94">
        <f t="shared" si="226"/>
        <v>3088150</v>
      </c>
      <c r="BU40" s="94">
        <f t="shared" si="226"/>
        <v>3090880</v>
      </c>
      <c r="BV40" s="107">
        <f t="shared" si="226"/>
        <v>3092781</v>
      </c>
      <c r="BW40" s="106">
        <f t="shared" si="226"/>
        <v>3095769</v>
      </c>
      <c r="BX40" s="94">
        <f t="shared" si="226"/>
        <v>3097607</v>
      </c>
      <c r="BY40" s="94">
        <f t="shared" si="226"/>
        <v>3101215</v>
      </c>
      <c r="BZ40" s="94">
        <f t="shared" si="226"/>
        <v>3101991</v>
      </c>
      <c r="CA40" s="94">
        <f t="shared" si="226"/>
        <v>3139669</v>
      </c>
      <c r="CB40" s="94">
        <f t="shared" si="226"/>
        <v>3107388</v>
      </c>
      <c r="CC40" s="94">
        <f t="shared" ref="CC40:CK40" si="227">SUM(CC38:CC39)</f>
        <v>3113027</v>
      </c>
      <c r="CD40" s="94">
        <f t="shared" si="227"/>
        <v>3116607</v>
      </c>
      <c r="CE40" s="94">
        <f t="shared" si="227"/>
        <v>3115911</v>
      </c>
      <c r="CF40" s="94">
        <f t="shared" si="227"/>
        <v>3118079</v>
      </c>
      <c r="CG40" s="94">
        <f t="shared" si="227"/>
        <v>3119844</v>
      </c>
      <c r="CH40" s="96">
        <f t="shared" si="227"/>
        <v>3122195</v>
      </c>
      <c r="CI40" s="106">
        <f t="shared" si="227"/>
        <v>3129373</v>
      </c>
      <c r="CJ40" s="94">
        <f t="shared" si="227"/>
        <v>3124142</v>
      </c>
      <c r="CK40" s="94">
        <f t="shared" si="227"/>
        <v>3128596</v>
      </c>
      <c r="CL40" s="94">
        <f t="shared" ref="CL40:CQ40" si="228">SUM(CL38:CL39)</f>
        <v>3131331</v>
      </c>
      <c r="CM40" s="94">
        <f t="shared" si="228"/>
        <v>3133328</v>
      </c>
      <c r="CN40" s="94">
        <f t="shared" si="228"/>
        <v>3136950</v>
      </c>
      <c r="CO40" s="94">
        <f t="shared" si="228"/>
        <v>3140556</v>
      </c>
      <c r="CP40" s="94">
        <f t="shared" si="228"/>
        <v>3142782</v>
      </c>
      <c r="CQ40" s="94">
        <f t="shared" si="228"/>
        <v>3141743</v>
      </c>
      <c r="CR40" s="94">
        <f t="shared" ref="CR40:DJ40" si="229">SUM(CR38:CR39)</f>
        <v>3140579</v>
      </c>
      <c r="CS40" s="94">
        <f t="shared" si="229"/>
        <v>3141633</v>
      </c>
      <c r="CT40" s="96">
        <f t="shared" si="229"/>
        <v>3144582</v>
      </c>
      <c r="CU40" s="94">
        <f t="shared" si="229"/>
        <v>3147108</v>
      </c>
      <c r="CV40" s="94">
        <f t="shared" si="229"/>
        <v>3152643</v>
      </c>
      <c r="CW40" s="94">
        <f t="shared" si="229"/>
        <v>3154807</v>
      </c>
      <c r="CX40" s="94">
        <f t="shared" si="229"/>
        <v>3155214</v>
      </c>
      <c r="CY40" s="94">
        <f t="shared" si="229"/>
        <v>3157266</v>
      </c>
      <c r="CZ40" s="94">
        <f t="shared" si="229"/>
        <v>3159426</v>
      </c>
      <c r="DA40" s="94">
        <f t="shared" si="229"/>
        <v>3162431</v>
      </c>
      <c r="DB40" s="94">
        <f t="shared" si="229"/>
        <v>3167362</v>
      </c>
      <c r="DC40" s="94">
        <f t="shared" si="229"/>
        <v>3167188</v>
      </c>
      <c r="DD40" s="94">
        <f t="shared" si="229"/>
        <v>3166715</v>
      </c>
      <c r="DE40" s="94">
        <f t="shared" si="229"/>
        <v>3168993</v>
      </c>
      <c r="DF40" s="96">
        <f t="shared" si="229"/>
        <v>3171062</v>
      </c>
      <c r="DG40" s="94">
        <f t="shared" si="229"/>
        <v>3173853</v>
      </c>
      <c r="DH40" s="94">
        <f t="shared" si="229"/>
        <v>3177955</v>
      </c>
      <c r="DI40" s="94">
        <f t="shared" si="229"/>
        <v>3181250</v>
      </c>
      <c r="DJ40" s="94">
        <f t="shared" si="229"/>
        <v>3183895</v>
      </c>
      <c r="DK40" s="94">
        <f t="shared" ref="DK40:DU40" si="230">SUM(DK38:DK39)</f>
        <v>3185450</v>
      </c>
      <c r="DL40" s="94">
        <f t="shared" si="230"/>
        <v>3189082</v>
      </c>
      <c r="DM40" s="94">
        <f t="shared" si="230"/>
        <v>3179137</v>
      </c>
      <c r="DN40" s="94">
        <f t="shared" si="230"/>
        <v>3197306</v>
      </c>
      <c r="DO40" s="94">
        <f t="shared" si="230"/>
        <v>3195963</v>
      </c>
      <c r="DP40" s="94">
        <f t="shared" si="230"/>
        <v>3196476</v>
      </c>
      <c r="DQ40" s="94">
        <f t="shared" si="230"/>
        <v>3200031</v>
      </c>
      <c r="DR40" s="94">
        <f t="shared" si="230"/>
        <v>3203345</v>
      </c>
      <c r="DS40" s="94">
        <f t="shared" si="230"/>
        <v>3205456</v>
      </c>
      <c r="DT40" s="94">
        <f t="shared" si="230"/>
        <v>3209891</v>
      </c>
      <c r="DU40" s="94">
        <f t="shared" si="230"/>
        <v>3214424</v>
      </c>
      <c r="DV40" s="358">
        <f t="shared" ref="DV40:FT40" si="231">SUM(DV38:DV39)</f>
        <v>3217059</v>
      </c>
      <c r="DW40" s="358">
        <f t="shared" si="231"/>
        <v>3221110</v>
      </c>
      <c r="DX40" s="358">
        <f t="shared" si="231"/>
        <v>3224813</v>
      </c>
      <c r="DY40" s="358">
        <f t="shared" si="231"/>
        <v>3226577</v>
      </c>
      <c r="DZ40" s="358">
        <f t="shared" si="231"/>
        <v>3229398</v>
      </c>
      <c r="EA40" s="358">
        <f t="shared" si="231"/>
        <v>3232021</v>
      </c>
      <c r="EB40" s="358">
        <f t="shared" si="231"/>
        <v>3234821</v>
      </c>
      <c r="EC40" s="358">
        <f t="shared" si="231"/>
        <v>3238690</v>
      </c>
      <c r="ED40" s="358">
        <f t="shared" si="231"/>
        <v>3242007</v>
      </c>
      <c r="EE40" s="358">
        <f t="shared" si="231"/>
        <v>3243739</v>
      </c>
      <c r="EF40" s="358">
        <f t="shared" si="231"/>
        <v>3248796</v>
      </c>
      <c r="EG40" s="358">
        <f t="shared" si="231"/>
        <v>3253246</v>
      </c>
      <c r="EH40" s="358">
        <f t="shared" si="231"/>
        <v>3257669</v>
      </c>
      <c r="EI40" s="358">
        <f t="shared" si="231"/>
        <v>3262094</v>
      </c>
      <c r="EJ40" s="358">
        <f t="shared" si="231"/>
        <v>3265645</v>
      </c>
      <c r="EK40" s="358">
        <f t="shared" si="231"/>
        <v>3268685</v>
      </c>
      <c r="EL40" s="358">
        <f t="shared" si="231"/>
        <v>3273717</v>
      </c>
      <c r="EM40" s="358">
        <f t="shared" si="231"/>
        <v>3275451</v>
      </c>
      <c r="EN40" s="358">
        <f t="shared" si="231"/>
        <v>3278242</v>
      </c>
      <c r="EO40" s="358">
        <f t="shared" si="231"/>
        <v>3281867</v>
      </c>
      <c r="EP40" s="358">
        <f t="shared" si="231"/>
        <v>3284348</v>
      </c>
      <c r="EQ40" s="358">
        <f t="shared" si="231"/>
        <v>3287368</v>
      </c>
      <c r="ER40" s="358">
        <f t="shared" si="231"/>
        <v>3291787</v>
      </c>
      <c r="ES40" s="358">
        <f t="shared" si="231"/>
        <v>3295798</v>
      </c>
      <c r="ET40" s="358">
        <f t="shared" si="231"/>
        <v>3300651</v>
      </c>
      <c r="EU40" s="358">
        <f t="shared" si="231"/>
        <v>3305133</v>
      </c>
      <c r="EV40" s="358">
        <f t="shared" si="231"/>
        <v>3308800</v>
      </c>
      <c r="EW40" s="358">
        <f t="shared" si="231"/>
        <v>3312953</v>
      </c>
      <c r="EX40" s="358">
        <f t="shared" si="231"/>
        <v>3317459</v>
      </c>
      <c r="EY40" s="358">
        <f t="shared" si="231"/>
        <v>3320798</v>
      </c>
      <c r="EZ40" s="358">
        <f t="shared" si="231"/>
        <v>3324554</v>
      </c>
      <c r="FA40" s="358">
        <f t="shared" si="231"/>
        <v>3328666</v>
      </c>
      <c r="FB40" s="358">
        <f t="shared" si="231"/>
        <v>3332381</v>
      </c>
      <c r="FC40" s="358">
        <f t="shared" si="231"/>
        <v>3335978</v>
      </c>
      <c r="FD40" s="358">
        <f t="shared" si="231"/>
        <v>3341019</v>
      </c>
      <c r="FE40" s="358">
        <f t="shared" si="231"/>
        <v>3344678</v>
      </c>
      <c r="FF40" s="358">
        <f t="shared" si="231"/>
        <v>3349291</v>
      </c>
      <c r="FG40" s="358">
        <f t="shared" si="231"/>
        <v>3352618</v>
      </c>
      <c r="FH40" s="358">
        <f t="shared" si="231"/>
        <v>3355818</v>
      </c>
      <c r="FI40" s="358">
        <f t="shared" si="231"/>
        <v>3359557</v>
      </c>
      <c r="FJ40" s="358">
        <f t="shared" si="231"/>
        <v>3364457</v>
      </c>
      <c r="FK40" s="358">
        <f t="shared" si="231"/>
        <v>3367405</v>
      </c>
      <c r="FL40" s="358">
        <f t="shared" si="231"/>
        <v>3371531</v>
      </c>
      <c r="FM40" s="358">
        <f t="shared" si="231"/>
        <v>3374903</v>
      </c>
      <c r="FN40" s="358">
        <f t="shared" si="231"/>
        <v>3379083</v>
      </c>
      <c r="FO40" s="358">
        <f t="shared" si="231"/>
        <v>3382022</v>
      </c>
      <c r="FP40" s="358">
        <f t="shared" si="231"/>
        <v>3387239</v>
      </c>
      <c r="FQ40" s="358">
        <f t="shared" si="231"/>
        <v>3393054</v>
      </c>
      <c r="FR40" s="358">
        <f t="shared" si="231"/>
        <v>3398117</v>
      </c>
      <c r="FS40" s="358">
        <f t="shared" si="231"/>
        <v>3402832</v>
      </c>
      <c r="FT40" s="358">
        <f t="shared" si="231"/>
        <v>3407206</v>
      </c>
    </row>
    <row r="41" spans="1:182" s="242" customFormat="1" x14ac:dyDescent="0.25">
      <c r="B41" s="238" t="s">
        <v>10</v>
      </c>
      <c r="C41" s="239">
        <f t="shared" ref="C41:Q41" si="232">SUM(C38)/C40</f>
        <v>0.98327776544825474</v>
      </c>
      <c r="D41" s="240">
        <f t="shared" si="232"/>
        <v>0.97655751216925135</v>
      </c>
      <c r="E41" s="240">
        <f t="shared" si="232"/>
        <v>0.97598436750674622</v>
      </c>
      <c r="F41" s="240">
        <f t="shared" si="232"/>
        <v>0.97436844508983145</v>
      </c>
      <c r="G41" s="240">
        <f t="shared" si="232"/>
        <v>0.9692727602654686</v>
      </c>
      <c r="H41" s="240">
        <f t="shared" si="232"/>
        <v>0.96257044151004878</v>
      </c>
      <c r="I41" s="240">
        <f t="shared" si="232"/>
        <v>0.96771287382619608</v>
      </c>
      <c r="J41" s="240">
        <f t="shared" si="232"/>
        <v>0.93986398494151135</v>
      </c>
      <c r="K41" s="240">
        <f t="shared" si="232"/>
        <v>0.93685306653382039</v>
      </c>
      <c r="L41" s="240">
        <f t="shared" si="232"/>
        <v>0.93426207197770417</v>
      </c>
      <c r="M41" s="240">
        <f t="shared" si="232"/>
        <v>0.93080075575214416</v>
      </c>
      <c r="N41" s="241">
        <f t="shared" si="232"/>
        <v>0.9266055077406522</v>
      </c>
      <c r="O41" s="239">
        <f t="shared" si="232"/>
        <v>0.9254862692862007</v>
      </c>
      <c r="P41" s="240">
        <f t="shared" si="232"/>
        <v>0.92117158309139247</v>
      </c>
      <c r="Q41" s="240">
        <f t="shared" si="232"/>
        <v>0.91568158120717102</v>
      </c>
      <c r="R41" s="240">
        <f t="shared" ref="R41:W41" si="233">SUM(R38)/R40</f>
        <v>0.90975050999627061</v>
      </c>
      <c r="S41" s="240">
        <f t="shared" si="233"/>
        <v>0.90483426263170019</v>
      </c>
      <c r="T41" s="240">
        <f t="shared" si="233"/>
        <v>0.89782681182087865</v>
      </c>
      <c r="U41" s="240">
        <f t="shared" si="233"/>
        <v>0.8927409694532531</v>
      </c>
      <c r="V41" s="240">
        <f t="shared" si="233"/>
        <v>0.88688067894148148</v>
      </c>
      <c r="W41" s="240">
        <f t="shared" si="233"/>
        <v>0.87838501312337758</v>
      </c>
      <c r="X41" s="240">
        <f t="shared" ref="X41:AC41" si="234">SUM(X38)/X40</f>
        <v>0.87112441266276996</v>
      </c>
      <c r="Y41" s="240">
        <f t="shared" si="234"/>
        <v>0.86621613400874498</v>
      </c>
      <c r="Z41" s="241">
        <f t="shared" si="234"/>
        <v>0.861502600428948</v>
      </c>
      <c r="AA41" s="239">
        <f t="shared" si="234"/>
        <v>0.86248090608604144</v>
      </c>
      <c r="AB41" s="240">
        <f t="shared" si="234"/>
        <v>0.86076859892762814</v>
      </c>
      <c r="AC41" s="240">
        <f t="shared" si="234"/>
        <v>0.8588017124996431</v>
      </c>
      <c r="AD41" s="240">
        <f t="shared" ref="AD41:AI41" si="235">SUM(AD38)/AD40</f>
        <v>0.85664573955739287</v>
      </c>
      <c r="AE41" s="240">
        <f t="shared" si="235"/>
        <v>0.85388645258033657</v>
      </c>
      <c r="AF41" s="240">
        <f t="shared" si="235"/>
        <v>0.84984409713606557</v>
      </c>
      <c r="AG41" s="240">
        <f t="shared" si="235"/>
        <v>0.84433416993492394</v>
      </c>
      <c r="AH41" s="240">
        <f t="shared" si="235"/>
        <v>0.83771124049333356</v>
      </c>
      <c r="AI41" s="240">
        <f t="shared" si="235"/>
        <v>0.83007757182204156</v>
      </c>
      <c r="AJ41" s="240">
        <f t="shared" ref="AJ41:AP41" si="236">SUM(AJ38)/AJ40</f>
        <v>0.82297515845471747</v>
      </c>
      <c r="AK41" s="240">
        <f t="shared" si="236"/>
        <v>0.81601375829748479</v>
      </c>
      <c r="AL41" s="241">
        <f t="shared" si="236"/>
        <v>0.81076292053703525</v>
      </c>
      <c r="AM41" s="239">
        <f t="shared" si="236"/>
        <v>0.80377250269346523</v>
      </c>
      <c r="AN41" s="240">
        <f t="shared" si="236"/>
        <v>0.79867603499531004</v>
      </c>
      <c r="AO41" s="240">
        <f t="shared" si="236"/>
        <v>0.79230540656241344</v>
      </c>
      <c r="AP41" s="240">
        <f t="shared" si="236"/>
        <v>0.78418908173102864</v>
      </c>
      <c r="AQ41" s="240">
        <f t="shared" ref="AQ41:AX41" si="237">SUM(AQ38)/AQ40</f>
        <v>0.77509574761781264</v>
      </c>
      <c r="AR41" s="240">
        <f t="shared" si="237"/>
        <v>0.76287699931280795</v>
      </c>
      <c r="AS41" s="240">
        <f t="shared" si="237"/>
        <v>0.7534086527750169</v>
      </c>
      <c r="AT41" s="240">
        <f t="shared" si="237"/>
        <v>0.74477899248174917</v>
      </c>
      <c r="AU41" s="240">
        <f t="shared" si="237"/>
        <v>0.73583985544464348</v>
      </c>
      <c r="AV41" s="240">
        <f t="shared" si="237"/>
        <v>0.72994963450187889</v>
      </c>
      <c r="AW41" s="240">
        <f t="shared" si="237"/>
        <v>0.72436670928161562</v>
      </c>
      <c r="AX41" s="241">
        <f t="shared" si="237"/>
        <v>0.72078220196530485</v>
      </c>
      <c r="AY41" s="239">
        <f t="shared" ref="AY41:BJ41" si="238">SUM(AY38)/AY40</f>
        <v>0.71679396454148214</v>
      </c>
      <c r="AZ41" s="240">
        <f t="shared" si="238"/>
        <v>0.71271232533881179</v>
      </c>
      <c r="BA41" s="240">
        <f t="shared" si="238"/>
        <v>0.70805511893014927</v>
      </c>
      <c r="BB41" s="240">
        <f t="shared" si="238"/>
        <v>0.70268826911010562</v>
      </c>
      <c r="BC41" s="240">
        <f t="shared" si="238"/>
        <v>0.69724636692410391</v>
      </c>
      <c r="BD41" s="240">
        <f t="shared" si="238"/>
        <v>0.69112505377154521</v>
      </c>
      <c r="BE41" s="240">
        <f t="shared" si="238"/>
        <v>0.68547825466797729</v>
      </c>
      <c r="BF41" s="240">
        <f t="shared" si="238"/>
        <v>0.67831934008435002</v>
      </c>
      <c r="BG41" s="240">
        <f t="shared" si="238"/>
        <v>0.67002289379540447</v>
      </c>
      <c r="BH41" s="240">
        <f t="shared" si="238"/>
        <v>0.66307086601261644</v>
      </c>
      <c r="BI41" s="240">
        <f t="shared" si="238"/>
        <v>0.65597301219479809</v>
      </c>
      <c r="BJ41" s="241">
        <f t="shared" si="238"/>
        <v>0.65028434255661904</v>
      </c>
      <c r="BK41" s="239">
        <f t="shared" ref="BK41:BP41" si="239">SUM(BK38)/BK40</f>
        <v>0.64497035812405701</v>
      </c>
      <c r="BL41" s="240">
        <f t="shared" si="239"/>
        <v>0.6400016179746546</v>
      </c>
      <c r="BM41" s="240">
        <f t="shared" si="239"/>
        <v>0.63427697165759023</v>
      </c>
      <c r="BN41" s="240">
        <f t="shared" si="239"/>
        <v>0.62772026749500576</v>
      </c>
      <c r="BO41" s="240">
        <f t="shared" si="239"/>
        <v>0.62236112634024021</v>
      </c>
      <c r="BP41" s="240">
        <f t="shared" si="239"/>
        <v>0.61824928935611945</v>
      </c>
      <c r="BQ41" s="240">
        <f t="shared" ref="BQ41:CB41" si="240">SUM(BQ38)/BQ40</f>
        <v>0.61468489553231309</v>
      </c>
      <c r="BR41" s="240">
        <f t="shared" si="240"/>
        <v>0.61187172699302728</v>
      </c>
      <c r="BS41" s="240">
        <f t="shared" si="240"/>
        <v>0.60972206428395326</v>
      </c>
      <c r="BT41" s="240">
        <f t="shared" si="240"/>
        <v>0.60794780046306041</v>
      </c>
      <c r="BU41" s="240">
        <f t="shared" si="240"/>
        <v>0.60632667719225597</v>
      </c>
      <c r="BV41" s="241">
        <f t="shared" si="240"/>
        <v>0.6044576062773277</v>
      </c>
      <c r="BW41" s="239">
        <f t="shared" si="240"/>
        <v>0.6032090895670833</v>
      </c>
      <c r="BX41" s="240">
        <f t="shared" si="240"/>
        <v>0.60131320725966853</v>
      </c>
      <c r="BY41" s="240">
        <f t="shared" si="240"/>
        <v>0.59959112799338321</v>
      </c>
      <c r="BZ41" s="240">
        <f t="shared" si="240"/>
        <v>0.59750141119042577</v>
      </c>
      <c r="CA41" s="240">
        <f t="shared" si="240"/>
        <v>0.58985071356248064</v>
      </c>
      <c r="CB41" s="240">
        <f t="shared" si="240"/>
        <v>0.59509626734736698</v>
      </c>
      <c r="CC41" s="240">
        <f t="shared" ref="CC41:CK41" si="241">SUM(CC38)/CC40</f>
        <v>0.59308769246138882</v>
      </c>
      <c r="CD41" s="240">
        <f t="shared" si="241"/>
        <v>0.59281006556168292</v>
      </c>
      <c r="CE41" s="240">
        <f t="shared" si="241"/>
        <v>0.59322490276519446</v>
      </c>
      <c r="CF41" s="240">
        <f t="shared" si="241"/>
        <v>0.59247600846546866</v>
      </c>
      <c r="CG41" s="240">
        <f t="shared" si="241"/>
        <v>0.59166516018108595</v>
      </c>
      <c r="CH41" s="241">
        <f t="shared" si="241"/>
        <v>0.59043397353464466</v>
      </c>
      <c r="CI41" s="239">
        <f t="shared" si="241"/>
        <v>0.58790275240439538</v>
      </c>
      <c r="CJ41" s="240">
        <f t="shared" si="241"/>
        <v>0.58885159509394902</v>
      </c>
      <c r="CK41" s="240">
        <f t="shared" si="241"/>
        <v>0.58876473664225104</v>
      </c>
      <c r="CL41" s="240">
        <f t="shared" ref="CL41:CQ41" si="242">SUM(CL38)/CL40</f>
        <v>0.58776571368533059</v>
      </c>
      <c r="CM41" s="240">
        <f t="shared" si="242"/>
        <v>0.58569514586407811</v>
      </c>
      <c r="CN41" s="240">
        <f t="shared" si="242"/>
        <v>0.58354388817163172</v>
      </c>
      <c r="CO41" s="240">
        <f t="shared" si="242"/>
        <v>0.58006735113145569</v>
      </c>
      <c r="CP41" s="240">
        <f t="shared" si="242"/>
        <v>0.57607527343608311</v>
      </c>
      <c r="CQ41" s="240">
        <f t="shared" si="242"/>
        <v>0.57098145838154168</v>
      </c>
      <c r="CR41" s="240">
        <f t="shared" ref="CR41:DJ41" si="243">SUM(CR38)/CR40</f>
        <v>0.56731226948916103</v>
      </c>
      <c r="CS41" s="240">
        <f t="shared" si="243"/>
        <v>0.56406079258780384</v>
      </c>
      <c r="CT41" s="241">
        <f t="shared" si="243"/>
        <v>0.56076101688555113</v>
      </c>
      <c r="CU41" s="240">
        <f t="shared" si="243"/>
        <v>0.55846478735397709</v>
      </c>
      <c r="CV41" s="240">
        <f t="shared" si="243"/>
        <v>0.55454455198384345</v>
      </c>
      <c r="CW41" s="240">
        <f t="shared" si="243"/>
        <v>0.55095446409241511</v>
      </c>
      <c r="CX41" s="240">
        <f t="shared" si="243"/>
        <v>0.54827913415698581</v>
      </c>
      <c r="CY41" s="240">
        <f t="shared" si="243"/>
        <v>0.54511656604163228</v>
      </c>
      <c r="CZ41" s="240">
        <f t="shared" si="243"/>
        <v>0.54142492971824629</v>
      </c>
      <c r="DA41" s="240">
        <f t="shared" si="243"/>
        <v>0.53701472063738309</v>
      </c>
      <c r="DB41" s="240">
        <f t="shared" si="243"/>
        <v>0.53220029791353185</v>
      </c>
      <c r="DC41" s="240">
        <f t="shared" si="243"/>
        <v>0.52747263503145381</v>
      </c>
      <c r="DD41" s="240">
        <f t="shared" si="243"/>
        <v>0.52265486474153811</v>
      </c>
      <c r="DE41" s="240">
        <f t="shared" si="243"/>
        <v>0.51837350224503498</v>
      </c>
      <c r="DF41" s="241">
        <f t="shared" si="243"/>
        <v>0.51453803173826307</v>
      </c>
      <c r="DG41" s="240">
        <f t="shared" si="243"/>
        <v>0.51116639617524817</v>
      </c>
      <c r="DH41" s="240">
        <f t="shared" si="243"/>
        <v>0.5067274395011887</v>
      </c>
      <c r="DI41" s="240">
        <f t="shared" si="243"/>
        <v>0.50210357563850683</v>
      </c>
      <c r="DJ41" s="240">
        <f t="shared" si="243"/>
        <v>0.49758990167703393</v>
      </c>
      <c r="DK41" s="240">
        <f t="shared" ref="DK41:FT41" si="244">SUM(DK38)/DK40</f>
        <v>0.49387433486634541</v>
      </c>
      <c r="DL41" s="240">
        <f t="shared" si="244"/>
        <v>0.48945997625649013</v>
      </c>
      <c r="DM41" s="240">
        <f t="shared" si="244"/>
        <v>0.48234536605374351</v>
      </c>
      <c r="DN41" s="240">
        <f t="shared" si="244"/>
        <v>0.47888284699681544</v>
      </c>
      <c r="DO41" s="240">
        <f t="shared" si="244"/>
        <v>0.47460342938888844</v>
      </c>
      <c r="DP41" s="240">
        <f t="shared" si="244"/>
        <v>0.47036423861777782</v>
      </c>
      <c r="DQ41" s="240">
        <f t="shared" si="244"/>
        <v>0.4668167277129503</v>
      </c>
      <c r="DR41" s="240">
        <f t="shared" si="244"/>
        <v>0.46379269170195531</v>
      </c>
      <c r="DS41" s="240">
        <f t="shared" si="244"/>
        <v>0.46064616079584308</v>
      </c>
      <c r="DT41" s="240">
        <f t="shared" si="244"/>
        <v>0.45755728154008968</v>
      </c>
      <c r="DU41" s="240">
        <f t="shared" si="244"/>
        <v>0.4545479998904936</v>
      </c>
      <c r="DV41" s="356">
        <f t="shared" si="244"/>
        <v>0.45109710452932322</v>
      </c>
      <c r="DW41" s="356">
        <f t="shared" si="244"/>
        <v>0.4487704549052966</v>
      </c>
      <c r="DX41" s="356">
        <f t="shared" si="244"/>
        <v>0.4459929924618885</v>
      </c>
      <c r="DY41" s="356">
        <f t="shared" si="244"/>
        <v>0.44372658703015611</v>
      </c>
      <c r="DZ41" s="356">
        <f t="shared" si="244"/>
        <v>0.44118934860305231</v>
      </c>
      <c r="EA41" s="356">
        <f t="shared" si="244"/>
        <v>0.43871992168367718</v>
      </c>
      <c r="EB41" s="356">
        <f t="shared" si="244"/>
        <v>0.43655676774696345</v>
      </c>
      <c r="EC41" s="356">
        <f t="shared" si="244"/>
        <v>0.43442688247408673</v>
      </c>
      <c r="ED41" s="356">
        <f t="shared" si="244"/>
        <v>0.43310177923736748</v>
      </c>
      <c r="EE41" s="356">
        <f t="shared" si="244"/>
        <v>0.43158959460055202</v>
      </c>
      <c r="EF41" s="356">
        <f t="shared" si="244"/>
        <v>0.42946125272254704</v>
      </c>
      <c r="EG41" s="356">
        <f t="shared" si="244"/>
        <v>0.42701166773124444</v>
      </c>
      <c r="EH41" s="356">
        <f t="shared" si="244"/>
        <v>0.42435342571636347</v>
      </c>
      <c r="EI41" s="356">
        <f t="shared" si="244"/>
        <v>0.42233669538646035</v>
      </c>
      <c r="EJ41" s="356">
        <f t="shared" si="244"/>
        <v>0.42039474590777626</v>
      </c>
      <c r="EK41" s="356">
        <f t="shared" si="244"/>
        <v>0.41805802639287665</v>
      </c>
      <c r="EL41" s="356">
        <f t="shared" si="244"/>
        <v>0.41607139529776094</v>
      </c>
      <c r="EM41" s="356">
        <f t="shared" si="244"/>
        <v>0.41453589139327685</v>
      </c>
      <c r="EN41" s="356">
        <f t="shared" si="244"/>
        <v>0.41260376750709682</v>
      </c>
      <c r="EO41" s="356">
        <f t="shared" si="244"/>
        <v>0.4107914793622045</v>
      </c>
      <c r="EP41" s="356">
        <f t="shared" si="244"/>
        <v>0.40975225524213632</v>
      </c>
      <c r="EQ41" s="356">
        <f t="shared" si="244"/>
        <v>0.40855906609786308</v>
      </c>
      <c r="ER41" s="356">
        <f t="shared" si="244"/>
        <v>0.40633795564536829</v>
      </c>
      <c r="ES41" s="356">
        <f t="shared" si="244"/>
        <v>0.40411791013891019</v>
      </c>
      <c r="ET41" s="356">
        <f t="shared" si="244"/>
        <v>0.40231942122932718</v>
      </c>
      <c r="EU41" s="356">
        <f t="shared" si="244"/>
        <v>0.40095542297390152</v>
      </c>
      <c r="EV41" s="356">
        <f t="shared" si="244"/>
        <v>0.39923386121856869</v>
      </c>
      <c r="EW41" s="356">
        <f t="shared" si="244"/>
        <v>0.3970364203778321</v>
      </c>
      <c r="EX41" s="356">
        <f t="shared" si="244"/>
        <v>0.39456825238834903</v>
      </c>
      <c r="EY41" s="282">
        <f t="shared" si="244"/>
        <v>0.39267941018996039</v>
      </c>
      <c r="EZ41" s="282">
        <f t="shared" si="244"/>
        <v>0.39115592647916081</v>
      </c>
      <c r="FA41" s="282">
        <f t="shared" si="244"/>
        <v>0.38971497891347467</v>
      </c>
      <c r="FB41" s="282">
        <f t="shared" si="244"/>
        <v>0.38839466435560638</v>
      </c>
      <c r="FC41" s="282">
        <f t="shared" si="244"/>
        <v>0.38764254440526885</v>
      </c>
      <c r="FD41" s="282">
        <f t="shared" si="244"/>
        <v>0.38755122314479507</v>
      </c>
      <c r="FE41" s="282">
        <f t="shared" si="244"/>
        <v>0.38650088289515461</v>
      </c>
      <c r="FF41" s="282">
        <f t="shared" si="244"/>
        <v>0.38475993874524489</v>
      </c>
      <c r="FG41" s="282">
        <f t="shared" si="244"/>
        <v>0.38314654398443249</v>
      </c>
      <c r="FH41" s="282">
        <f t="shared" si="244"/>
        <v>0.38123342803453586</v>
      </c>
      <c r="FI41" s="282">
        <f t="shared" si="244"/>
        <v>0.37983281724346396</v>
      </c>
      <c r="FJ41" s="282">
        <f t="shared" si="244"/>
        <v>0.37827857511628177</v>
      </c>
      <c r="FK41" s="282">
        <f t="shared" si="244"/>
        <v>0.37668887466758527</v>
      </c>
      <c r="FL41" s="282">
        <f t="shared" si="244"/>
        <v>0.37483445947849803</v>
      </c>
      <c r="FM41" s="282">
        <f t="shared" si="244"/>
        <v>0.37340332448073321</v>
      </c>
      <c r="FN41" s="282">
        <f t="shared" si="244"/>
        <v>0.37215836367440513</v>
      </c>
      <c r="FO41" s="282">
        <f t="shared" si="244"/>
        <v>0.37090267301631985</v>
      </c>
      <c r="FP41" s="282">
        <f t="shared" si="244"/>
        <v>0.36776442406337434</v>
      </c>
      <c r="FQ41" s="282">
        <f t="shared" si="244"/>
        <v>0.36579317629486591</v>
      </c>
      <c r="FR41" s="282">
        <f t="shared" si="244"/>
        <v>0.36432294709099189</v>
      </c>
      <c r="FS41" s="282">
        <f t="shared" si="244"/>
        <v>0.36306200247323406</v>
      </c>
      <c r="FT41" s="282">
        <f t="shared" si="244"/>
        <v>0.36167786743742525</v>
      </c>
    </row>
    <row r="42" spans="1:182" s="242" customFormat="1" ht="13.8" thickBot="1" x14ac:dyDescent="0.3">
      <c r="B42" s="243" t="s">
        <v>11</v>
      </c>
      <c r="C42" s="244">
        <f t="shared" ref="C42:Q42" si="245">SUM(C39/C40)</f>
        <v>1.6722234551745308E-2</v>
      </c>
      <c r="D42" s="245">
        <f t="shared" si="245"/>
        <v>2.34424878307486E-2</v>
      </c>
      <c r="E42" s="245">
        <f t="shared" si="245"/>
        <v>2.4015632493253836E-2</v>
      </c>
      <c r="F42" s="245">
        <f t="shared" si="245"/>
        <v>2.5631554910168518E-2</v>
      </c>
      <c r="G42" s="245">
        <f t="shared" si="245"/>
        <v>3.0727239734531422E-2</v>
      </c>
      <c r="H42" s="245">
        <f t="shared" si="245"/>
        <v>3.7429558489951248E-2</v>
      </c>
      <c r="I42" s="245">
        <f t="shared" si="245"/>
        <v>3.2287126173803936E-2</v>
      </c>
      <c r="J42" s="245">
        <f t="shared" si="245"/>
        <v>6.0136015058488687E-2</v>
      </c>
      <c r="K42" s="245">
        <f t="shared" si="245"/>
        <v>6.3146933466179569E-2</v>
      </c>
      <c r="L42" s="245">
        <f t="shared" si="245"/>
        <v>6.5737928022295791E-2</v>
      </c>
      <c r="M42" s="245">
        <f t="shared" si="245"/>
        <v>6.9199244247855854E-2</v>
      </c>
      <c r="N42" s="246">
        <f t="shared" si="245"/>
        <v>7.3394492259347854E-2</v>
      </c>
      <c r="O42" s="244">
        <f t="shared" si="245"/>
        <v>7.4513730713799325E-2</v>
      </c>
      <c r="P42" s="245">
        <f t="shared" si="245"/>
        <v>7.882841690860759E-2</v>
      </c>
      <c r="Q42" s="245">
        <f t="shared" si="245"/>
        <v>8.4318418792828989E-2</v>
      </c>
      <c r="R42" s="245">
        <f t="shared" ref="R42:W42" si="246">SUM(R39/R40)</f>
        <v>9.024949000372938E-2</v>
      </c>
      <c r="S42" s="245">
        <f t="shared" si="246"/>
        <v>9.5165737368299808E-2</v>
      </c>
      <c r="T42" s="245">
        <f t="shared" si="246"/>
        <v>0.1021731881791213</v>
      </c>
      <c r="U42" s="245">
        <f t="shared" si="246"/>
        <v>0.10725903054674696</v>
      </c>
      <c r="V42" s="245">
        <f t="shared" si="246"/>
        <v>0.11311932105851853</v>
      </c>
      <c r="W42" s="245">
        <f t="shared" si="246"/>
        <v>0.12161498687662245</v>
      </c>
      <c r="X42" s="245">
        <f t="shared" ref="X42:AC42" si="247">SUM(X39/X40)</f>
        <v>0.12887558733723004</v>
      </c>
      <c r="Y42" s="245">
        <f t="shared" si="247"/>
        <v>0.133783865991255</v>
      </c>
      <c r="Z42" s="246">
        <f t="shared" si="247"/>
        <v>0.138497399571052</v>
      </c>
      <c r="AA42" s="244">
        <f t="shared" si="247"/>
        <v>0.13751909391395861</v>
      </c>
      <c r="AB42" s="245">
        <f t="shared" si="247"/>
        <v>0.13923140107237184</v>
      </c>
      <c r="AC42" s="245">
        <f t="shared" si="247"/>
        <v>0.14119828750035687</v>
      </c>
      <c r="AD42" s="245">
        <f t="shared" ref="AD42:AI42" si="248">SUM(AD39/AD40)</f>
        <v>0.14335426044260718</v>
      </c>
      <c r="AE42" s="245">
        <f t="shared" si="248"/>
        <v>0.1461135474196634</v>
      </c>
      <c r="AF42" s="245">
        <f t="shared" si="248"/>
        <v>0.15015590286393443</v>
      </c>
      <c r="AG42" s="245">
        <f t="shared" si="248"/>
        <v>0.15566583006507603</v>
      </c>
      <c r="AH42" s="245">
        <f t="shared" si="248"/>
        <v>0.16228875950666649</v>
      </c>
      <c r="AI42" s="245">
        <f t="shared" si="248"/>
        <v>0.16992242817795844</v>
      </c>
      <c r="AJ42" s="245">
        <f t="shared" ref="AJ42:AP42" si="249">SUM(AJ39/AJ40)</f>
        <v>0.1770248415452825</v>
      </c>
      <c r="AK42" s="245">
        <f t="shared" si="249"/>
        <v>0.18398624170251521</v>
      </c>
      <c r="AL42" s="246">
        <f t="shared" si="249"/>
        <v>0.18923707946296481</v>
      </c>
      <c r="AM42" s="244">
        <f t="shared" si="249"/>
        <v>0.19622749730653472</v>
      </c>
      <c r="AN42" s="245">
        <f t="shared" si="249"/>
        <v>0.20132396500468999</v>
      </c>
      <c r="AO42" s="245">
        <f t="shared" si="249"/>
        <v>0.20769459343758656</v>
      </c>
      <c r="AP42" s="245">
        <f t="shared" si="249"/>
        <v>0.21581091826897139</v>
      </c>
      <c r="AQ42" s="245">
        <f t="shared" ref="AQ42:AX42" si="250">SUM(AQ39/AQ40)</f>
        <v>0.22490425238218734</v>
      </c>
      <c r="AR42" s="245">
        <f t="shared" si="250"/>
        <v>0.237123000687192</v>
      </c>
      <c r="AS42" s="245">
        <f t="shared" si="250"/>
        <v>0.2465913472249831</v>
      </c>
      <c r="AT42" s="245">
        <f t="shared" si="250"/>
        <v>0.25522100751825083</v>
      </c>
      <c r="AU42" s="245">
        <f t="shared" si="250"/>
        <v>0.26416014455535658</v>
      </c>
      <c r="AV42" s="245">
        <f t="shared" si="250"/>
        <v>0.27005036549812106</v>
      </c>
      <c r="AW42" s="245">
        <f t="shared" si="250"/>
        <v>0.27563329071838433</v>
      </c>
      <c r="AX42" s="246">
        <f t="shared" si="250"/>
        <v>0.27921779803469515</v>
      </c>
      <c r="AY42" s="244">
        <f t="shared" ref="AY42:BJ42" si="251">SUM(AY39/AY40)</f>
        <v>0.28320603545851786</v>
      </c>
      <c r="AZ42" s="245">
        <f t="shared" si="251"/>
        <v>0.28728767466118815</v>
      </c>
      <c r="BA42" s="245">
        <f t="shared" si="251"/>
        <v>0.29194488106985073</v>
      </c>
      <c r="BB42" s="245">
        <f t="shared" si="251"/>
        <v>0.29731173088989443</v>
      </c>
      <c r="BC42" s="245">
        <f t="shared" si="251"/>
        <v>0.30275363307589603</v>
      </c>
      <c r="BD42" s="245">
        <f t="shared" si="251"/>
        <v>0.30887494622845474</v>
      </c>
      <c r="BE42" s="245">
        <f t="shared" si="251"/>
        <v>0.31452174533202265</v>
      </c>
      <c r="BF42" s="245">
        <f t="shared" si="251"/>
        <v>0.32168065991565004</v>
      </c>
      <c r="BG42" s="245">
        <f t="shared" si="251"/>
        <v>0.32997710620459547</v>
      </c>
      <c r="BH42" s="245">
        <f t="shared" si="251"/>
        <v>0.33692913398738361</v>
      </c>
      <c r="BI42" s="245">
        <f t="shared" si="251"/>
        <v>0.34402698780520186</v>
      </c>
      <c r="BJ42" s="246">
        <f t="shared" si="251"/>
        <v>0.34971565744338101</v>
      </c>
      <c r="BK42" s="244">
        <f t="shared" ref="BK42:BP42" si="252">SUM(BK39/BK40)</f>
        <v>0.35502964187594299</v>
      </c>
      <c r="BL42" s="245">
        <f t="shared" si="252"/>
        <v>0.35999838202534545</v>
      </c>
      <c r="BM42" s="245">
        <f t="shared" si="252"/>
        <v>0.36572302834240972</v>
      </c>
      <c r="BN42" s="245">
        <f t="shared" si="252"/>
        <v>0.37227973250499419</v>
      </c>
      <c r="BO42" s="245">
        <f t="shared" si="252"/>
        <v>0.37763887365975984</v>
      </c>
      <c r="BP42" s="245">
        <f t="shared" si="252"/>
        <v>0.38175071064388055</v>
      </c>
      <c r="BQ42" s="245">
        <f t="shared" ref="BQ42:CB42" si="253">SUM(BQ39/BQ40)</f>
        <v>0.38531510446768691</v>
      </c>
      <c r="BR42" s="245">
        <f t="shared" si="253"/>
        <v>0.38812827300697267</v>
      </c>
      <c r="BS42" s="245">
        <f t="shared" si="253"/>
        <v>0.39027793571604674</v>
      </c>
      <c r="BT42" s="245">
        <f t="shared" si="253"/>
        <v>0.39205219953693959</v>
      </c>
      <c r="BU42" s="245">
        <f t="shared" si="253"/>
        <v>0.39367332280774409</v>
      </c>
      <c r="BV42" s="246">
        <f t="shared" si="253"/>
        <v>0.39554239372267225</v>
      </c>
      <c r="BW42" s="244">
        <f t="shared" si="253"/>
        <v>0.39679091043291664</v>
      </c>
      <c r="BX42" s="245">
        <f t="shared" si="253"/>
        <v>0.39868679274033147</v>
      </c>
      <c r="BY42" s="245">
        <f t="shared" si="253"/>
        <v>0.40040887200661673</v>
      </c>
      <c r="BZ42" s="245">
        <f t="shared" si="253"/>
        <v>0.40249858880957423</v>
      </c>
      <c r="CA42" s="245">
        <f t="shared" si="253"/>
        <v>0.41014928643751936</v>
      </c>
      <c r="CB42" s="245">
        <f t="shared" si="253"/>
        <v>0.40490373265263302</v>
      </c>
      <c r="CC42" s="245">
        <f t="shared" ref="CC42:CK42" si="254">SUM(CC39/CC40)</f>
        <v>0.40691230753861113</v>
      </c>
      <c r="CD42" s="245">
        <f t="shared" si="254"/>
        <v>0.40718993443831708</v>
      </c>
      <c r="CE42" s="245">
        <f t="shared" si="254"/>
        <v>0.40677509723480548</v>
      </c>
      <c r="CF42" s="245">
        <f t="shared" si="254"/>
        <v>0.40752399153453134</v>
      </c>
      <c r="CG42" s="245">
        <f t="shared" si="254"/>
        <v>0.408334839818914</v>
      </c>
      <c r="CH42" s="246">
        <f t="shared" si="254"/>
        <v>0.40956602646535528</v>
      </c>
      <c r="CI42" s="244">
        <f t="shared" si="254"/>
        <v>0.41209724759560462</v>
      </c>
      <c r="CJ42" s="245">
        <f t="shared" si="254"/>
        <v>0.41114840490605098</v>
      </c>
      <c r="CK42" s="245">
        <f t="shared" si="254"/>
        <v>0.41123526335774896</v>
      </c>
      <c r="CL42" s="245">
        <f t="shared" ref="CL42:CQ42" si="255">SUM(CL39/CL40)</f>
        <v>0.41223428631466941</v>
      </c>
      <c r="CM42" s="245">
        <f t="shared" si="255"/>
        <v>0.41430485413592194</v>
      </c>
      <c r="CN42" s="245">
        <f t="shared" si="255"/>
        <v>0.41645611182836834</v>
      </c>
      <c r="CO42" s="245">
        <f t="shared" si="255"/>
        <v>0.41993264886854431</v>
      </c>
      <c r="CP42" s="245">
        <f t="shared" si="255"/>
        <v>0.42392472656391694</v>
      </c>
      <c r="CQ42" s="245">
        <f t="shared" si="255"/>
        <v>0.42901854161845832</v>
      </c>
      <c r="CR42" s="245">
        <f t="shared" ref="CR42:DJ42" si="256">SUM(CR39/CR40)</f>
        <v>0.43268773051083892</v>
      </c>
      <c r="CS42" s="245">
        <f t="shared" si="256"/>
        <v>0.43593920741219616</v>
      </c>
      <c r="CT42" s="246">
        <f t="shared" si="256"/>
        <v>0.43923898311444892</v>
      </c>
      <c r="CU42" s="245">
        <f t="shared" si="256"/>
        <v>0.44153521264602297</v>
      </c>
      <c r="CV42" s="245">
        <f t="shared" si="256"/>
        <v>0.44545544801615661</v>
      </c>
      <c r="CW42" s="245">
        <f t="shared" si="256"/>
        <v>0.44904553590758484</v>
      </c>
      <c r="CX42" s="245">
        <f t="shared" si="256"/>
        <v>0.45172086584301413</v>
      </c>
      <c r="CY42" s="245">
        <f t="shared" si="256"/>
        <v>0.45488343395836778</v>
      </c>
      <c r="CZ42" s="245">
        <f t="shared" si="256"/>
        <v>0.45857507028175371</v>
      </c>
      <c r="DA42" s="245">
        <f t="shared" si="256"/>
        <v>0.46298527936261691</v>
      </c>
      <c r="DB42" s="245">
        <f t="shared" si="256"/>
        <v>0.46779970208646815</v>
      </c>
      <c r="DC42" s="245">
        <f t="shared" si="256"/>
        <v>0.47252736496854625</v>
      </c>
      <c r="DD42" s="245">
        <f t="shared" si="256"/>
        <v>0.47734513525846184</v>
      </c>
      <c r="DE42" s="245">
        <f t="shared" si="256"/>
        <v>0.48162649775496508</v>
      </c>
      <c r="DF42" s="246">
        <f t="shared" si="256"/>
        <v>0.48546196826173693</v>
      </c>
      <c r="DG42" s="245">
        <f t="shared" si="256"/>
        <v>0.48883360382475183</v>
      </c>
      <c r="DH42" s="245">
        <f t="shared" si="256"/>
        <v>0.49327256049881135</v>
      </c>
      <c r="DI42" s="245">
        <f t="shared" si="256"/>
        <v>0.49789642436149312</v>
      </c>
      <c r="DJ42" s="245">
        <f t="shared" si="256"/>
        <v>0.50241009832296601</v>
      </c>
      <c r="DK42" s="245">
        <f t="shared" ref="DK42:FT42" si="257">SUM(DK39/DK40)</f>
        <v>0.50612566513365453</v>
      </c>
      <c r="DL42" s="245">
        <f t="shared" si="257"/>
        <v>0.51054002374350993</v>
      </c>
      <c r="DM42" s="245">
        <f t="shared" si="257"/>
        <v>0.51765463394625644</v>
      </c>
      <c r="DN42" s="245">
        <f t="shared" si="257"/>
        <v>0.52111715300318451</v>
      </c>
      <c r="DO42" s="245">
        <f t="shared" si="257"/>
        <v>0.52539657061111156</v>
      </c>
      <c r="DP42" s="245">
        <f t="shared" si="257"/>
        <v>0.52963576138222213</v>
      </c>
      <c r="DQ42" s="245">
        <f t="shared" si="257"/>
        <v>0.53318327228704976</v>
      </c>
      <c r="DR42" s="245">
        <f t="shared" si="257"/>
        <v>0.53620730829804475</v>
      </c>
      <c r="DS42" s="245">
        <f t="shared" si="257"/>
        <v>0.53935383920415692</v>
      </c>
      <c r="DT42" s="245">
        <f t="shared" si="257"/>
        <v>0.54244271845991032</v>
      </c>
      <c r="DU42" s="245">
        <f t="shared" si="257"/>
        <v>0.54545200010950645</v>
      </c>
      <c r="DV42" s="357">
        <f t="shared" si="257"/>
        <v>0.54890289547067683</v>
      </c>
      <c r="DW42" s="357">
        <f t="shared" si="257"/>
        <v>0.55122954509470334</v>
      </c>
      <c r="DX42" s="357">
        <f t="shared" si="257"/>
        <v>0.5540070075381115</v>
      </c>
      <c r="DY42" s="357">
        <f t="shared" si="257"/>
        <v>0.55627341296984389</v>
      </c>
      <c r="DZ42" s="357">
        <f t="shared" si="257"/>
        <v>0.55881065139694763</v>
      </c>
      <c r="EA42" s="357">
        <f t="shared" si="257"/>
        <v>0.56128007831632287</v>
      </c>
      <c r="EB42" s="357">
        <f t="shared" si="257"/>
        <v>0.56344323225303661</v>
      </c>
      <c r="EC42" s="357">
        <f t="shared" si="257"/>
        <v>0.56557311752591322</v>
      </c>
      <c r="ED42" s="357">
        <f t="shared" si="257"/>
        <v>0.56689822076263252</v>
      </c>
      <c r="EE42" s="357">
        <f t="shared" si="257"/>
        <v>0.56841040539944798</v>
      </c>
      <c r="EF42" s="357">
        <f t="shared" si="257"/>
        <v>0.57053874727745291</v>
      </c>
      <c r="EG42" s="357">
        <f t="shared" si="257"/>
        <v>0.57298833226875556</v>
      </c>
      <c r="EH42" s="357">
        <f t="shared" si="257"/>
        <v>0.57564657428363653</v>
      </c>
      <c r="EI42" s="357">
        <f t="shared" si="257"/>
        <v>0.57766330461353965</v>
      </c>
      <c r="EJ42" s="357">
        <f t="shared" si="257"/>
        <v>0.57960525409222374</v>
      </c>
      <c r="EK42" s="357">
        <f t="shared" si="257"/>
        <v>0.58194197360712341</v>
      </c>
      <c r="EL42" s="357">
        <f t="shared" si="257"/>
        <v>0.58392860470223906</v>
      </c>
      <c r="EM42" s="357">
        <f t="shared" si="257"/>
        <v>0.58546410860672315</v>
      </c>
      <c r="EN42" s="357">
        <f t="shared" si="257"/>
        <v>0.58739623249290318</v>
      </c>
      <c r="EO42" s="357">
        <f t="shared" si="257"/>
        <v>0.5892085206377955</v>
      </c>
      <c r="EP42" s="357">
        <f t="shared" si="257"/>
        <v>0.59024774475786368</v>
      </c>
      <c r="EQ42" s="357">
        <f t="shared" si="257"/>
        <v>0.59144093390213692</v>
      </c>
      <c r="ER42" s="357">
        <f t="shared" si="257"/>
        <v>0.59366204435463166</v>
      </c>
      <c r="ES42" s="357">
        <f t="shared" si="257"/>
        <v>0.59588208986108981</v>
      </c>
      <c r="ET42" s="357">
        <f t="shared" si="257"/>
        <v>0.59768057877067282</v>
      </c>
      <c r="EU42" s="357">
        <f t="shared" si="257"/>
        <v>0.59904457702609848</v>
      </c>
      <c r="EV42" s="357">
        <f t="shared" si="257"/>
        <v>0.60076613878143137</v>
      </c>
      <c r="EW42" s="357">
        <f t="shared" si="257"/>
        <v>0.60296357962216784</v>
      </c>
      <c r="EX42" s="357">
        <f t="shared" si="257"/>
        <v>0.60543174761165097</v>
      </c>
      <c r="EY42" s="354">
        <f t="shared" si="257"/>
        <v>0.60732058981003967</v>
      </c>
      <c r="EZ42" s="354">
        <f t="shared" si="257"/>
        <v>0.60884407352083914</v>
      </c>
      <c r="FA42" s="354">
        <f t="shared" si="257"/>
        <v>0.61028502108652538</v>
      </c>
      <c r="FB42" s="354">
        <f t="shared" si="257"/>
        <v>0.61160533564439357</v>
      </c>
      <c r="FC42" s="354">
        <f t="shared" si="257"/>
        <v>0.61235745559473109</v>
      </c>
      <c r="FD42" s="354">
        <f t="shared" si="257"/>
        <v>0.61244877685520493</v>
      </c>
      <c r="FE42" s="354">
        <f t="shared" si="257"/>
        <v>0.61349911710484539</v>
      </c>
      <c r="FF42" s="354">
        <f t="shared" si="257"/>
        <v>0.61524006125475517</v>
      </c>
      <c r="FG42" s="354">
        <f t="shared" si="257"/>
        <v>0.61685345601556751</v>
      </c>
      <c r="FH42" s="354">
        <f t="shared" si="257"/>
        <v>0.61876657196546414</v>
      </c>
      <c r="FI42" s="354">
        <f t="shared" si="257"/>
        <v>0.62016718275653604</v>
      </c>
      <c r="FJ42" s="354">
        <f t="shared" si="257"/>
        <v>0.62172142488371829</v>
      </c>
      <c r="FK42" s="354">
        <f t="shared" si="257"/>
        <v>0.62331112533241473</v>
      </c>
      <c r="FL42" s="354">
        <f t="shared" si="257"/>
        <v>0.62516554052150197</v>
      </c>
      <c r="FM42" s="354">
        <f t="shared" si="257"/>
        <v>0.62659667551926679</v>
      </c>
      <c r="FN42" s="354">
        <f t="shared" si="257"/>
        <v>0.62784163632559487</v>
      </c>
      <c r="FO42" s="354">
        <f t="shared" si="257"/>
        <v>0.62909732698368015</v>
      </c>
      <c r="FP42" s="354">
        <f t="shared" si="257"/>
        <v>0.63223557593662572</v>
      </c>
      <c r="FQ42" s="354">
        <f t="shared" si="257"/>
        <v>0.63420682370513404</v>
      </c>
      <c r="FR42" s="354">
        <f t="shared" si="257"/>
        <v>0.63567705290900811</v>
      </c>
      <c r="FS42" s="354">
        <f t="shared" si="257"/>
        <v>0.63693799752676594</v>
      </c>
      <c r="FT42" s="354">
        <f t="shared" si="257"/>
        <v>0.63832213256257475</v>
      </c>
    </row>
    <row r="43" spans="1:182" s="68" customFormat="1" x14ac:dyDescent="0.25">
      <c r="B43" s="221"/>
      <c r="DF43" s="223"/>
      <c r="DG43" s="69"/>
      <c r="DT43" s="297"/>
      <c r="DZ43" s="297"/>
      <c r="EE43" s="297"/>
    </row>
    <row r="44" spans="1:182" s="68" customFormat="1" x14ac:dyDescent="0.25">
      <c r="B44" s="221"/>
      <c r="H44" s="221"/>
      <c r="T44" s="221"/>
      <c r="AF44" s="221"/>
      <c r="AR44" s="221"/>
      <c r="BD44" s="221"/>
      <c r="BP44" s="221"/>
      <c r="CB44" s="221"/>
      <c r="CN44" s="221"/>
      <c r="DT44" s="297"/>
      <c r="DZ44" s="297"/>
      <c r="EE44" s="297"/>
    </row>
    <row r="45" spans="1:182" s="68" customFormat="1" x14ac:dyDescent="0.25">
      <c r="C45" s="576" t="s">
        <v>79</v>
      </c>
      <c r="D45" s="576"/>
      <c r="E45" s="576"/>
      <c r="F45" s="576"/>
      <c r="G45" s="576"/>
      <c r="H45" s="576"/>
      <c r="I45" s="576"/>
      <c r="J45" s="576"/>
      <c r="K45" s="576"/>
      <c r="L45" s="576"/>
      <c r="M45" s="576"/>
      <c r="N45" s="576"/>
      <c r="O45" s="576" t="s">
        <v>79</v>
      </c>
      <c r="P45" s="576"/>
      <c r="Q45" s="576"/>
      <c r="R45" s="576"/>
      <c r="S45" s="576"/>
      <c r="T45" s="576"/>
      <c r="U45" s="576"/>
      <c r="V45" s="576"/>
      <c r="W45" s="576"/>
      <c r="X45" s="576"/>
      <c r="Y45" s="576"/>
      <c r="Z45" s="576"/>
      <c r="AA45" s="576" t="s">
        <v>79</v>
      </c>
      <c r="AB45" s="576"/>
      <c r="AC45" s="576"/>
      <c r="AD45" s="576"/>
      <c r="AE45" s="576"/>
      <c r="AF45" s="576"/>
      <c r="AG45" s="576"/>
      <c r="AH45" s="576"/>
      <c r="AI45" s="576"/>
      <c r="AJ45" s="576"/>
      <c r="AK45" s="576"/>
      <c r="AL45" s="576"/>
      <c r="AM45" s="576" t="s">
        <v>79</v>
      </c>
      <c r="AN45" s="576"/>
      <c r="AO45" s="576"/>
      <c r="AP45" s="576"/>
      <c r="AQ45" s="576"/>
      <c r="AR45" s="576"/>
      <c r="AS45" s="576"/>
      <c r="AT45" s="576"/>
      <c r="AU45" s="576"/>
      <c r="AV45" s="576"/>
      <c r="AW45" s="576"/>
      <c r="AX45" s="576"/>
      <c r="AY45" s="576" t="s">
        <v>79</v>
      </c>
      <c r="AZ45" s="576"/>
      <c r="BA45" s="576"/>
      <c r="BB45" s="576"/>
      <c r="BC45" s="576"/>
      <c r="BD45" s="576"/>
      <c r="BE45" s="576"/>
      <c r="BF45" s="576"/>
      <c r="BG45" s="576"/>
      <c r="BH45" s="576"/>
      <c r="BI45" s="576"/>
      <c r="BJ45" s="576"/>
      <c r="BK45" s="576" t="s">
        <v>79</v>
      </c>
      <c r="BL45" s="576"/>
      <c r="BM45" s="576"/>
      <c r="BN45" s="576"/>
      <c r="BO45" s="576"/>
      <c r="BP45" s="576"/>
      <c r="BQ45" s="576"/>
      <c r="BR45" s="576"/>
      <c r="BS45" s="576"/>
      <c r="BT45" s="576"/>
      <c r="BU45" s="576"/>
      <c r="BV45" s="576"/>
      <c r="BW45" s="576" t="s">
        <v>79</v>
      </c>
      <c r="BX45" s="576"/>
      <c r="BY45" s="576"/>
      <c r="BZ45" s="576"/>
      <c r="CA45" s="576"/>
      <c r="CB45" s="576"/>
      <c r="CC45" s="576"/>
      <c r="CD45" s="576"/>
      <c r="CE45" s="576"/>
      <c r="CF45" s="576"/>
      <c r="CG45" s="576"/>
      <c r="CH45" s="576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76" t="s">
        <v>79</v>
      </c>
      <c r="CV45" s="576"/>
      <c r="CW45" s="576"/>
      <c r="CX45" s="576"/>
      <c r="CY45" s="576"/>
      <c r="CZ45" s="576"/>
      <c r="DA45" s="576"/>
      <c r="DB45" s="576"/>
      <c r="DC45" s="576"/>
      <c r="DD45" s="576"/>
      <c r="DE45" s="576"/>
      <c r="DF45" s="576"/>
      <c r="DG45" s="576" t="s">
        <v>79</v>
      </c>
      <c r="DH45" s="576"/>
      <c r="DI45" s="576"/>
      <c r="DJ45" s="576"/>
      <c r="DK45" s="576"/>
      <c r="DL45" s="576"/>
      <c r="DM45" s="576"/>
      <c r="DN45" s="576"/>
      <c r="DO45" s="576"/>
      <c r="DP45" s="576"/>
      <c r="DQ45" s="576"/>
      <c r="DR45" s="576"/>
      <c r="DS45" s="576" t="s">
        <v>79</v>
      </c>
      <c r="DT45" s="576"/>
      <c r="DU45" s="576"/>
      <c r="DV45" s="576"/>
      <c r="DW45" s="576"/>
      <c r="DX45" s="576"/>
      <c r="DY45" s="576"/>
      <c r="DZ45" s="576"/>
      <c r="EA45" s="576"/>
      <c r="EB45" s="576"/>
      <c r="EC45" s="576"/>
      <c r="ED45" s="576"/>
      <c r="EE45" s="576" t="s">
        <v>79</v>
      </c>
      <c r="EF45" s="576"/>
      <c r="EG45" s="576"/>
      <c r="EH45" s="576"/>
      <c r="EI45" s="576"/>
      <c r="EJ45" s="576"/>
      <c r="EK45" s="576"/>
      <c r="EL45" s="576"/>
      <c r="EM45" s="576"/>
      <c r="EN45" s="576"/>
      <c r="EO45" s="576"/>
      <c r="EP45" s="576"/>
      <c r="EQ45" s="576" t="s">
        <v>79</v>
      </c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 t="s">
        <v>79</v>
      </c>
      <c r="FD45" s="576"/>
      <c r="FE45" s="576"/>
      <c r="FF45" s="576"/>
      <c r="FG45" s="576"/>
      <c r="FH45" s="576"/>
      <c r="FI45" s="576"/>
      <c r="FJ45" s="576"/>
      <c r="FK45" s="576"/>
      <c r="FL45" s="576"/>
      <c r="FM45" s="576"/>
      <c r="FN45" s="576"/>
      <c r="FO45" s="576" t="s">
        <v>79</v>
      </c>
      <c r="FP45" s="576"/>
      <c r="FQ45" s="576"/>
      <c r="FR45" s="576"/>
      <c r="FS45" s="576"/>
      <c r="FT45" s="576"/>
      <c r="FU45" s="576"/>
      <c r="FV45" s="576"/>
      <c r="FW45" s="576"/>
      <c r="FX45" s="576"/>
      <c r="FY45" s="576"/>
      <c r="FZ45" s="576"/>
    </row>
    <row r="46" spans="1:182" s="68" customFormat="1" ht="13.8" thickBot="1" x14ac:dyDescent="0.3">
      <c r="C46" s="576" t="s">
        <v>86</v>
      </c>
      <c r="D46" s="576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 t="s">
        <v>86</v>
      </c>
      <c r="P46" s="576"/>
      <c r="Q46" s="576"/>
      <c r="R46" s="576"/>
      <c r="S46" s="576"/>
      <c r="T46" s="576"/>
      <c r="U46" s="576"/>
      <c r="V46" s="576"/>
      <c r="W46" s="576"/>
      <c r="X46" s="576"/>
      <c r="Y46" s="576"/>
      <c r="Z46" s="576"/>
      <c r="AA46" s="576" t="s">
        <v>86</v>
      </c>
      <c r="AB46" s="576"/>
      <c r="AC46" s="576"/>
      <c r="AD46" s="576"/>
      <c r="AE46" s="576"/>
      <c r="AF46" s="576"/>
      <c r="AG46" s="576"/>
      <c r="AH46" s="576"/>
      <c r="AI46" s="576"/>
      <c r="AJ46" s="576"/>
      <c r="AK46" s="576"/>
      <c r="AL46" s="576"/>
      <c r="AM46" s="576" t="s">
        <v>86</v>
      </c>
      <c r="AN46" s="576"/>
      <c r="AO46" s="576"/>
      <c r="AP46" s="576"/>
      <c r="AQ46" s="576"/>
      <c r="AR46" s="576"/>
      <c r="AS46" s="576"/>
      <c r="AT46" s="576"/>
      <c r="AU46" s="576"/>
      <c r="AV46" s="576"/>
      <c r="AW46" s="576"/>
      <c r="AX46" s="576"/>
      <c r="AY46" s="576" t="s">
        <v>86</v>
      </c>
      <c r="AZ46" s="576"/>
      <c r="BA46" s="576"/>
      <c r="BB46" s="576"/>
      <c r="BC46" s="576"/>
      <c r="BD46" s="576"/>
      <c r="BE46" s="576"/>
      <c r="BF46" s="576"/>
      <c r="BG46" s="576"/>
      <c r="BH46" s="576"/>
      <c r="BI46" s="576"/>
      <c r="BJ46" s="576"/>
      <c r="BK46" s="576" t="s">
        <v>86</v>
      </c>
      <c r="BL46" s="576"/>
      <c r="BM46" s="576"/>
      <c r="BN46" s="576"/>
      <c r="BO46" s="576"/>
      <c r="BP46" s="576"/>
      <c r="BQ46" s="576"/>
      <c r="BR46" s="576"/>
      <c r="BS46" s="576"/>
      <c r="BT46" s="576"/>
      <c r="BU46" s="576"/>
      <c r="BV46" s="576"/>
      <c r="BW46" s="576" t="s">
        <v>86</v>
      </c>
      <c r="BX46" s="576"/>
      <c r="BY46" s="576"/>
      <c r="BZ46" s="576"/>
      <c r="CA46" s="576"/>
      <c r="CB46" s="576"/>
      <c r="CC46" s="576"/>
      <c r="CD46" s="576"/>
      <c r="CE46" s="576"/>
      <c r="CF46" s="576"/>
      <c r="CG46" s="576"/>
      <c r="CH46" s="576"/>
      <c r="CI46" s="576" t="s">
        <v>86</v>
      </c>
      <c r="CJ46" s="576"/>
      <c r="CK46" s="576"/>
      <c r="CL46" s="576"/>
      <c r="CM46" s="576"/>
      <c r="CN46" s="576"/>
      <c r="CO46" s="576"/>
      <c r="CP46" s="576"/>
      <c r="CQ46" s="576"/>
      <c r="CR46" s="576"/>
      <c r="CS46" s="576"/>
      <c r="CT46" s="576"/>
      <c r="CU46" s="576" t="s">
        <v>86</v>
      </c>
      <c r="CV46" s="576"/>
      <c r="CW46" s="576"/>
      <c r="CX46" s="576"/>
      <c r="CY46" s="576"/>
      <c r="CZ46" s="576"/>
      <c r="DA46" s="576"/>
      <c r="DB46" s="576"/>
      <c r="DC46" s="576"/>
      <c r="DD46" s="576"/>
      <c r="DE46" s="576"/>
      <c r="DF46" s="576"/>
      <c r="DG46" s="576" t="s">
        <v>86</v>
      </c>
      <c r="DH46" s="576"/>
      <c r="DI46" s="576"/>
      <c r="DJ46" s="576"/>
      <c r="DK46" s="576"/>
      <c r="DL46" s="576"/>
      <c r="DM46" s="576"/>
      <c r="DN46" s="576"/>
      <c r="DO46" s="576"/>
      <c r="DP46" s="576"/>
      <c r="DQ46" s="576"/>
      <c r="DR46" s="576"/>
      <c r="DS46" s="576" t="s">
        <v>86</v>
      </c>
      <c r="DT46" s="576"/>
      <c r="DU46" s="576"/>
      <c r="DV46" s="576"/>
      <c r="DW46" s="576"/>
      <c r="DX46" s="576"/>
      <c r="DY46" s="576"/>
      <c r="DZ46" s="576"/>
      <c r="EA46" s="576"/>
      <c r="EB46" s="576"/>
      <c r="EC46" s="576"/>
      <c r="ED46" s="576"/>
      <c r="EE46" s="576" t="s">
        <v>86</v>
      </c>
      <c r="EF46" s="576"/>
      <c r="EG46" s="576"/>
      <c r="EH46" s="576"/>
      <c r="EI46" s="576"/>
      <c r="EJ46" s="576"/>
      <c r="EK46" s="576"/>
      <c r="EL46" s="576"/>
      <c r="EM46" s="576"/>
      <c r="EN46" s="576"/>
      <c r="EO46" s="576"/>
      <c r="EP46" s="576"/>
      <c r="EQ46" s="576" t="s">
        <v>86</v>
      </c>
      <c r="ER46" s="576"/>
      <c r="ES46" s="576"/>
      <c r="ET46" s="576"/>
      <c r="EU46" s="576"/>
      <c r="EV46" s="576"/>
      <c r="EW46" s="576"/>
      <c r="EX46" s="576"/>
      <c r="EY46" s="576"/>
      <c r="EZ46" s="576"/>
      <c r="FA46" s="576"/>
      <c r="FB46" s="576"/>
      <c r="FC46" s="576" t="s">
        <v>86</v>
      </c>
      <c r="FD46" s="576"/>
      <c r="FE46" s="576"/>
      <c r="FF46" s="576"/>
      <c r="FG46" s="576"/>
      <c r="FH46" s="576"/>
      <c r="FI46" s="576"/>
      <c r="FJ46" s="576"/>
      <c r="FK46" s="576"/>
      <c r="FL46" s="576"/>
      <c r="FM46" s="576"/>
      <c r="FN46" s="576"/>
      <c r="FO46" s="576" t="s">
        <v>86</v>
      </c>
      <c r="FP46" s="576"/>
      <c r="FQ46" s="576"/>
      <c r="FR46" s="576"/>
      <c r="FS46" s="576"/>
      <c r="FT46" s="576"/>
      <c r="FU46" s="576"/>
      <c r="FV46" s="576"/>
      <c r="FW46" s="576"/>
      <c r="FX46" s="576"/>
      <c r="FY46" s="576"/>
      <c r="FZ46" s="576"/>
    </row>
    <row r="47" spans="1:182" s="270" customFormat="1" ht="13.8" thickBot="1" x14ac:dyDescent="0.3">
      <c r="C47" s="572">
        <v>2002</v>
      </c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4"/>
      <c r="O47" s="572">
        <v>2003</v>
      </c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4"/>
      <c r="AA47" s="572">
        <v>2004</v>
      </c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4"/>
      <c r="AM47" s="572">
        <v>2005</v>
      </c>
      <c r="AN47" s="573"/>
      <c r="AO47" s="573"/>
      <c r="AP47" s="573"/>
      <c r="AQ47" s="573"/>
      <c r="AR47" s="573"/>
      <c r="AS47" s="573"/>
      <c r="AT47" s="573"/>
      <c r="AU47" s="573"/>
      <c r="AV47" s="573"/>
      <c r="AW47" s="573"/>
      <c r="AX47" s="574"/>
      <c r="AY47" s="572">
        <v>2006</v>
      </c>
      <c r="AZ47" s="573"/>
      <c r="BA47" s="573"/>
      <c r="BB47" s="573"/>
      <c r="BC47" s="573"/>
      <c r="BD47" s="573"/>
      <c r="BE47" s="573"/>
      <c r="BF47" s="573"/>
      <c r="BG47" s="573"/>
      <c r="BH47" s="573"/>
      <c r="BI47" s="573"/>
      <c r="BJ47" s="574"/>
      <c r="BK47" s="572">
        <v>2007</v>
      </c>
      <c r="BL47" s="573"/>
      <c r="BM47" s="573"/>
      <c r="BN47" s="573"/>
      <c r="BO47" s="573"/>
      <c r="BP47" s="573"/>
      <c r="BQ47" s="573"/>
      <c r="BR47" s="573"/>
      <c r="BS47" s="573"/>
      <c r="BT47" s="573"/>
      <c r="BU47" s="573"/>
      <c r="BV47" s="574"/>
      <c r="BW47" s="572">
        <v>2008</v>
      </c>
      <c r="BX47" s="573"/>
      <c r="BY47" s="573"/>
      <c r="BZ47" s="573"/>
      <c r="CA47" s="573"/>
      <c r="CB47" s="573"/>
      <c r="CC47" s="573"/>
      <c r="CD47" s="573"/>
      <c r="CE47" s="573"/>
      <c r="CF47" s="573"/>
      <c r="CG47" s="573"/>
      <c r="CH47" s="574"/>
      <c r="CI47" s="572">
        <v>2009</v>
      </c>
      <c r="CJ47" s="573"/>
      <c r="CK47" s="573"/>
      <c r="CL47" s="573"/>
      <c r="CM47" s="573"/>
      <c r="CN47" s="573"/>
      <c r="CO47" s="573"/>
      <c r="CP47" s="573"/>
      <c r="CQ47" s="573"/>
      <c r="CR47" s="573"/>
      <c r="CS47" s="573"/>
      <c r="CT47" s="574"/>
      <c r="CU47" s="572">
        <v>2010</v>
      </c>
      <c r="CV47" s="573"/>
      <c r="CW47" s="573"/>
      <c r="CX47" s="573"/>
      <c r="CY47" s="573"/>
      <c r="CZ47" s="573"/>
      <c r="DA47" s="573"/>
      <c r="DB47" s="573"/>
      <c r="DC47" s="573"/>
      <c r="DD47" s="573"/>
      <c r="DE47" s="573"/>
      <c r="DF47" s="574"/>
      <c r="DG47" s="572">
        <v>2011</v>
      </c>
      <c r="DH47" s="573"/>
      <c r="DI47" s="573"/>
      <c r="DJ47" s="573"/>
      <c r="DK47" s="573"/>
      <c r="DL47" s="573"/>
      <c r="DM47" s="573"/>
      <c r="DN47" s="573"/>
      <c r="DO47" s="573"/>
      <c r="DP47" s="573"/>
      <c r="DQ47" s="573"/>
      <c r="DR47" s="574"/>
      <c r="DS47" s="572">
        <v>2012</v>
      </c>
      <c r="DT47" s="573"/>
      <c r="DU47" s="573"/>
      <c r="DV47" s="573"/>
      <c r="DW47" s="573"/>
      <c r="DX47" s="573"/>
      <c r="DY47" s="573"/>
      <c r="DZ47" s="573"/>
      <c r="EA47" s="573"/>
      <c r="EB47" s="573"/>
      <c r="EC47" s="573"/>
      <c r="ED47" s="574"/>
      <c r="EE47" s="572">
        <v>2013</v>
      </c>
      <c r="EF47" s="573"/>
      <c r="EG47" s="573"/>
      <c r="EH47" s="573"/>
      <c r="EI47" s="573"/>
      <c r="EJ47" s="573"/>
      <c r="EK47" s="573"/>
      <c r="EL47" s="573"/>
      <c r="EM47" s="573"/>
      <c r="EN47" s="573"/>
      <c r="EO47" s="573"/>
      <c r="EP47" s="574"/>
      <c r="EQ47" s="572">
        <v>2014</v>
      </c>
      <c r="ER47" s="573"/>
      <c r="ES47" s="573"/>
      <c r="ET47" s="573"/>
      <c r="EU47" s="573"/>
      <c r="EV47" s="573"/>
      <c r="EW47" s="573"/>
      <c r="EX47" s="573"/>
      <c r="EY47" s="573"/>
      <c r="EZ47" s="573"/>
      <c r="FA47" s="573"/>
      <c r="FB47" s="574"/>
      <c r="FC47" s="572">
        <v>2015</v>
      </c>
      <c r="FD47" s="573"/>
      <c r="FE47" s="573"/>
      <c r="FF47" s="573"/>
      <c r="FG47" s="573"/>
      <c r="FH47" s="573"/>
      <c r="FI47" s="573"/>
      <c r="FJ47" s="573"/>
      <c r="FK47" s="573"/>
      <c r="FL47" s="573"/>
      <c r="FM47" s="573"/>
      <c r="FN47" s="574"/>
      <c r="FO47" s="572">
        <v>2016</v>
      </c>
      <c r="FP47" s="573"/>
      <c r="FQ47" s="573"/>
      <c r="FR47" s="573"/>
      <c r="FS47" s="573"/>
      <c r="FT47" s="573"/>
      <c r="FU47" s="573"/>
      <c r="FV47" s="573"/>
      <c r="FW47" s="573"/>
      <c r="FX47" s="573"/>
      <c r="FY47" s="573"/>
      <c r="FZ47" s="574"/>
    </row>
    <row r="48" spans="1:182" s="68" customFormat="1" ht="13.8" thickBot="1" x14ac:dyDescent="0.3">
      <c r="B48" s="226"/>
      <c r="C48" s="227" t="s">
        <v>72</v>
      </c>
      <c r="D48" s="213" t="s">
        <v>73</v>
      </c>
      <c r="E48" s="213" t="s">
        <v>2</v>
      </c>
      <c r="F48" s="213" t="s">
        <v>3</v>
      </c>
      <c r="G48" s="213" t="s">
        <v>4</v>
      </c>
      <c r="H48" s="213" t="s">
        <v>5</v>
      </c>
      <c r="I48" s="213" t="s">
        <v>6</v>
      </c>
      <c r="J48" s="213" t="s">
        <v>7</v>
      </c>
      <c r="K48" s="213" t="s">
        <v>68</v>
      </c>
      <c r="L48" s="213" t="s">
        <v>69</v>
      </c>
      <c r="M48" s="213" t="s">
        <v>70</v>
      </c>
      <c r="N48" s="214" t="s">
        <v>71</v>
      </c>
      <c r="O48" s="227" t="s">
        <v>72</v>
      </c>
      <c r="P48" s="213" t="s">
        <v>73</v>
      </c>
      <c r="Q48" s="213" t="s">
        <v>2</v>
      </c>
      <c r="R48" s="213" t="s">
        <v>3</v>
      </c>
      <c r="S48" s="213" t="s">
        <v>4</v>
      </c>
      <c r="T48" s="213" t="s">
        <v>5</v>
      </c>
      <c r="U48" s="213" t="s">
        <v>6</v>
      </c>
      <c r="V48" s="213" t="s">
        <v>7</v>
      </c>
      <c r="W48" s="213" t="s">
        <v>68</v>
      </c>
      <c r="X48" s="213" t="s">
        <v>69</v>
      </c>
      <c r="Y48" s="213" t="s">
        <v>70</v>
      </c>
      <c r="Z48" s="214" t="s">
        <v>71</v>
      </c>
      <c r="AA48" s="227" t="s">
        <v>72</v>
      </c>
      <c r="AB48" s="213" t="s">
        <v>73</v>
      </c>
      <c r="AC48" s="213" t="s">
        <v>2</v>
      </c>
      <c r="AD48" s="213" t="s">
        <v>3</v>
      </c>
      <c r="AE48" s="213" t="s">
        <v>4</v>
      </c>
      <c r="AF48" s="213" t="s">
        <v>5</v>
      </c>
      <c r="AG48" s="213" t="s">
        <v>6</v>
      </c>
      <c r="AH48" s="213" t="s">
        <v>7</v>
      </c>
      <c r="AI48" s="213" t="s">
        <v>68</v>
      </c>
      <c r="AJ48" s="213" t="s">
        <v>69</v>
      </c>
      <c r="AK48" s="213" t="s">
        <v>70</v>
      </c>
      <c r="AL48" s="214" t="s">
        <v>71</v>
      </c>
      <c r="AM48" s="227" t="s">
        <v>72</v>
      </c>
      <c r="AN48" s="213" t="s">
        <v>73</v>
      </c>
      <c r="AO48" s="213" t="s">
        <v>2</v>
      </c>
      <c r="AP48" s="213" t="s">
        <v>3</v>
      </c>
      <c r="AQ48" s="213" t="s">
        <v>4</v>
      </c>
      <c r="AR48" s="213" t="s">
        <v>5</v>
      </c>
      <c r="AS48" s="213" t="s">
        <v>6</v>
      </c>
      <c r="AT48" s="213" t="s">
        <v>7</v>
      </c>
      <c r="AU48" s="213" t="s">
        <v>68</v>
      </c>
      <c r="AV48" s="213" t="s">
        <v>69</v>
      </c>
      <c r="AW48" s="213" t="s">
        <v>70</v>
      </c>
      <c r="AX48" s="214" t="s">
        <v>71</v>
      </c>
      <c r="AY48" s="227" t="s">
        <v>72</v>
      </c>
      <c r="AZ48" s="213" t="s">
        <v>73</v>
      </c>
      <c r="BA48" s="213" t="s">
        <v>2</v>
      </c>
      <c r="BB48" s="213" t="s">
        <v>3</v>
      </c>
      <c r="BC48" s="213" t="s">
        <v>4</v>
      </c>
      <c r="BD48" s="213" t="s">
        <v>5</v>
      </c>
      <c r="BE48" s="213" t="s">
        <v>6</v>
      </c>
      <c r="BF48" s="213" t="s">
        <v>7</v>
      </c>
      <c r="BG48" s="213" t="s">
        <v>68</v>
      </c>
      <c r="BH48" s="213" t="s">
        <v>69</v>
      </c>
      <c r="BI48" s="213" t="s">
        <v>70</v>
      </c>
      <c r="BJ48" s="214" t="s">
        <v>71</v>
      </c>
      <c r="BK48" s="227" t="s">
        <v>72</v>
      </c>
      <c r="BL48" s="213" t="s">
        <v>73</v>
      </c>
      <c r="BM48" s="213" t="s">
        <v>2</v>
      </c>
      <c r="BN48" s="213" t="s">
        <v>3</v>
      </c>
      <c r="BO48" s="213" t="s">
        <v>4</v>
      </c>
      <c r="BP48" s="213" t="s">
        <v>5</v>
      </c>
      <c r="BQ48" s="213" t="s">
        <v>6</v>
      </c>
      <c r="BR48" s="213" t="s">
        <v>7</v>
      </c>
      <c r="BS48" s="213" t="s">
        <v>68</v>
      </c>
      <c r="BT48" s="213" t="s">
        <v>69</v>
      </c>
      <c r="BU48" s="213" t="s">
        <v>70</v>
      </c>
      <c r="BV48" s="214" t="s">
        <v>71</v>
      </c>
      <c r="BW48" s="227" t="s">
        <v>72</v>
      </c>
      <c r="BX48" s="213" t="s">
        <v>73</v>
      </c>
      <c r="BY48" s="213" t="s">
        <v>2</v>
      </c>
      <c r="BZ48" s="213" t="s">
        <v>3</v>
      </c>
      <c r="CA48" s="213" t="s">
        <v>4</v>
      </c>
      <c r="CB48" s="213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</row>
    <row r="49" spans="2:176" s="68" customFormat="1" x14ac:dyDescent="0.25">
      <c r="B49" s="108" t="s">
        <v>31</v>
      </c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T49" s="297"/>
      <c r="DZ49" s="297"/>
      <c r="EE49" s="297"/>
    </row>
    <row r="50" spans="2:176" s="68" customFormat="1" x14ac:dyDescent="0.25">
      <c r="B50" s="87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T50" s="297"/>
      <c r="DZ50" s="297"/>
      <c r="EE50" s="297"/>
    </row>
    <row r="51" spans="2:176" s="68" customFormat="1" x14ac:dyDescent="0.25">
      <c r="B51" s="87" t="s">
        <v>1</v>
      </c>
      <c r="C51" s="103">
        <v>2250091.827</v>
      </c>
      <c r="D51" s="69">
        <v>2250091.827</v>
      </c>
      <c r="E51" s="69">
        <v>2748938.9850000003</v>
      </c>
      <c r="F51" s="69">
        <v>2246461.7400000002</v>
      </c>
      <c r="G51" s="69">
        <v>2453433.7400000002</v>
      </c>
      <c r="H51" s="69">
        <v>3109992.588</v>
      </c>
      <c r="I51" s="69">
        <v>3751043.3750000005</v>
      </c>
      <c r="J51" s="69">
        <v>4156383.2960000001</v>
      </c>
      <c r="K51" s="69">
        <v>4234606.6569999997</v>
      </c>
      <c r="L51" s="69">
        <v>2909383.9470000002</v>
      </c>
      <c r="M51" s="69">
        <v>2028026.327</v>
      </c>
      <c r="N51" s="89">
        <v>2546107.2349999999</v>
      </c>
      <c r="O51" s="103">
        <v>2951308</v>
      </c>
      <c r="P51" s="69">
        <v>3074950</v>
      </c>
      <c r="Q51" s="69">
        <v>2703864</v>
      </c>
      <c r="R51" s="69">
        <v>1935958.956</v>
      </c>
      <c r="S51" s="69">
        <v>2351595.9379999996</v>
      </c>
      <c r="T51" s="69">
        <v>2954056.37</v>
      </c>
      <c r="U51" s="69">
        <v>3701249.99</v>
      </c>
      <c r="V51" s="69">
        <v>4321666.5750000002</v>
      </c>
      <c r="W51" s="69">
        <v>3530947.2880000002</v>
      </c>
      <c r="X51" s="69">
        <v>2382697</v>
      </c>
      <c r="Y51" s="69">
        <v>1969072</v>
      </c>
      <c r="Z51" s="89">
        <v>2253724</v>
      </c>
      <c r="AA51" s="103">
        <v>2659431.5</v>
      </c>
      <c r="AB51" s="69">
        <v>2696471.6</v>
      </c>
      <c r="AC51" s="69">
        <v>2241493.6</v>
      </c>
      <c r="AD51" s="69">
        <v>1832362</v>
      </c>
      <c r="AE51" s="69">
        <v>2055037.3</v>
      </c>
      <c r="AF51" s="69">
        <v>2958480.5</v>
      </c>
      <c r="AG51" s="69">
        <v>3355023.8</v>
      </c>
      <c r="AH51" s="69">
        <v>3424122.5</v>
      </c>
      <c r="AI51" s="69">
        <v>3121763.8</v>
      </c>
      <c r="AJ51" s="69">
        <v>2415777.5079999999</v>
      </c>
      <c r="AK51" s="69">
        <v>1928761.2749999999</v>
      </c>
      <c r="AL51" s="89">
        <v>2085870.2760000001</v>
      </c>
      <c r="AM51" s="103">
        <v>2623302</v>
      </c>
      <c r="AN51" s="69">
        <v>2315955</v>
      </c>
      <c r="AO51" s="69">
        <v>2019849</v>
      </c>
      <c r="AP51" s="69">
        <v>1718896</v>
      </c>
      <c r="AQ51" s="69">
        <v>1753670.2</v>
      </c>
      <c r="AR51" s="69">
        <v>2810337.9</v>
      </c>
      <c r="AS51" s="69">
        <v>3449361.8</v>
      </c>
      <c r="AT51" s="69">
        <v>3232096.3</v>
      </c>
      <c r="AU51" s="69">
        <v>3496485.1</v>
      </c>
      <c r="AV51" s="69">
        <v>2553613</v>
      </c>
      <c r="AW51" s="69">
        <v>1616381.5</v>
      </c>
      <c r="AX51" s="89">
        <v>2008083.3</v>
      </c>
      <c r="AY51" s="103">
        <v>2097269</v>
      </c>
      <c r="AZ51" s="69">
        <v>1741488</v>
      </c>
      <c r="BA51" s="69">
        <v>1831413</v>
      </c>
      <c r="BB51" s="69">
        <v>1714488</v>
      </c>
      <c r="BC51" s="69">
        <v>1841811</v>
      </c>
      <c r="BD51" s="69">
        <v>2636452</v>
      </c>
      <c r="BE51" s="69">
        <v>2984228</v>
      </c>
      <c r="BF51" s="69">
        <v>3383600.6</v>
      </c>
      <c r="BG51" s="69">
        <v>3068938.2</v>
      </c>
      <c r="BH51" s="69">
        <v>1944021.4</v>
      </c>
      <c r="BI51" s="69">
        <v>1389710.1</v>
      </c>
      <c r="BJ51" s="89">
        <v>1732876.8</v>
      </c>
      <c r="BK51" s="103">
        <v>2099832.9</v>
      </c>
      <c r="BL51" s="69">
        <v>2270122.9</v>
      </c>
      <c r="BM51" s="69">
        <v>1669004.9</v>
      </c>
      <c r="BN51" s="69">
        <v>1328060.227</v>
      </c>
      <c r="BO51" s="69">
        <v>1416387.2</v>
      </c>
      <c r="BP51" s="69">
        <v>1823341.93</v>
      </c>
      <c r="BQ51" s="69">
        <v>2214387</v>
      </c>
      <c r="BR51" s="69">
        <v>2455081</v>
      </c>
      <c r="BS51" s="69">
        <v>2659682</v>
      </c>
      <c r="BT51" s="69">
        <v>2126193.2999999998</v>
      </c>
      <c r="BU51" s="69">
        <v>1418628.6</v>
      </c>
      <c r="BV51" s="69">
        <v>1657732.6</v>
      </c>
      <c r="BW51" s="201">
        <f>2190117</f>
        <v>2190117</v>
      </c>
      <c r="BX51" s="69">
        <v>1946109</v>
      </c>
      <c r="BY51" s="69">
        <v>1597263</v>
      </c>
      <c r="BZ51" s="69">
        <v>1344118.9</v>
      </c>
      <c r="CA51" s="69">
        <v>1331067.7</v>
      </c>
      <c r="CB51" s="69">
        <v>2255917.2000000002</v>
      </c>
      <c r="CC51" s="69">
        <v>2634943.7289999998</v>
      </c>
      <c r="CD51" s="69">
        <v>2808218.983</v>
      </c>
      <c r="CE51" s="69">
        <v>2390329.7289999998</v>
      </c>
      <c r="CF51" s="69">
        <v>1710079</v>
      </c>
      <c r="CG51" s="69">
        <v>1278707</v>
      </c>
      <c r="CH51" s="89">
        <v>1670803</v>
      </c>
      <c r="CI51" s="201">
        <v>2184435</v>
      </c>
      <c r="CJ51" s="69">
        <v>1790975</v>
      </c>
      <c r="CK51" s="69">
        <v>1463204</v>
      </c>
      <c r="CL51" s="69">
        <v>1404862</v>
      </c>
      <c r="CM51" s="69">
        <v>1426427</v>
      </c>
      <c r="CN51" s="69">
        <v>1986439</v>
      </c>
      <c r="CO51" s="69">
        <v>2869249.9</v>
      </c>
      <c r="CP51" s="69">
        <v>2663736.1</v>
      </c>
      <c r="CQ51" s="69">
        <v>2432742.2000000002</v>
      </c>
      <c r="CR51" s="69">
        <v>1545630.9</v>
      </c>
      <c r="CS51" s="69">
        <v>1172016.2</v>
      </c>
      <c r="CT51" s="89">
        <v>1714968</v>
      </c>
      <c r="CU51" s="69">
        <v>2468482.21</v>
      </c>
      <c r="CV51" s="69">
        <v>1994897.159</v>
      </c>
      <c r="CW51" s="69">
        <v>1772290.767</v>
      </c>
      <c r="CX51" s="69">
        <v>1289033.6000000001</v>
      </c>
      <c r="CY51" s="69">
        <v>1260043.5</v>
      </c>
      <c r="CZ51" s="69">
        <v>2146209.4</v>
      </c>
      <c r="DA51" s="69">
        <v>2519770.2999999998</v>
      </c>
      <c r="DB51" s="69">
        <v>2707113.7</v>
      </c>
      <c r="DC51" s="69">
        <v>2554077.2999999998</v>
      </c>
      <c r="DD51" s="69">
        <v>1653592.9</v>
      </c>
      <c r="DE51" s="69">
        <v>1178316.1000000001</v>
      </c>
      <c r="DF51" s="89">
        <v>1517452.8</v>
      </c>
      <c r="DG51" s="275">
        <v>1995753.4</v>
      </c>
      <c r="DH51" s="275">
        <v>2024930</v>
      </c>
      <c r="DI51" s="275">
        <v>1222760.1000000001</v>
      </c>
      <c r="DJ51" s="69">
        <v>1182243.3</v>
      </c>
      <c r="DK51" s="69">
        <v>1340317.2</v>
      </c>
      <c r="DL51" s="69">
        <v>2053028.7</v>
      </c>
      <c r="DM51" s="69">
        <v>2708462.5</v>
      </c>
      <c r="DN51" s="69">
        <v>2849665.8</v>
      </c>
      <c r="DO51" s="69">
        <v>2456355.7000000002</v>
      </c>
      <c r="DP51" s="69">
        <v>1500363.6</v>
      </c>
      <c r="DQ51" s="69">
        <v>1083664.3</v>
      </c>
      <c r="DR51" s="69">
        <v>1453965.7</v>
      </c>
      <c r="DS51" s="68">
        <v>1650004.3</v>
      </c>
      <c r="DT51" s="297">
        <v>1342302</v>
      </c>
      <c r="DU51" s="68">
        <v>1120815</v>
      </c>
      <c r="DV51" s="351">
        <v>1096393.7</v>
      </c>
      <c r="DW51" s="351">
        <v>1296701.2</v>
      </c>
      <c r="DX51" s="351">
        <v>1773451</v>
      </c>
      <c r="DY51" s="68">
        <v>2171828.9</v>
      </c>
      <c r="DZ51" s="297">
        <v>2315624.7000000002</v>
      </c>
      <c r="EA51" s="68">
        <v>1986975.3</v>
      </c>
      <c r="EB51" s="68">
        <v>1341095</v>
      </c>
      <c r="EC51" s="68">
        <v>1062952</v>
      </c>
      <c r="ED51" s="68">
        <v>1156843.8</v>
      </c>
      <c r="EE51" s="68">
        <v>1642284.4</v>
      </c>
      <c r="EF51" s="68">
        <v>1265639.3999999999</v>
      </c>
      <c r="EG51" s="68">
        <v>1169722.8</v>
      </c>
      <c r="EH51" s="68">
        <v>1065418.7</v>
      </c>
      <c r="EI51" s="68">
        <v>1048876.8999999999</v>
      </c>
      <c r="EJ51" s="68">
        <v>1529713.5</v>
      </c>
      <c r="EK51" s="68">
        <v>1962127.9</v>
      </c>
      <c r="EL51" s="68">
        <v>2027769.4</v>
      </c>
      <c r="EM51" s="68">
        <v>2054522.3</v>
      </c>
      <c r="EN51" s="68">
        <v>1422743.5</v>
      </c>
      <c r="EO51" s="68">
        <v>931299.4</v>
      </c>
      <c r="EP51" s="68">
        <v>1494155.9</v>
      </c>
      <c r="EQ51" s="68">
        <v>1750269.6</v>
      </c>
      <c r="ER51" s="68">
        <v>1539965.6</v>
      </c>
      <c r="ES51" s="68">
        <v>1298048.8999999999</v>
      </c>
      <c r="ET51" s="297">
        <v>1029027.3</v>
      </c>
      <c r="EU51" s="297">
        <v>1048186.9</v>
      </c>
      <c r="EV51" s="297">
        <v>1439021</v>
      </c>
      <c r="EW51" s="68">
        <v>1723534.2</v>
      </c>
      <c r="EX51" s="68">
        <v>1773734.4</v>
      </c>
      <c r="EY51" s="68">
        <v>1890974.6</v>
      </c>
      <c r="EZ51" s="68">
        <v>1262692.1000000001</v>
      </c>
      <c r="FA51" s="68">
        <v>995025.3</v>
      </c>
      <c r="FB51" s="68">
        <v>1157251.3</v>
      </c>
      <c r="FC51" s="68">
        <v>1482661</v>
      </c>
      <c r="FD51" s="68">
        <v>1367095.2</v>
      </c>
      <c r="FE51" s="68">
        <v>1386613.1</v>
      </c>
      <c r="FF51" s="68">
        <v>949293.9</v>
      </c>
      <c r="FG51" s="68">
        <v>910740.5</v>
      </c>
      <c r="FH51" s="68">
        <v>1249245.6000000001</v>
      </c>
      <c r="FI51" s="69">
        <v>1735704.6</v>
      </c>
      <c r="FJ51" s="69">
        <v>2007437.4</v>
      </c>
      <c r="FK51" s="69">
        <v>1813220.4</v>
      </c>
      <c r="FL51" s="68">
        <v>1377205.7</v>
      </c>
      <c r="FM51" s="68">
        <v>903624.2</v>
      </c>
      <c r="FN51" s="68">
        <v>1038846.4</v>
      </c>
      <c r="FO51" s="68">
        <v>1290112.7</v>
      </c>
      <c r="FP51" s="68">
        <v>1218994.6000000001</v>
      </c>
      <c r="FQ51" s="68">
        <v>888337.4</v>
      </c>
      <c r="FR51" s="68">
        <v>836461.2</v>
      </c>
      <c r="FS51" s="68">
        <v>874928.6</v>
      </c>
      <c r="FT51" s="68">
        <v>1170362.5</v>
      </c>
    </row>
    <row r="52" spans="2:176" s="68" customFormat="1" ht="13.8" thickBot="1" x14ac:dyDescent="0.3">
      <c r="B52" s="90" t="s">
        <v>8</v>
      </c>
      <c r="C52" s="104">
        <v>102.00900000000001</v>
      </c>
      <c r="D52" s="92">
        <v>55123.199000000022</v>
      </c>
      <c r="E52" s="92">
        <v>70005.60999999987</v>
      </c>
      <c r="F52" s="92">
        <v>61022.503000000026</v>
      </c>
      <c r="G52" s="92">
        <v>78841.80700000003</v>
      </c>
      <c r="H52" s="92">
        <v>120122.875</v>
      </c>
      <c r="I52" s="92">
        <v>178294.39199999953</v>
      </c>
      <c r="J52" s="92">
        <v>226919.06799999997</v>
      </c>
      <c r="K52" s="92">
        <v>268259.1939999992</v>
      </c>
      <c r="L52" s="92">
        <v>191629.14199999999</v>
      </c>
      <c r="M52" s="92">
        <v>143144.30599999987</v>
      </c>
      <c r="N52" s="93">
        <v>186822.64100000029</v>
      </c>
      <c r="O52" s="104">
        <v>233845</v>
      </c>
      <c r="P52" s="92">
        <v>242868</v>
      </c>
      <c r="Q52" s="92">
        <v>224489</v>
      </c>
      <c r="R52" s="92">
        <v>173176.54</v>
      </c>
      <c r="S52" s="92">
        <v>236499.99899999984</v>
      </c>
      <c r="T52" s="92">
        <v>312421.62600000016</v>
      </c>
      <c r="U52" s="92">
        <v>424184.04600000009</v>
      </c>
      <c r="V52" s="92">
        <v>543178.57299999986</v>
      </c>
      <c r="W52" s="92">
        <v>472036.00600000005</v>
      </c>
      <c r="X52" s="92">
        <v>348406</v>
      </c>
      <c r="Y52" s="92">
        <v>311875</v>
      </c>
      <c r="Z52" s="93">
        <v>370123</v>
      </c>
      <c r="AA52" s="104">
        <v>445981</v>
      </c>
      <c r="AB52" s="92">
        <v>454904.2</v>
      </c>
      <c r="AC52" s="92">
        <v>381846.9</v>
      </c>
      <c r="AD52" s="92">
        <v>318088.40000000002</v>
      </c>
      <c r="AE52" s="92">
        <v>362873.5</v>
      </c>
      <c r="AF52" s="92">
        <v>536044.19999999995</v>
      </c>
      <c r="AG52" s="92">
        <v>614732.69999999995</v>
      </c>
      <c r="AH52" s="92">
        <v>662514.9</v>
      </c>
      <c r="AI52" s="92">
        <v>640551.1</v>
      </c>
      <c r="AJ52" s="92">
        <v>525237.89</v>
      </c>
      <c r="AK52" s="92">
        <v>439558.82</v>
      </c>
      <c r="AL52" s="93">
        <v>498827.1</v>
      </c>
      <c r="AM52" s="104">
        <v>648686</v>
      </c>
      <c r="AN52" s="92">
        <v>593784</v>
      </c>
      <c r="AO52" s="92">
        <v>530019</v>
      </c>
      <c r="AP52" s="92">
        <v>469105.9</v>
      </c>
      <c r="AQ52" s="92">
        <v>498150.1</v>
      </c>
      <c r="AR52" s="92">
        <v>844464</v>
      </c>
      <c r="AS52" s="92">
        <v>1101974.7</v>
      </c>
      <c r="AT52" s="92">
        <v>1090163.3</v>
      </c>
      <c r="AU52" s="92">
        <v>1239368.8999999999</v>
      </c>
      <c r="AV52" s="92">
        <v>954037.8</v>
      </c>
      <c r="AW52" s="92">
        <v>630758.40000000002</v>
      </c>
      <c r="AX52" s="93">
        <v>810892.1</v>
      </c>
      <c r="AY52" s="104">
        <v>858002.8</v>
      </c>
      <c r="AZ52" s="92">
        <v>727331.1</v>
      </c>
      <c r="BA52" s="92">
        <v>782179.5</v>
      </c>
      <c r="BB52" s="92">
        <v>742257</v>
      </c>
      <c r="BC52" s="92">
        <v>810776</v>
      </c>
      <c r="BD52" s="92">
        <v>1184802</v>
      </c>
      <c r="BE52" s="92">
        <v>1374461.9</v>
      </c>
      <c r="BF52" s="92">
        <v>1597176.5</v>
      </c>
      <c r="BG52" s="92">
        <v>1496406.7</v>
      </c>
      <c r="BH52" s="92">
        <v>988454.5</v>
      </c>
      <c r="BI52" s="92">
        <v>735975.8</v>
      </c>
      <c r="BJ52" s="93">
        <v>952582.1</v>
      </c>
      <c r="BK52" s="104">
        <v>1185819.1000000001</v>
      </c>
      <c r="BL52" s="92">
        <v>1318363.8999999999</v>
      </c>
      <c r="BM52" s="92">
        <v>971282.1</v>
      </c>
      <c r="BN52" s="92">
        <v>784140.28799999994</v>
      </c>
      <c r="BO52" s="92">
        <v>864511.55799999996</v>
      </c>
      <c r="BP52" s="92">
        <v>1134917.977</v>
      </c>
      <c r="BQ52" s="92">
        <v>1397917</v>
      </c>
      <c r="BR52" s="92">
        <v>1562562</v>
      </c>
      <c r="BS52" s="92">
        <v>1699954</v>
      </c>
      <c r="BT52" s="92">
        <v>1374861.4</v>
      </c>
      <c r="BU52" s="92">
        <v>922340.9</v>
      </c>
      <c r="BV52" s="92">
        <v>1102622.8999999999</v>
      </c>
      <c r="BW52" s="210">
        <v>1472888</v>
      </c>
      <c r="BX52" s="92">
        <v>1309585</v>
      </c>
      <c r="BY52" s="92">
        <v>1075038</v>
      </c>
      <c r="BZ52" s="92">
        <v>898356.9</v>
      </c>
      <c r="CA52" s="92">
        <v>900570</v>
      </c>
      <c r="CB52" s="92">
        <v>1514225.5</v>
      </c>
      <c r="CC52" s="92">
        <v>1764601.5589999999</v>
      </c>
      <c r="CD52" s="92">
        <v>1891806.4480000001</v>
      </c>
      <c r="CE52" s="92">
        <v>1602206.7479999999</v>
      </c>
      <c r="CF52" s="92">
        <v>1144780</v>
      </c>
      <c r="CG52" s="92">
        <v>859772</v>
      </c>
      <c r="CH52" s="93">
        <v>1136619</v>
      </c>
      <c r="CI52" s="210">
        <v>1492755</v>
      </c>
      <c r="CJ52" s="92">
        <v>1217456</v>
      </c>
      <c r="CK52" s="92">
        <v>984510</v>
      </c>
      <c r="CL52" s="92">
        <v>939867</v>
      </c>
      <c r="CM52" s="92">
        <v>956670</v>
      </c>
      <c r="CN52" s="92">
        <v>1333486</v>
      </c>
      <c r="CO52" s="92">
        <v>1929131.2</v>
      </c>
      <c r="CP52" s="92">
        <v>1819649</v>
      </c>
      <c r="CQ52" s="92">
        <v>1700173.2</v>
      </c>
      <c r="CR52" s="92">
        <v>1114768.5</v>
      </c>
      <c r="CS52" s="92">
        <v>864713.2</v>
      </c>
      <c r="CT52" s="93">
        <v>1291594</v>
      </c>
      <c r="CU52" s="92">
        <v>1888084.53</v>
      </c>
      <c r="CV52" s="92">
        <v>1549230.108</v>
      </c>
      <c r="CW52" s="92">
        <v>1384465.4040000001</v>
      </c>
      <c r="CX52" s="92">
        <v>1008587.8</v>
      </c>
      <c r="CY52" s="92">
        <v>1006039.3</v>
      </c>
      <c r="CZ52" s="92">
        <v>1709202.8</v>
      </c>
      <c r="DA52" s="92">
        <v>2021437.5</v>
      </c>
      <c r="DB52" s="92">
        <v>2204830.5</v>
      </c>
      <c r="DC52" s="92">
        <v>2125893.1</v>
      </c>
      <c r="DD52" s="92">
        <v>1424380.5</v>
      </c>
      <c r="DE52" s="92">
        <v>1051901.3</v>
      </c>
      <c r="DF52" s="93">
        <v>1387693.4</v>
      </c>
      <c r="DG52" s="92">
        <v>1860368.3</v>
      </c>
      <c r="DH52" s="92">
        <v>1948684.1</v>
      </c>
      <c r="DI52" s="92">
        <v>1164461.7</v>
      </c>
      <c r="DJ52" s="69">
        <v>1153208.1000000001</v>
      </c>
      <c r="DK52" s="69">
        <v>1320910.2</v>
      </c>
      <c r="DL52" s="69">
        <v>2017573.6</v>
      </c>
      <c r="DM52" s="69">
        <v>2669108.7000000002</v>
      </c>
      <c r="DN52" s="69">
        <v>2869739.2</v>
      </c>
      <c r="DO52" s="69">
        <v>2544534.6</v>
      </c>
      <c r="DP52" s="92">
        <v>1608552.2</v>
      </c>
      <c r="DQ52" s="92">
        <v>1203661.8</v>
      </c>
      <c r="DR52" s="92">
        <v>1655157</v>
      </c>
      <c r="DS52" s="68">
        <v>1882418.8</v>
      </c>
      <c r="DT52" s="297">
        <v>1566390.1</v>
      </c>
      <c r="DU52" s="68">
        <v>1310795.2</v>
      </c>
      <c r="DV52" s="351">
        <v>1308006.7</v>
      </c>
      <c r="DW52" s="351">
        <v>1558132.5</v>
      </c>
      <c r="DX52" s="351">
        <v>2113669.7999999998</v>
      </c>
      <c r="DY52" s="68">
        <v>2583950.6</v>
      </c>
      <c r="DZ52" s="297">
        <v>2778401.2</v>
      </c>
      <c r="EA52" s="68">
        <v>2422637.7999999998</v>
      </c>
      <c r="EB52" s="92">
        <v>1677252.2</v>
      </c>
      <c r="EC52" s="92">
        <v>1364479.2</v>
      </c>
      <c r="ED52" s="92">
        <v>1496023.4</v>
      </c>
      <c r="EE52" s="297">
        <v>2153957.5</v>
      </c>
      <c r="EF52" s="68">
        <v>1666432.4</v>
      </c>
      <c r="EG52" s="68">
        <v>1557074.3</v>
      </c>
      <c r="EH52" s="68">
        <v>1429684.6</v>
      </c>
      <c r="EI52" s="68">
        <v>1423689.8</v>
      </c>
      <c r="EJ52" s="68">
        <v>2048795</v>
      </c>
      <c r="EK52" s="92">
        <v>2616445.4</v>
      </c>
      <c r="EL52" s="92">
        <v>2725951.2</v>
      </c>
      <c r="EM52" s="92">
        <v>2788716.5</v>
      </c>
      <c r="EN52" s="92">
        <v>1971354.5</v>
      </c>
      <c r="EO52" s="92">
        <v>1321132.1000000001</v>
      </c>
      <c r="EP52" s="92">
        <v>2179292.6</v>
      </c>
      <c r="EQ52" s="68">
        <v>2554073.4</v>
      </c>
      <c r="ER52" s="68">
        <v>2280308.2999999998</v>
      </c>
      <c r="ES52" s="68">
        <v>1920295.9</v>
      </c>
      <c r="ET52" s="297">
        <v>1518660.2</v>
      </c>
      <c r="EU52" s="297">
        <v>1562727.8</v>
      </c>
      <c r="EV52" s="276">
        <v>2124699.7999999998</v>
      </c>
      <c r="EW52" s="92">
        <v>2536304.2000000002</v>
      </c>
      <c r="EX52" s="92">
        <v>2622310.2999999998</v>
      </c>
      <c r="EY52" s="92">
        <v>2832931.6</v>
      </c>
      <c r="EZ52" s="92">
        <v>1937227.3</v>
      </c>
      <c r="FA52" s="92">
        <v>1567149.2</v>
      </c>
      <c r="FB52" s="92">
        <v>1831575.2</v>
      </c>
      <c r="FC52" s="92">
        <v>2379637</v>
      </c>
      <c r="FD52" s="92">
        <v>2201309.4</v>
      </c>
      <c r="FE52" s="92">
        <v>2256709.5</v>
      </c>
      <c r="FF52" s="92">
        <v>1527199.8</v>
      </c>
      <c r="FG52" s="92">
        <v>1479367.2</v>
      </c>
      <c r="FH52" s="92">
        <v>2021116.3</v>
      </c>
      <c r="FI52" s="92">
        <v>2777040.3</v>
      </c>
      <c r="FJ52" s="92">
        <v>3202631.8</v>
      </c>
      <c r="FK52" s="92">
        <v>2927001.3</v>
      </c>
      <c r="FL52" s="92">
        <v>2264489.4</v>
      </c>
      <c r="FM52" s="92">
        <v>1524534.5</v>
      </c>
      <c r="FN52" s="92">
        <v>1769784.8</v>
      </c>
      <c r="FO52" s="92">
        <v>2227463.2999999998</v>
      </c>
      <c r="FP52" s="92">
        <v>2125283.7000000002</v>
      </c>
      <c r="FQ52" s="92">
        <v>1543846</v>
      </c>
      <c r="FR52" s="92">
        <v>1461848.2</v>
      </c>
      <c r="FS52" s="92">
        <v>1552023.7</v>
      </c>
      <c r="FT52" s="92">
        <v>2059276.9</v>
      </c>
    </row>
    <row r="53" spans="2:176" s="68" customFormat="1" ht="13.8" thickTop="1" x14ac:dyDescent="0.25">
      <c r="B53" s="87" t="s">
        <v>9</v>
      </c>
      <c r="C53" s="105">
        <f t="shared" ref="C53:Q53" si="258">SUM(C51:C52)</f>
        <v>2250193.8360000001</v>
      </c>
      <c r="D53" s="94">
        <f t="shared" si="258"/>
        <v>2305215.0260000001</v>
      </c>
      <c r="E53" s="94">
        <f t="shared" si="258"/>
        <v>2818944.5950000002</v>
      </c>
      <c r="F53" s="94">
        <f t="shared" si="258"/>
        <v>2307484.2430000002</v>
      </c>
      <c r="G53" s="94">
        <f t="shared" si="258"/>
        <v>2532275.5470000003</v>
      </c>
      <c r="H53" s="94">
        <f t="shared" si="258"/>
        <v>3230115.463</v>
      </c>
      <c r="I53" s="94">
        <f t="shared" si="258"/>
        <v>3929337.767</v>
      </c>
      <c r="J53" s="94">
        <f t="shared" si="258"/>
        <v>4383302.3640000001</v>
      </c>
      <c r="K53" s="94">
        <f t="shared" si="258"/>
        <v>4502865.8509999989</v>
      </c>
      <c r="L53" s="94">
        <f t="shared" si="258"/>
        <v>3101013.0890000002</v>
      </c>
      <c r="M53" s="94">
        <f t="shared" si="258"/>
        <v>2171170.6329999999</v>
      </c>
      <c r="N53" s="107">
        <f t="shared" si="258"/>
        <v>2732929.8760000002</v>
      </c>
      <c r="O53" s="105">
        <f t="shared" si="258"/>
        <v>3185153</v>
      </c>
      <c r="P53" s="94">
        <f t="shared" si="258"/>
        <v>3317818</v>
      </c>
      <c r="Q53" s="94">
        <f t="shared" si="258"/>
        <v>2928353</v>
      </c>
      <c r="R53" s="94">
        <f t="shared" ref="R53:W53" si="259">SUM(R51:R52)</f>
        <v>2109135.4959999998</v>
      </c>
      <c r="S53" s="94">
        <f t="shared" si="259"/>
        <v>2588095.9369999995</v>
      </c>
      <c r="T53" s="94">
        <f t="shared" si="259"/>
        <v>3266477.9960000003</v>
      </c>
      <c r="U53" s="94">
        <f t="shared" si="259"/>
        <v>4125434.0360000003</v>
      </c>
      <c r="V53" s="94">
        <f t="shared" si="259"/>
        <v>4864845.148</v>
      </c>
      <c r="W53" s="94">
        <f t="shared" si="259"/>
        <v>4002983.2940000002</v>
      </c>
      <c r="X53" s="94">
        <f t="shared" ref="X53:AL53" si="260">SUM(X51:X52)</f>
        <v>2731103</v>
      </c>
      <c r="Y53" s="94">
        <f t="shared" si="260"/>
        <v>2280947</v>
      </c>
      <c r="Z53" s="107">
        <f t="shared" si="260"/>
        <v>2623847</v>
      </c>
      <c r="AA53" s="105">
        <f t="shared" si="260"/>
        <v>3105412.5</v>
      </c>
      <c r="AB53" s="94">
        <f t="shared" si="260"/>
        <v>3151375.8000000003</v>
      </c>
      <c r="AC53" s="94">
        <f t="shared" si="260"/>
        <v>2623340.5</v>
      </c>
      <c r="AD53" s="94">
        <f t="shared" si="260"/>
        <v>2150450.4</v>
      </c>
      <c r="AE53" s="94">
        <f t="shared" si="260"/>
        <v>2417910.7999999998</v>
      </c>
      <c r="AF53" s="94">
        <f t="shared" si="260"/>
        <v>3494524.7</v>
      </c>
      <c r="AG53" s="94">
        <f>SUM(AG51:AG52)</f>
        <v>3969756.5</v>
      </c>
      <c r="AH53" s="94">
        <f>SUM(AH51:AH52)</f>
        <v>4086637.4</v>
      </c>
      <c r="AI53" s="94">
        <f>SUM(AI51:AI52)</f>
        <v>3762314.9</v>
      </c>
      <c r="AJ53" s="94">
        <f t="shared" si="260"/>
        <v>2941015.398</v>
      </c>
      <c r="AK53" s="94">
        <f t="shared" si="260"/>
        <v>2368320.0949999997</v>
      </c>
      <c r="AL53" s="107">
        <f t="shared" si="260"/>
        <v>2584697.3760000002</v>
      </c>
      <c r="AM53" s="105">
        <f t="shared" ref="AM53:AR53" si="261">SUM(AM51:AM52)</f>
        <v>3271988</v>
      </c>
      <c r="AN53" s="94">
        <f t="shared" si="261"/>
        <v>2909739</v>
      </c>
      <c r="AO53" s="94">
        <f t="shared" si="261"/>
        <v>2549868</v>
      </c>
      <c r="AP53" s="94">
        <f t="shared" si="261"/>
        <v>2188001.9</v>
      </c>
      <c r="AQ53" s="94">
        <f t="shared" si="261"/>
        <v>2251820.2999999998</v>
      </c>
      <c r="AR53" s="94">
        <f t="shared" si="261"/>
        <v>3654801.9</v>
      </c>
      <c r="AS53" s="94">
        <f t="shared" ref="AS53:AX53" si="262">SUM(AS51:AS52)</f>
        <v>4551336.5</v>
      </c>
      <c r="AT53" s="94">
        <f t="shared" si="262"/>
        <v>4322259.5999999996</v>
      </c>
      <c r="AU53" s="94">
        <f t="shared" si="262"/>
        <v>4735854</v>
      </c>
      <c r="AV53" s="94">
        <f t="shared" si="262"/>
        <v>3507650.8</v>
      </c>
      <c r="AW53" s="94">
        <f t="shared" si="262"/>
        <v>2247139.9</v>
      </c>
      <c r="AX53" s="107">
        <f t="shared" si="262"/>
        <v>2818975.4</v>
      </c>
      <c r="AY53" s="105">
        <f t="shared" ref="AY53:BJ53" si="263">SUM(AY51:AY52)</f>
        <v>2955271.8</v>
      </c>
      <c r="AZ53" s="94">
        <f t="shared" si="263"/>
        <v>2468819.1</v>
      </c>
      <c r="BA53" s="94">
        <f t="shared" si="263"/>
        <v>2613592.5</v>
      </c>
      <c r="BB53" s="94">
        <f t="shared" si="263"/>
        <v>2456745</v>
      </c>
      <c r="BC53" s="94">
        <f t="shared" si="263"/>
        <v>2652587</v>
      </c>
      <c r="BD53" s="94">
        <f t="shared" si="263"/>
        <v>3821254</v>
      </c>
      <c r="BE53" s="94">
        <f t="shared" si="263"/>
        <v>4358689.9000000004</v>
      </c>
      <c r="BF53" s="94">
        <f t="shared" si="263"/>
        <v>4980777.0999999996</v>
      </c>
      <c r="BG53" s="94">
        <f t="shared" si="263"/>
        <v>4565344.9000000004</v>
      </c>
      <c r="BH53" s="94">
        <f t="shared" si="263"/>
        <v>2932475.9</v>
      </c>
      <c r="BI53" s="94">
        <f t="shared" si="263"/>
        <v>2125685.9000000004</v>
      </c>
      <c r="BJ53" s="107">
        <f t="shared" si="263"/>
        <v>2685458.9</v>
      </c>
      <c r="BK53" s="105">
        <f t="shared" ref="BK53:BP53" si="264">SUM(BK51:BK52)</f>
        <v>3285652</v>
      </c>
      <c r="BL53" s="94">
        <f t="shared" si="264"/>
        <v>3588486.8</v>
      </c>
      <c r="BM53" s="94">
        <f t="shared" si="264"/>
        <v>2640287</v>
      </c>
      <c r="BN53" s="94">
        <f t="shared" si="264"/>
        <v>2112200.5149999997</v>
      </c>
      <c r="BO53" s="94">
        <f t="shared" si="264"/>
        <v>2280898.7579999999</v>
      </c>
      <c r="BP53" s="94">
        <f t="shared" si="264"/>
        <v>2958259.9069999997</v>
      </c>
      <c r="BQ53" s="94">
        <f t="shared" ref="BQ53:CB53" si="265">SUM(BQ51:BQ52)</f>
        <v>3612304</v>
      </c>
      <c r="BR53" s="94">
        <f t="shared" si="265"/>
        <v>4017643</v>
      </c>
      <c r="BS53" s="94">
        <f t="shared" si="265"/>
        <v>4359636</v>
      </c>
      <c r="BT53" s="94">
        <f t="shared" si="265"/>
        <v>3501054.6999999997</v>
      </c>
      <c r="BU53" s="94">
        <f t="shared" si="265"/>
        <v>2340969.5</v>
      </c>
      <c r="BV53" s="95">
        <f t="shared" si="265"/>
        <v>2760355.5</v>
      </c>
      <c r="BW53" s="115">
        <f t="shared" si="265"/>
        <v>3663005</v>
      </c>
      <c r="BX53" s="94">
        <f t="shared" si="265"/>
        <v>3255694</v>
      </c>
      <c r="BY53" s="94">
        <f t="shared" si="265"/>
        <v>2672301</v>
      </c>
      <c r="BZ53" s="94">
        <f t="shared" si="265"/>
        <v>2242475.7999999998</v>
      </c>
      <c r="CA53" s="94">
        <f t="shared" si="265"/>
        <v>2231637.7000000002</v>
      </c>
      <c r="CB53" s="94">
        <f t="shared" si="265"/>
        <v>3770142.7</v>
      </c>
      <c r="CC53" s="94">
        <f t="shared" ref="CC53:CK53" si="266">SUM(CC51:CC52)</f>
        <v>4399545.2879999997</v>
      </c>
      <c r="CD53" s="94">
        <f t="shared" si="266"/>
        <v>4700025.4309999999</v>
      </c>
      <c r="CE53" s="94">
        <f t="shared" si="266"/>
        <v>3992536.477</v>
      </c>
      <c r="CF53" s="94">
        <f t="shared" si="266"/>
        <v>2854859</v>
      </c>
      <c r="CG53" s="94">
        <f t="shared" si="266"/>
        <v>2138479</v>
      </c>
      <c r="CH53" s="94">
        <f t="shared" si="266"/>
        <v>2807422</v>
      </c>
      <c r="CI53" s="115">
        <f t="shared" si="266"/>
        <v>3677190</v>
      </c>
      <c r="CJ53" s="94">
        <f t="shared" si="266"/>
        <v>3008431</v>
      </c>
      <c r="CK53" s="94">
        <f t="shared" si="266"/>
        <v>2447714</v>
      </c>
      <c r="CL53" s="94">
        <f t="shared" ref="CL53:CT53" si="267">SUM(CL51:CL52)</f>
        <v>2344729</v>
      </c>
      <c r="CM53" s="94">
        <f t="shared" si="267"/>
        <v>2383097</v>
      </c>
      <c r="CN53" s="94">
        <f t="shared" si="267"/>
        <v>3319925</v>
      </c>
      <c r="CO53" s="94">
        <f t="shared" si="267"/>
        <v>4798381.0999999996</v>
      </c>
      <c r="CP53" s="94">
        <f t="shared" si="267"/>
        <v>4483385.0999999996</v>
      </c>
      <c r="CQ53" s="94">
        <f t="shared" si="267"/>
        <v>4132915.4000000004</v>
      </c>
      <c r="CR53" s="94">
        <f t="shared" si="267"/>
        <v>2660399.4</v>
      </c>
      <c r="CS53" s="94">
        <f t="shared" si="267"/>
        <v>2036729.4</v>
      </c>
      <c r="CT53" s="107">
        <f t="shared" si="267"/>
        <v>3006562</v>
      </c>
      <c r="CU53" s="95">
        <f>SUM(CU51:CU52)</f>
        <v>4356566.74</v>
      </c>
      <c r="CV53" s="95">
        <f>SUM(CV51:CV52)</f>
        <v>3544127.267</v>
      </c>
      <c r="CW53" s="95">
        <f>SUM(CW51:CW52)</f>
        <v>3156756.1710000001</v>
      </c>
      <c r="CX53" s="95">
        <f t="shared" ref="CX53:DC53" si="268">SUM(CX51:CX52)</f>
        <v>2297621.4000000004</v>
      </c>
      <c r="CY53" s="95">
        <f t="shared" si="268"/>
        <v>2266082.7999999998</v>
      </c>
      <c r="CZ53" s="95">
        <f t="shared" si="268"/>
        <v>3855412.2</v>
      </c>
      <c r="DA53" s="95">
        <f t="shared" si="268"/>
        <v>4541207.8</v>
      </c>
      <c r="DB53" s="95">
        <f t="shared" si="268"/>
        <v>4911944.2</v>
      </c>
      <c r="DC53" s="95">
        <f t="shared" si="268"/>
        <v>4679970.4000000004</v>
      </c>
      <c r="DD53" s="95">
        <f t="shared" ref="DD53:DJ53" si="269">SUM(DD51:DD52)</f>
        <v>3077973.4</v>
      </c>
      <c r="DE53" s="95">
        <f t="shared" si="269"/>
        <v>2230217.4000000004</v>
      </c>
      <c r="DF53" s="107">
        <f t="shared" si="269"/>
        <v>2905146.2</v>
      </c>
      <c r="DG53" s="95">
        <f t="shared" si="269"/>
        <v>3856121.7</v>
      </c>
      <c r="DH53" s="95">
        <f t="shared" si="269"/>
        <v>3973614.1</v>
      </c>
      <c r="DI53" s="95">
        <f t="shared" si="269"/>
        <v>2387221.7999999998</v>
      </c>
      <c r="DJ53" s="95">
        <f t="shared" si="269"/>
        <v>2335451.4000000004</v>
      </c>
      <c r="DK53" s="95">
        <f t="shared" ref="DK53:DU53" si="270">SUM(DK51:DK52)</f>
        <v>2661227.4</v>
      </c>
      <c r="DL53" s="95">
        <f t="shared" si="270"/>
        <v>4070602.3</v>
      </c>
      <c r="DM53" s="95">
        <f t="shared" si="270"/>
        <v>5377571.2000000002</v>
      </c>
      <c r="DN53" s="95">
        <f t="shared" si="270"/>
        <v>5719405</v>
      </c>
      <c r="DO53" s="95">
        <f t="shared" si="270"/>
        <v>5000890.3000000007</v>
      </c>
      <c r="DP53" s="95">
        <f t="shared" si="270"/>
        <v>3108915.8</v>
      </c>
      <c r="DQ53" s="95">
        <f t="shared" si="270"/>
        <v>2287326.1</v>
      </c>
      <c r="DR53" s="95">
        <f t="shared" si="270"/>
        <v>3109122.7</v>
      </c>
      <c r="DS53" s="95">
        <f t="shared" si="270"/>
        <v>3532423.1</v>
      </c>
      <c r="DT53" s="95">
        <f t="shared" si="270"/>
        <v>2908692.1</v>
      </c>
      <c r="DU53" s="95">
        <f t="shared" si="270"/>
        <v>2431610.2000000002</v>
      </c>
      <c r="DV53" s="355">
        <f t="shared" ref="DV53:EX53" si="271">SUM(DV51:DV52)</f>
        <v>2404400.4</v>
      </c>
      <c r="DW53" s="355">
        <f t="shared" si="271"/>
        <v>2854833.7</v>
      </c>
      <c r="DX53" s="355">
        <f t="shared" si="271"/>
        <v>3887120.8</v>
      </c>
      <c r="DY53" s="355">
        <f t="shared" si="271"/>
        <v>4755779.5</v>
      </c>
      <c r="DZ53" s="355">
        <f t="shared" si="271"/>
        <v>5094025.9000000004</v>
      </c>
      <c r="EA53" s="355">
        <f t="shared" si="271"/>
        <v>4409613.0999999996</v>
      </c>
      <c r="EB53" s="355">
        <f t="shared" si="271"/>
        <v>3018347.2</v>
      </c>
      <c r="EC53" s="355">
        <f t="shared" si="271"/>
        <v>2427431.2000000002</v>
      </c>
      <c r="ED53" s="355">
        <f t="shared" si="271"/>
        <v>2652867.2000000002</v>
      </c>
      <c r="EE53" s="355">
        <f t="shared" si="271"/>
        <v>3796241.9</v>
      </c>
      <c r="EF53" s="355">
        <f t="shared" si="271"/>
        <v>2932071.8</v>
      </c>
      <c r="EG53" s="355">
        <f t="shared" si="271"/>
        <v>2726797.1</v>
      </c>
      <c r="EH53" s="355">
        <f t="shared" si="271"/>
        <v>2495103.2999999998</v>
      </c>
      <c r="EI53" s="355">
        <f t="shared" si="271"/>
        <v>2472566.7000000002</v>
      </c>
      <c r="EJ53" s="355">
        <f t="shared" si="271"/>
        <v>3578508.5</v>
      </c>
      <c r="EK53" s="355">
        <f t="shared" si="271"/>
        <v>4578573.3</v>
      </c>
      <c r="EL53" s="355">
        <f t="shared" si="271"/>
        <v>4753720.5999999996</v>
      </c>
      <c r="EM53" s="355">
        <f t="shared" si="271"/>
        <v>4843238.8</v>
      </c>
      <c r="EN53" s="355">
        <f t="shared" si="271"/>
        <v>3394098</v>
      </c>
      <c r="EO53" s="355">
        <f t="shared" si="271"/>
        <v>2252431.5</v>
      </c>
      <c r="EP53" s="355">
        <f t="shared" si="271"/>
        <v>3673448.5</v>
      </c>
      <c r="EQ53" s="355">
        <f t="shared" si="271"/>
        <v>4304343</v>
      </c>
      <c r="ER53" s="355">
        <f t="shared" si="271"/>
        <v>3820273.9</v>
      </c>
      <c r="ES53" s="355">
        <f t="shared" si="271"/>
        <v>3218344.8</v>
      </c>
      <c r="ET53" s="355">
        <f t="shared" si="271"/>
        <v>2547687.5</v>
      </c>
      <c r="EU53" s="355">
        <f t="shared" si="271"/>
        <v>2610914.7000000002</v>
      </c>
      <c r="EV53" s="358">
        <f t="shared" si="271"/>
        <v>3563720.8</v>
      </c>
      <c r="EW53" s="358">
        <f t="shared" si="271"/>
        <v>4259838.4000000004</v>
      </c>
      <c r="EX53" s="358">
        <f t="shared" si="271"/>
        <v>4396044.6999999993</v>
      </c>
      <c r="EY53" s="358">
        <f>SUM(EY51:EY52)</f>
        <v>4723906.2</v>
      </c>
      <c r="EZ53" s="358">
        <f t="shared" ref="EZ53:FN53" si="272">SUM(EZ51:EZ52)</f>
        <v>3199919.4000000004</v>
      </c>
      <c r="FA53" s="358">
        <f t="shared" si="272"/>
        <v>2562174.5</v>
      </c>
      <c r="FB53" s="358">
        <f t="shared" si="272"/>
        <v>2988826.5</v>
      </c>
      <c r="FC53" s="358">
        <f t="shared" si="272"/>
        <v>3862298</v>
      </c>
      <c r="FD53" s="358">
        <f t="shared" si="272"/>
        <v>3568404.5999999996</v>
      </c>
      <c r="FE53" s="358">
        <f t="shared" si="272"/>
        <v>3643322.6</v>
      </c>
      <c r="FF53" s="358">
        <f t="shared" si="272"/>
        <v>2476493.7000000002</v>
      </c>
      <c r="FG53" s="358">
        <f t="shared" si="272"/>
        <v>2390107.7000000002</v>
      </c>
      <c r="FH53" s="358">
        <f t="shared" si="272"/>
        <v>3270361.9000000004</v>
      </c>
      <c r="FI53" s="358">
        <f t="shared" si="272"/>
        <v>4512744.9000000004</v>
      </c>
      <c r="FJ53" s="358">
        <f t="shared" si="272"/>
        <v>5210069.1999999993</v>
      </c>
      <c r="FK53" s="358">
        <f t="shared" si="272"/>
        <v>4740221.6999999993</v>
      </c>
      <c r="FL53" s="358">
        <f t="shared" si="272"/>
        <v>3641695.0999999996</v>
      </c>
      <c r="FM53" s="358">
        <f t="shared" si="272"/>
        <v>2428158.7000000002</v>
      </c>
      <c r="FN53" s="358">
        <f t="shared" si="272"/>
        <v>2808631.2</v>
      </c>
      <c r="FO53" s="358">
        <f t="shared" ref="FO53:FQ53" si="273">SUM(FO51:FO52)</f>
        <v>3517576</v>
      </c>
      <c r="FP53" s="358">
        <f t="shared" si="273"/>
        <v>3344278.3000000003</v>
      </c>
      <c r="FQ53" s="358">
        <f t="shared" si="273"/>
        <v>2432183.4</v>
      </c>
      <c r="FR53" s="358">
        <f t="shared" ref="FR53:FT53" si="274">SUM(FR51:FR52)</f>
        <v>2298309.4</v>
      </c>
      <c r="FS53" s="358">
        <f t="shared" si="274"/>
        <v>2426952.2999999998</v>
      </c>
      <c r="FT53" s="358">
        <f t="shared" si="274"/>
        <v>3229639.4</v>
      </c>
    </row>
    <row r="54" spans="2:176" s="242" customFormat="1" x14ac:dyDescent="0.25">
      <c r="B54" s="238" t="s">
        <v>10</v>
      </c>
      <c r="C54" s="247">
        <f t="shared" ref="C54:Q54" si="275">SUM(C51)/C53</f>
        <v>0.99995466657211118</v>
      </c>
      <c r="D54" s="240">
        <f t="shared" si="275"/>
        <v>0.97608761075288952</v>
      </c>
      <c r="E54" s="240">
        <f t="shared" si="275"/>
        <v>0.97516602131018471</v>
      </c>
      <c r="F54" s="240">
        <f t="shared" si="275"/>
        <v>0.97355453100704015</v>
      </c>
      <c r="G54" s="240">
        <f t="shared" si="275"/>
        <v>0.96886523384336898</v>
      </c>
      <c r="H54" s="240">
        <f t="shared" si="275"/>
        <v>0.96281158479442253</v>
      </c>
      <c r="I54" s="240">
        <f t="shared" si="275"/>
        <v>0.95462482418859984</v>
      </c>
      <c r="J54" s="240">
        <f t="shared" si="275"/>
        <v>0.94823102557019956</v>
      </c>
      <c r="K54" s="240">
        <f t="shared" si="275"/>
        <v>0.94042478659664619</v>
      </c>
      <c r="L54" s="240">
        <f t="shared" si="275"/>
        <v>0.93820434274213416</v>
      </c>
      <c r="M54" s="240">
        <f t="shared" si="275"/>
        <v>0.9340704485293212</v>
      </c>
      <c r="N54" s="241">
        <f t="shared" si="275"/>
        <v>0.9316401629472324</v>
      </c>
      <c r="O54" s="247">
        <f t="shared" si="275"/>
        <v>0.92658280465647958</v>
      </c>
      <c r="P54" s="240">
        <f t="shared" si="275"/>
        <v>0.92679887805780792</v>
      </c>
      <c r="Q54" s="240">
        <f t="shared" si="275"/>
        <v>0.92333950176088742</v>
      </c>
      <c r="R54" s="240">
        <f t="shared" ref="R54:W54" si="276">SUM(R51)/R53</f>
        <v>0.91789216940854146</v>
      </c>
      <c r="S54" s="240">
        <f t="shared" si="276"/>
        <v>0.90862008026095831</v>
      </c>
      <c r="T54" s="240">
        <f t="shared" si="276"/>
        <v>0.90435520264254665</v>
      </c>
      <c r="U54" s="240">
        <f t="shared" si="276"/>
        <v>0.89717832298409828</v>
      </c>
      <c r="V54" s="240">
        <f t="shared" si="276"/>
        <v>0.8883461741380797</v>
      </c>
      <c r="W54" s="240">
        <f t="shared" si="276"/>
        <v>0.88207894679262677</v>
      </c>
      <c r="X54" s="240">
        <f>SUM(X51)/X53</f>
        <v>0.8724302964772841</v>
      </c>
      <c r="Y54" s="240">
        <f>SUM(Y51)/Y53</f>
        <v>0.86326951042702882</v>
      </c>
      <c r="Z54" s="241">
        <f>SUM(Z51)/Z53</f>
        <v>0.85893880245303933</v>
      </c>
      <c r="AA54" s="247">
        <f>SUM(AA51)/AA53</f>
        <v>0.856385906864225</v>
      </c>
      <c r="AB54" s="240">
        <f t="shared" ref="AB54:AL54" si="277">SUM(AB51)/AB53</f>
        <v>0.85564901526501536</v>
      </c>
      <c r="AC54" s="240">
        <f t="shared" si="277"/>
        <v>0.85444249421682017</v>
      </c>
      <c r="AD54" s="240">
        <f t="shared" si="277"/>
        <v>0.85208289389050784</v>
      </c>
      <c r="AE54" s="240">
        <f t="shared" si="277"/>
        <v>0.84992271013471643</v>
      </c>
      <c r="AF54" s="240">
        <f t="shared" si="277"/>
        <v>0.846604546821489</v>
      </c>
      <c r="AG54" s="240">
        <f>SUM(AG51)/AG53</f>
        <v>0.84514599321142236</v>
      </c>
      <c r="AH54" s="240">
        <f>SUM(AH51)/AH53</f>
        <v>0.83788263181852152</v>
      </c>
      <c r="AI54" s="240">
        <f>SUM(AI51)/AI53</f>
        <v>0.82974548462171516</v>
      </c>
      <c r="AJ54" s="240">
        <f t="shared" si="277"/>
        <v>0.82140933693948648</v>
      </c>
      <c r="AK54" s="240">
        <f t="shared" si="277"/>
        <v>0.81440058675852267</v>
      </c>
      <c r="AL54" s="241">
        <f t="shared" si="277"/>
        <v>0.80700754191503454</v>
      </c>
      <c r="AM54" s="247">
        <f t="shared" ref="AM54:AR54" si="278">SUM(AM51)/AM53</f>
        <v>0.80174560542398077</v>
      </c>
      <c r="AN54" s="240">
        <f t="shared" si="278"/>
        <v>0.79593221247678914</v>
      </c>
      <c r="AO54" s="240">
        <f t="shared" si="278"/>
        <v>0.79213865188315635</v>
      </c>
      <c r="AP54" s="240">
        <f t="shared" si="278"/>
        <v>0.78560078032839009</v>
      </c>
      <c r="AQ54" s="240">
        <f t="shared" si="278"/>
        <v>0.77877892831856965</v>
      </c>
      <c r="AR54" s="240">
        <f t="shared" si="278"/>
        <v>0.76894397477466558</v>
      </c>
      <c r="AS54" s="240">
        <f t="shared" ref="AS54:AX54" si="279">SUM(AS51)/AS53</f>
        <v>0.75787887799550746</v>
      </c>
      <c r="AT54" s="240">
        <f t="shared" si="279"/>
        <v>0.74777930969255069</v>
      </c>
      <c r="AU54" s="240">
        <f t="shared" si="279"/>
        <v>0.73830086400467587</v>
      </c>
      <c r="AV54" s="240">
        <f t="shared" si="279"/>
        <v>0.72801232095281554</v>
      </c>
      <c r="AW54" s="240">
        <f t="shared" si="279"/>
        <v>0.71930612775822278</v>
      </c>
      <c r="AX54" s="241">
        <f t="shared" si="279"/>
        <v>0.71234509531370871</v>
      </c>
      <c r="AY54" s="247">
        <f t="shared" ref="AY54:BJ54" si="280">SUM(AY51)/AY53</f>
        <v>0.70967042692993587</v>
      </c>
      <c r="AZ54" s="240">
        <f t="shared" si="280"/>
        <v>0.70539311689544204</v>
      </c>
      <c r="BA54" s="240">
        <f t="shared" si="280"/>
        <v>0.70072629914571605</v>
      </c>
      <c r="BB54" s="240">
        <f t="shared" si="280"/>
        <v>0.69786974228094489</v>
      </c>
      <c r="BC54" s="240">
        <f t="shared" si="280"/>
        <v>0.69434518076127194</v>
      </c>
      <c r="BD54" s="240">
        <f t="shared" si="280"/>
        <v>0.68994419109538385</v>
      </c>
      <c r="BE54" s="240">
        <f t="shared" si="280"/>
        <v>0.68466169157847168</v>
      </c>
      <c r="BF54" s="240">
        <f t="shared" si="280"/>
        <v>0.6793318657042493</v>
      </c>
      <c r="BG54" s="240">
        <f t="shared" si="280"/>
        <v>0.67222483015467238</v>
      </c>
      <c r="BH54" s="240">
        <f t="shared" si="280"/>
        <v>0.66292834665751221</v>
      </c>
      <c r="BI54" s="240">
        <f t="shared" si="280"/>
        <v>0.65377020189106949</v>
      </c>
      <c r="BJ54" s="241">
        <f t="shared" si="280"/>
        <v>0.64528144519359432</v>
      </c>
      <c r="BK54" s="247">
        <f t="shared" ref="BK54:BP54" si="281">SUM(BK51)/BK53</f>
        <v>0.63909169321644532</v>
      </c>
      <c r="BL54" s="240">
        <f t="shared" si="281"/>
        <v>0.63261286066316313</v>
      </c>
      <c r="BM54" s="240">
        <f t="shared" si="281"/>
        <v>0.63213010555291904</v>
      </c>
      <c r="BN54" s="240">
        <f t="shared" si="281"/>
        <v>0.6287567006866297</v>
      </c>
      <c r="BO54" s="240">
        <f t="shared" si="281"/>
        <v>0.6209776716446439</v>
      </c>
      <c r="BP54" s="240">
        <f t="shared" si="281"/>
        <v>0.61635623215036195</v>
      </c>
      <c r="BQ54" s="240">
        <f t="shared" ref="BQ54:CB54" si="282">SUM(BQ51)/BQ53</f>
        <v>0.61301235997856218</v>
      </c>
      <c r="BR54" s="240">
        <f t="shared" si="282"/>
        <v>0.61107495115917465</v>
      </c>
      <c r="BS54" s="240">
        <f t="shared" si="282"/>
        <v>0.61006973976726497</v>
      </c>
      <c r="BT54" s="240">
        <f t="shared" si="282"/>
        <v>0.60730079424351757</v>
      </c>
      <c r="BU54" s="240">
        <f t="shared" si="282"/>
        <v>0.60600046262883822</v>
      </c>
      <c r="BV54" s="240">
        <f t="shared" si="282"/>
        <v>0.60055040012056427</v>
      </c>
      <c r="BW54" s="248">
        <f t="shared" si="282"/>
        <v>0.59790172276587117</v>
      </c>
      <c r="BX54" s="240">
        <f t="shared" si="282"/>
        <v>0.5977555015919801</v>
      </c>
      <c r="BY54" s="240">
        <f t="shared" si="282"/>
        <v>0.59771073692671595</v>
      </c>
      <c r="BZ54" s="240">
        <f t="shared" si="282"/>
        <v>0.59939059320060439</v>
      </c>
      <c r="CA54" s="240">
        <f t="shared" si="282"/>
        <v>0.59645331318788886</v>
      </c>
      <c r="CB54" s="240">
        <f t="shared" si="282"/>
        <v>0.59836387625327814</v>
      </c>
      <c r="CC54" s="240">
        <f t="shared" ref="CC54:CK54" si="283">SUM(CC51)/CC53</f>
        <v>0.59891274132055261</v>
      </c>
      <c r="CD54" s="240">
        <f t="shared" si="283"/>
        <v>0.59749016770798835</v>
      </c>
      <c r="CE54" s="240">
        <f t="shared" si="283"/>
        <v>0.5986995341858713</v>
      </c>
      <c r="CF54" s="240">
        <f t="shared" si="283"/>
        <v>0.59900646581845196</v>
      </c>
      <c r="CG54" s="240">
        <f t="shared" si="283"/>
        <v>0.59795162823670467</v>
      </c>
      <c r="CH54" s="240">
        <f t="shared" si="283"/>
        <v>0.59513781682981748</v>
      </c>
      <c r="CI54" s="248">
        <f t="shared" si="283"/>
        <v>0.59405007628107331</v>
      </c>
      <c r="CJ54" s="240">
        <f t="shared" si="283"/>
        <v>0.59531862289678572</v>
      </c>
      <c r="CK54" s="240">
        <f t="shared" si="283"/>
        <v>0.59778389141868704</v>
      </c>
      <c r="CL54" s="240">
        <f t="shared" ref="CL54:CQ54" si="284">SUM(CL51)/CL53</f>
        <v>0.5991575145784438</v>
      </c>
      <c r="CM54" s="240">
        <f t="shared" si="284"/>
        <v>0.59856019289185458</v>
      </c>
      <c r="CN54" s="240">
        <f t="shared" si="284"/>
        <v>0.5983385166833588</v>
      </c>
      <c r="CO54" s="240">
        <f t="shared" si="284"/>
        <v>0.59796207099932108</v>
      </c>
      <c r="CP54" s="240">
        <f t="shared" si="284"/>
        <v>0.59413502087964742</v>
      </c>
      <c r="CQ54" s="240">
        <f t="shared" si="284"/>
        <v>0.58862617899219516</v>
      </c>
      <c r="CR54" s="240">
        <f t="shared" ref="CR54:DJ54" si="285">SUM(CR51)/CR53</f>
        <v>0.58097701420320569</v>
      </c>
      <c r="CS54" s="240">
        <f t="shared" si="285"/>
        <v>0.57544031131479711</v>
      </c>
      <c r="CT54" s="241">
        <f t="shared" si="285"/>
        <v>0.57040832685306342</v>
      </c>
      <c r="CU54" s="240">
        <f t="shared" si="285"/>
        <v>0.56661182011411115</v>
      </c>
      <c r="CV54" s="240">
        <f t="shared" si="285"/>
        <v>0.5628740191061542</v>
      </c>
      <c r="CW54" s="240">
        <f t="shared" si="285"/>
        <v>0.56142783002418972</v>
      </c>
      <c r="CX54" s="240">
        <f t="shared" si="285"/>
        <v>0.56102959347436432</v>
      </c>
      <c r="CY54" s="240">
        <f t="shared" si="285"/>
        <v>0.5560447747099091</v>
      </c>
      <c r="CZ54" s="240">
        <f t="shared" si="285"/>
        <v>0.55667443289202634</v>
      </c>
      <c r="DA54" s="240">
        <f t="shared" si="285"/>
        <v>0.55486787017321693</v>
      </c>
      <c r="DB54" s="240">
        <f t="shared" si="285"/>
        <v>0.55112875671511086</v>
      </c>
      <c r="DC54" s="240">
        <f t="shared" si="285"/>
        <v>0.54574646455028852</v>
      </c>
      <c r="DD54" s="240">
        <f t="shared" si="285"/>
        <v>0.53723430488385637</v>
      </c>
      <c r="DE54" s="240">
        <f t="shared" si="285"/>
        <v>0.52834136259541331</v>
      </c>
      <c r="DF54" s="241">
        <f t="shared" si="285"/>
        <v>0.52233267984929643</v>
      </c>
      <c r="DG54" s="240">
        <f t="shared" si="285"/>
        <v>0.51755456784468179</v>
      </c>
      <c r="DH54" s="240">
        <f t="shared" si="285"/>
        <v>0.50959402424105549</v>
      </c>
      <c r="DI54" s="240">
        <f t="shared" si="285"/>
        <v>0.51221051181754462</v>
      </c>
      <c r="DJ54" s="240">
        <f t="shared" si="285"/>
        <v>0.50621618587310357</v>
      </c>
      <c r="DK54" s="240">
        <f t="shared" ref="DK54:EX54" si="286">SUM(DK51)/DK53</f>
        <v>0.50364624984696915</v>
      </c>
      <c r="DL54" s="240">
        <f t="shared" si="286"/>
        <v>0.50435501891206613</v>
      </c>
      <c r="DM54" s="240">
        <f t="shared" si="286"/>
        <v>0.50365906824255524</v>
      </c>
      <c r="DN54" s="240">
        <f t="shared" si="286"/>
        <v>0.49824514962657823</v>
      </c>
      <c r="DO54" s="240">
        <f t="shared" si="286"/>
        <v>0.49118367983396871</v>
      </c>
      <c r="DP54" s="240">
        <f t="shared" si="286"/>
        <v>0.48260026855664606</v>
      </c>
      <c r="DQ54" s="240">
        <f t="shared" si="286"/>
        <v>0.47376904412536541</v>
      </c>
      <c r="DR54" s="240">
        <f t="shared" si="286"/>
        <v>0.46764500481116422</v>
      </c>
      <c r="DS54" s="240">
        <f t="shared" si="286"/>
        <v>0.46710268087647827</v>
      </c>
      <c r="DT54" s="240">
        <f t="shared" si="286"/>
        <v>0.4614795770236389</v>
      </c>
      <c r="DU54" s="240">
        <f t="shared" si="286"/>
        <v>0.46093530945050315</v>
      </c>
      <c r="DV54" s="356">
        <f t="shared" si="286"/>
        <v>0.45599464215693858</v>
      </c>
      <c r="DW54" s="356">
        <f t="shared" si="286"/>
        <v>0.45421251682716224</v>
      </c>
      <c r="DX54" s="356">
        <f t="shared" si="286"/>
        <v>0.45623768625868277</v>
      </c>
      <c r="DY54" s="356">
        <f t="shared" si="286"/>
        <v>0.45667148781813788</v>
      </c>
      <c r="DZ54" s="356">
        <f t="shared" si="286"/>
        <v>0.45457654622447052</v>
      </c>
      <c r="EA54" s="356">
        <f t="shared" si="286"/>
        <v>0.45060082482066288</v>
      </c>
      <c r="EB54" s="356">
        <f t="shared" si="286"/>
        <v>0.44431435853370344</v>
      </c>
      <c r="EC54" s="356">
        <f t="shared" si="286"/>
        <v>0.43789171038091623</v>
      </c>
      <c r="ED54" s="356">
        <f t="shared" si="286"/>
        <v>0.43607301564134082</v>
      </c>
      <c r="EE54" s="356">
        <f t="shared" si="286"/>
        <v>0.43260794313449835</v>
      </c>
      <c r="EF54" s="356">
        <f t="shared" si="286"/>
        <v>0.43165361775929223</v>
      </c>
      <c r="EG54" s="356">
        <f t="shared" si="286"/>
        <v>0.42897317149119751</v>
      </c>
      <c r="EH54" s="356">
        <f t="shared" si="286"/>
        <v>0.42700384388894841</v>
      </c>
      <c r="EI54" s="356">
        <f t="shared" si="286"/>
        <v>0.42420570494620019</v>
      </c>
      <c r="EJ54" s="356">
        <f t="shared" si="286"/>
        <v>0.42747236732845539</v>
      </c>
      <c r="EK54" s="356">
        <f t="shared" si="286"/>
        <v>0.42854570003280279</v>
      </c>
      <c r="EL54" s="356">
        <f t="shared" si="286"/>
        <v>0.42656469965862109</v>
      </c>
      <c r="EM54" s="356">
        <f t="shared" si="286"/>
        <v>0.42420421227216798</v>
      </c>
      <c r="EN54" s="356">
        <f t="shared" si="286"/>
        <v>0.41918162056605318</v>
      </c>
      <c r="EO54" s="356">
        <f t="shared" si="286"/>
        <v>0.41346402765189533</v>
      </c>
      <c r="EP54" s="356">
        <f t="shared" si="286"/>
        <v>0.40674475224029955</v>
      </c>
      <c r="EQ54" s="356">
        <f t="shared" si="286"/>
        <v>0.40662874682617073</v>
      </c>
      <c r="ER54" s="356">
        <f t="shared" si="286"/>
        <v>0.40310345287022487</v>
      </c>
      <c r="ES54" s="356">
        <f t="shared" si="286"/>
        <v>0.40332810207284192</v>
      </c>
      <c r="ET54" s="356">
        <f t="shared" si="286"/>
        <v>0.40390640531854871</v>
      </c>
      <c r="EU54" s="356">
        <f t="shared" si="286"/>
        <v>0.40146347944649435</v>
      </c>
      <c r="EV54" s="356">
        <f t="shared" si="286"/>
        <v>0.40379734574044074</v>
      </c>
      <c r="EW54" s="356">
        <f t="shared" si="286"/>
        <v>0.40460084119622935</v>
      </c>
      <c r="EX54" s="356">
        <f t="shared" si="286"/>
        <v>0.40348415929437664</v>
      </c>
      <c r="EY54" s="282">
        <f>SUM(EY51)/EY53</f>
        <v>0.40029893057571719</v>
      </c>
      <c r="EZ54" s="282">
        <f t="shared" ref="EZ54:FN54" si="287">SUM(EZ51)/EZ53</f>
        <v>0.39460122026823546</v>
      </c>
      <c r="FA54" s="282">
        <f t="shared" si="287"/>
        <v>0.3883518862591131</v>
      </c>
      <c r="FB54" s="282">
        <f t="shared" si="287"/>
        <v>0.38719253191846364</v>
      </c>
      <c r="FC54" s="282">
        <f t="shared" si="287"/>
        <v>0.38388052915647625</v>
      </c>
      <c r="FD54" s="282">
        <f t="shared" si="287"/>
        <v>0.38311104071550633</v>
      </c>
      <c r="FE54" s="282">
        <f t="shared" si="287"/>
        <v>0.38059026120827183</v>
      </c>
      <c r="FF54" s="282">
        <f t="shared" si="287"/>
        <v>0.38332175042480421</v>
      </c>
      <c r="FG54" s="282">
        <f t="shared" si="287"/>
        <v>0.38104579973530062</v>
      </c>
      <c r="FH54" s="282">
        <f t="shared" si="287"/>
        <v>0.3819900176796947</v>
      </c>
      <c r="FI54" s="282">
        <f t="shared" si="287"/>
        <v>0.38462280462607135</v>
      </c>
      <c r="FJ54" s="282">
        <f t="shared" si="287"/>
        <v>0.38529956569482804</v>
      </c>
      <c r="FK54" s="282">
        <f t="shared" si="287"/>
        <v>0.38251805817436768</v>
      </c>
      <c r="FL54" s="282">
        <f t="shared" si="287"/>
        <v>0.37817710219617234</v>
      </c>
      <c r="FM54" s="282">
        <f t="shared" si="287"/>
        <v>0.3721437976850524</v>
      </c>
      <c r="FN54" s="282">
        <f t="shared" si="287"/>
        <v>0.36987640100273755</v>
      </c>
      <c r="FO54" s="282">
        <f t="shared" ref="FO54:FQ54" si="288">SUM(FO51)/FO53</f>
        <v>0.36676185532309746</v>
      </c>
      <c r="FP54" s="282">
        <f t="shared" si="288"/>
        <v>0.36450154282913594</v>
      </c>
      <c r="FQ54" s="282">
        <f t="shared" si="288"/>
        <v>0.3652427691102571</v>
      </c>
      <c r="FR54" s="282">
        <f t="shared" ref="FR54:FT54" si="289">SUM(FR51)/FR53</f>
        <v>0.363946298962185</v>
      </c>
      <c r="FS54" s="282">
        <f t="shared" si="289"/>
        <v>0.36050506637481095</v>
      </c>
      <c r="FT54" s="282">
        <f t="shared" si="289"/>
        <v>0.3623817878862885</v>
      </c>
    </row>
    <row r="55" spans="2:176" s="242" customFormat="1" ht="13.8" thickBot="1" x14ac:dyDescent="0.3">
      <c r="B55" s="243" t="s">
        <v>11</v>
      </c>
      <c r="C55" s="249">
        <f t="shared" ref="C55:H55" si="290">SUM(C52/C53)</f>
        <v>4.5333427888743007E-5</v>
      </c>
      <c r="D55" s="245">
        <f t="shared" si="290"/>
        <v>2.3912389247110529E-2</v>
      </c>
      <c r="E55" s="245">
        <f t="shared" si="290"/>
        <v>2.4833978689815243E-2</v>
      </c>
      <c r="F55" s="245">
        <f t="shared" si="290"/>
        <v>2.6445468992959888E-2</v>
      </c>
      <c r="G55" s="245">
        <f t="shared" si="290"/>
        <v>3.1134766156631067E-2</v>
      </c>
      <c r="H55" s="245">
        <f t="shared" si="290"/>
        <v>3.7188415205577439E-2</v>
      </c>
      <c r="I55" s="245">
        <f t="shared" ref="I55:Q55" si="291">SUM(I52/I53)</f>
        <v>4.5375175811400159E-2</v>
      </c>
      <c r="J55" s="245">
        <f t="shared" si="291"/>
        <v>5.1768974429800475E-2</v>
      </c>
      <c r="K55" s="245">
        <f t="shared" si="291"/>
        <v>5.957521340335379E-2</v>
      </c>
      <c r="L55" s="245">
        <f t="shared" si="291"/>
        <v>6.1795657257865892E-2</v>
      </c>
      <c r="M55" s="245">
        <f t="shared" si="291"/>
        <v>6.5929551470678846E-2</v>
      </c>
      <c r="N55" s="246">
        <f t="shared" si="291"/>
        <v>6.8359837052767575E-2</v>
      </c>
      <c r="O55" s="249">
        <f t="shared" si="291"/>
        <v>7.3417195343520383E-2</v>
      </c>
      <c r="P55" s="245">
        <f t="shared" si="291"/>
        <v>7.3201121942192124E-2</v>
      </c>
      <c r="Q55" s="245">
        <f t="shared" si="291"/>
        <v>7.6660498239112571E-2</v>
      </c>
      <c r="R55" s="245">
        <f t="shared" ref="R55:W55" si="292">SUM(R52/R53)</f>
        <v>8.2107830591458611E-2</v>
      </c>
      <c r="S55" s="245">
        <f t="shared" si="292"/>
        <v>9.1379919739041679E-2</v>
      </c>
      <c r="T55" s="245">
        <f t="shared" si="292"/>
        <v>9.5644797357453293E-2</v>
      </c>
      <c r="U55" s="245">
        <f t="shared" si="292"/>
        <v>0.10282167701590177</v>
      </c>
      <c r="V55" s="245">
        <f t="shared" si="292"/>
        <v>0.1116538258619203</v>
      </c>
      <c r="W55" s="245">
        <f t="shared" si="292"/>
        <v>0.1179210532073732</v>
      </c>
      <c r="X55" s="245">
        <f>SUM(X52/X53)</f>
        <v>0.1275697035227159</v>
      </c>
      <c r="Y55" s="245">
        <f>SUM(Y52/Y53)</f>
        <v>0.13673048957297124</v>
      </c>
      <c r="Z55" s="246">
        <f>SUM(Z52/Z53)</f>
        <v>0.14106119754696061</v>
      </c>
      <c r="AA55" s="249">
        <f>SUM(AA52/AA53)</f>
        <v>0.14361409313577503</v>
      </c>
      <c r="AB55" s="245">
        <f t="shared" ref="AB55:AL55" si="293">SUM(AB52/AB53)</f>
        <v>0.14435098473498462</v>
      </c>
      <c r="AC55" s="245">
        <f t="shared" si="293"/>
        <v>0.14555750578317989</v>
      </c>
      <c r="AD55" s="245">
        <f t="shared" si="293"/>
        <v>0.14791710610949224</v>
      </c>
      <c r="AE55" s="245">
        <f t="shared" si="293"/>
        <v>0.15007728986528371</v>
      </c>
      <c r="AF55" s="245">
        <f t="shared" si="293"/>
        <v>0.15339545317851092</v>
      </c>
      <c r="AG55" s="245">
        <f>SUM(AG52/AG53)</f>
        <v>0.15485400678857758</v>
      </c>
      <c r="AH55" s="245">
        <f>SUM(AH52/AH53)</f>
        <v>0.16211736818147851</v>
      </c>
      <c r="AI55" s="245">
        <f>SUM(AI52/AI53)</f>
        <v>0.17025451537828479</v>
      </c>
      <c r="AJ55" s="245">
        <f t="shared" si="293"/>
        <v>0.17859066306051349</v>
      </c>
      <c r="AK55" s="245">
        <f t="shared" si="293"/>
        <v>0.18559941324147741</v>
      </c>
      <c r="AL55" s="246">
        <f t="shared" si="293"/>
        <v>0.19299245808496535</v>
      </c>
      <c r="AM55" s="249">
        <f t="shared" ref="AM55:AR55" si="294">SUM(AM52/AM53)</f>
        <v>0.19825439457601923</v>
      </c>
      <c r="AN55" s="245">
        <f t="shared" si="294"/>
        <v>0.20406778752321084</v>
      </c>
      <c r="AO55" s="245">
        <f t="shared" si="294"/>
        <v>0.2078613481168437</v>
      </c>
      <c r="AP55" s="245">
        <f t="shared" si="294"/>
        <v>0.21439921967160999</v>
      </c>
      <c r="AQ55" s="245">
        <f t="shared" si="294"/>
        <v>0.22122107168143035</v>
      </c>
      <c r="AR55" s="245">
        <f t="shared" si="294"/>
        <v>0.23105602522533439</v>
      </c>
      <c r="AS55" s="245">
        <f t="shared" ref="AS55:BD55" si="295">SUM(AS52/AS53)</f>
        <v>0.24212112200449251</v>
      </c>
      <c r="AT55" s="245">
        <f t="shared" si="295"/>
        <v>0.25222069030744942</v>
      </c>
      <c r="AU55" s="245">
        <f t="shared" si="295"/>
        <v>0.26169913599532418</v>
      </c>
      <c r="AV55" s="245">
        <f t="shared" si="295"/>
        <v>0.27198767904718452</v>
      </c>
      <c r="AW55" s="245">
        <f t="shared" si="295"/>
        <v>0.28069387224177722</v>
      </c>
      <c r="AX55" s="246">
        <f t="shared" si="295"/>
        <v>0.28765490468629135</v>
      </c>
      <c r="AY55" s="249">
        <f t="shared" si="295"/>
        <v>0.29032957307006418</v>
      </c>
      <c r="AZ55" s="245">
        <f t="shared" si="295"/>
        <v>0.29460688310455796</v>
      </c>
      <c r="BA55" s="245">
        <f t="shared" si="295"/>
        <v>0.2992737008542839</v>
      </c>
      <c r="BB55" s="245">
        <f t="shared" si="295"/>
        <v>0.30213025771905511</v>
      </c>
      <c r="BC55" s="245">
        <f t="shared" si="295"/>
        <v>0.30565481923872806</v>
      </c>
      <c r="BD55" s="245">
        <f t="shared" si="295"/>
        <v>0.31005580890461615</v>
      </c>
      <c r="BE55" s="245">
        <f t="shared" ref="BE55:BJ55" si="296">SUM(BE52/BE53)</f>
        <v>0.31533830842152816</v>
      </c>
      <c r="BF55" s="245">
        <f t="shared" si="296"/>
        <v>0.32066813429575081</v>
      </c>
      <c r="BG55" s="245">
        <f t="shared" si="296"/>
        <v>0.32777516984532751</v>
      </c>
      <c r="BH55" s="245">
        <f t="shared" si="296"/>
        <v>0.33707165334248784</v>
      </c>
      <c r="BI55" s="245">
        <f t="shared" si="296"/>
        <v>0.34622979810893034</v>
      </c>
      <c r="BJ55" s="246">
        <f t="shared" si="296"/>
        <v>0.35471855480640574</v>
      </c>
      <c r="BK55" s="249">
        <f t="shared" ref="BK55:BP55" si="297">SUM(BK52/BK53)</f>
        <v>0.36090830678355473</v>
      </c>
      <c r="BL55" s="245">
        <f t="shared" si="297"/>
        <v>0.36738713933683692</v>
      </c>
      <c r="BM55" s="245">
        <f t="shared" si="297"/>
        <v>0.36786989444708096</v>
      </c>
      <c r="BN55" s="245">
        <f t="shared" si="297"/>
        <v>0.37124329931337036</v>
      </c>
      <c r="BO55" s="245">
        <f t="shared" si="297"/>
        <v>0.37902232835535615</v>
      </c>
      <c r="BP55" s="245">
        <f t="shared" si="297"/>
        <v>0.38364376784963811</v>
      </c>
      <c r="BQ55" s="245">
        <f t="shared" ref="BQ55:CB55" si="298">SUM(BQ52/BQ53)</f>
        <v>0.38698764002143782</v>
      </c>
      <c r="BR55" s="245">
        <f t="shared" si="298"/>
        <v>0.38892504884082535</v>
      </c>
      <c r="BS55" s="245">
        <f t="shared" si="298"/>
        <v>0.38993026023273503</v>
      </c>
      <c r="BT55" s="245">
        <f t="shared" si="298"/>
        <v>0.39269920575648248</v>
      </c>
      <c r="BU55" s="245">
        <f t="shared" si="298"/>
        <v>0.39399953737116183</v>
      </c>
      <c r="BV55" s="245">
        <f t="shared" si="298"/>
        <v>0.39944959987943579</v>
      </c>
      <c r="BW55" s="250">
        <f t="shared" si="298"/>
        <v>0.40209827723412883</v>
      </c>
      <c r="BX55" s="245">
        <f t="shared" si="298"/>
        <v>0.4022444984080199</v>
      </c>
      <c r="BY55" s="245">
        <f t="shared" si="298"/>
        <v>0.40228926307328405</v>
      </c>
      <c r="BZ55" s="245">
        <f t="shared" si="298"/>
        <v>0.40060940679939561</v>
      </c>
      <c r="CA55" s="245">
        <f t="shared" si="298"/>
        <v>0.40354668681211109</v>
      </c>
      <c r="CB55" s="245">
        <f t="shared" si="298"/>
        <v>0.40163612374672181</v>
      </c>
      <c r="CC55" s="245">
        <f t="shared" ref="CC55:CK55" si="299">SUM(CC52/CC53)</f>
        <v>0.40108725867944744</v>
      </c>
      <c r="CD55" s="245">
        <f t="shared" si="299"/>
        <v>0.4025098322920117</v>
      </c>
      <c r="CE55" s="245">
        <f t="shared" si="299"/>
        <v>0.40130046581412859</v>
      </c>
      <c r="CF55" s="245">
        <f t="shared" si="299"/>
        <v>0.40099353418154804</v>
      </c>
      <c r="CG55" s="245">
        <f t="shared" si="299"/>
        <v>0.40204837176329533</v>
      </c>
      <c r="CH55" s="245">
        <f t="shared" si="299"/>
        <v>0.40486218317018247</v>
      </c>
      <c r="CI55" s="250">
        <f t="shared" si="299"/>
        <v>0.40594992371892669</v>
      </c>
      <c r="CJ55" s="245">
        <f t="shared" si="299"/>
        <v>0.40468137710321428</v>
      </c>
      <c r="CK55" s="245">
        <f t="shared" si="299"/>
        <v>0.40221610858131301</v>
      </c>
      <c r="CL55" s="245">
        <f t="shared" ref="CL55:CQ55" si="300">SUM(CL52/CL53)</f>
        <v>0.4008424854215562</v>
      </c>
      <c r="CM55" s="245">
        <f t="shared" si="300"/>
        <v>0.40143980710814542</v>
      </c>
      <c r="CN55" s="245">
        <f t="shared" si="300"/>
        <v>0.4016614833166412</v>
      </c>
      <c r="CO55" s="245">
        <f t="shared" si="300"/>
        <v>0.40203792900067903</v>
      </c>
      <c r="CP55" s="245">
        <f t="shared" si="300"/>
        <v>0.40586497912035263</v>
      </c>
      <c r="CQ55" s="245">
        <f t="shared" si="300"/>
        <v>0.41137382100780473</v>
      </c>
      <c r="CR55" s="245">
        <f t="shared" ref="CR55:DJ55" si="301">SUM(CR52/CR53)</f>
        <v>0.41902298579679431</v>
      </c>
      <c r="CS55" s="245">
        <f t="shared" si="301"/>
        <v>0.42455968868520283</v>
      </c>
      <c r="CT55" s="246">
        <f t="shared" si="301"/>
        <v>0.42959167314693658</v>
      </c>
      <c r="CU55" s="245">
        <f t="shared" si="301"/>
        <v>0.43338817988588874</v>
      </c>
      <c r="CV55" s="245">
        <f t="shared" si="301"/>
        <v>0.4371259808938458</v>
      </c>
      <c r="CW55" s="245">
        <f t="shared" si="301"/>
        <v>0.43857216997581028</v>
      </c>
      <c r="CX55" s="245">
        <f t="shared" si="301"/>
        <v>0.43897040652563557</v>
      </c>
      <c r="CY55" s="245">
        <f t="shared" si="301"/>
        <v>0.44395522529009096</v>
      </c>
      <c r="CZ55" s="245">
        <f t="shared" si="301"/>
        <v>0.44332556710797355</v>
      </c>
      <c r="DA55" s="245">
        <f t="shared" si="301"/>
        <v>0.44513212982678313</v>
      </c>
      <c r="DB55" s="245">
        <f t="shared" si="301"/>
        <v>0.44887124328488909</v>
      </c>
      <c r="DC55" s="245">
        <f t="shared" si="301"/>
        <v>0.45425353544971137</v>
      </c>
      <c r="DD55" s="245">
        <f t="shared" si="301"/>
        <v>0.46276569511614363</v>
      </c>
      <c r="DE55" s="245">
        <f t="shared" si="301"/>
        <v>0.47165863740458658</v>
      </c>
      <c r="DF55" s="246">
        <f t="shared" si="301"/>
        <v>0.47766732015070357</v>
      </c>
      <c r="DG55" s="245">
        <f t="shared" si="301"/>
        <v>0.4824454321553181</v>
      </c>
      <c r="DH55" s="245">
        <f t="shared" si="301"/>
        <v>0.49040597575894451</v>
      </c>
      <c r="DI55" s="245">
        <f t="shared" si="301"/>
        <v>0.48778948818245543</v>
      </c>
      <c r="DJ55" s="245">
        <f t="shared" si="301"/>
        <v>0.49378381412689637</v>
      </c>
      <c r="DK55" s="245">
        <f t="shared" ref="DK55:EX55" si="302">SUM(DK52/DK53)</f>
        <v>0.4963537501530309</v>
      </c>
      <c r="DL55" s="245">
        <f t="shared" si="302"/>
        <v>0.49564498108793387</v>
      </c>
      <c r="DM55" s="245">
        <f t="shared" si="302"/>
        <v>0.4963409317574447</v>
      </c>
      <c r="DN55" s="245">
        <f t="shared" si="302"/>
        <v>0.50175485037342171</v>
      </c>
      <c r="DO55" s="245">
        <f t="shared" si="302"/>
        <v>0.50881632016603118</v>
      </c>
      <c r="DP55" s="245">
        <f t="shared" si="302"/>
        <v>0.51739973144335405</v>
      </c>
      <c r="DQ55" s="245">
        <f t="shared" si="302"/>
        <v>0.52623095587463453</v>
      </c>
      <c r="DR55" s="245">
        <f t="shared" si="302"/>
        <v>0.53235499518883567</v>
      </c>
      <c r="DS55" s="245">
        <f t="shared" si="302"/>
        <v>0.53289731912352178</v>
      </c>
      <c r="DT55" s="245">
        <f t="shared" si="302"/>
        <v>0.53852042297636116</v>
      </c>
      <c r="DU55" s="245">
        <f t="shared" si="302"/>
        <v>0.53906469054949668</v>
      </c>
      <c r="DV55" s="357">
        <f t="shared" si="302"/>
        <v>0.54400535784306137</v>
      </c>
      <c r="DW55" s="357">
        <f t="shared" si="302"/>
        <v>0.54578748317283765</v>
      </c>
      <c r="DX55" s="357">
        <f t="shared" si="302"/>
        <v>0.54376231374131723</v>
      </c>
      <c r="DY55" s="357">
        <f t="shared" si="302"/>
        <v>0.54332851218186207</v>
      </c>
      <c r="DZ55" s="357">
        <f t="shared" si="302"/>
        <v>0.54542345377552948</v>
      </c>
      <c r="EA55" s="357">
        <f t="shared" si="302"/>
        <v>0.54939917517933712</v>
      </c>
      <c r="EB55" s="357">
        <f t="shared" si="302"/>
        <v>0.55568564146629651</v>
      </c>
      <c r="EC55" s="357">
        <f t="shared" si="302"/>
        <v>0.56210828961908366</v>
      </c>
      <c r="ED55" s="357">
        <f t="shared" si="302"/>
        <v>0.56392698435865907</v>
      </c>
      <c r="EE55" s="357">
        <f t="shared" si="302"/>
        <v>0.56739205686550165</v>
      </c>
      <c r="EF55" s="357">
        <f t="shared" si="302"/>
        <v>0.56834638224070777</v>
      </c>
      <c r="EG55" s="357">
        <f t="shared" si="302"/>
        <v>0.57102682850880249</v>
      </c>
      <c r="EH55" s="357">
        <f t="shared" si="302"/>
        <v>0.5729961561110517</v>
      </c>
      <c r="EI55" s="357">
        <f t="shared" si="302"/>
        <v>0.57579429505379975</v>
      </c>
      <c r="EJ55" s="357">
        <f t="shared" si="302"/>
        <v>0.57252763267154461</v>
      </c>
      <c r="EK55" s="357">
        <f t="shared" si="302"/>
        <v>0.57145429996719721</v>
      </c>
      <c r="EL55" s="357">
        <f t="shared" si="302"/>
        <v>0.57343530034137902</v>
      </c>
      <c r="EM55" s="357">
        <f t="shared" si="302"/>
        <v>0.57579578772783202</v>
      </c>
      <c r="EN55" s="357">
        <f t="shared" si="302"/>
        <v>0.58081837943394676</v>
      </c>
      <c r="EO55" s="357">
        <f t="shared" si="302"/>
        <v>0.58653597234810473</v>
      </c>
      <c r="EP55" s="357">
        <f t="shared" si="302"/>
        <v>0.59325524775970051</v>
      </c>
      <c r="EQ55" s="357">
        <f t="shared" si="302"/>
        <v>0.59337125317382933</v>
      </c>
      <c r="ER55" s="357">
        <f t="shared" si="302"/>
        <v>0.59689654712977513</v>
      </c>
      <c r="ES55" s="357">
        <f t="shared" si="302"/>
        <v>0.59667189792715813</v>
      </c>
      <c r="ET55" s="357">
        <f t="shared" si="302"/>
        <v>0.59609359468145129</v>
      </c>
      <c r="EU55" s="357">
        <f t="shared" si="302"/>
        <v>0.59853652055350559</v>
      </c>
      <c r="EV55" s="357">
        <f t="shared" si="302"/>
        <v>0.59620265425955921</v>
      </c>
      <c r="EW55" s="357">
        <f t="shared" si="302"/>
        <v>0.59539915880377059</v>
      </c>
      <c r="EX55" s="357">
        <f t="shared" si="302"/>
        <v>0.59651584070562347</v>
      </c>
      <c r="EY55" s="354">
        <f>SUM(EY52/EY53)</f>
        <v>0.59970106942428281</v>
      </c>
      <c r="EZ55" s="354">
        <f t="shared" ref="EZ55:FN55" si="303">SUM(EZ52/EZ53)</f>
        <v>0.60539877973176448</v>
      </c>
      <c r="FA55" s="354">
        <f t="shared" si="303"/>
        <v>0.6116481137408869</v>
      </c>
      <c r="FB55" s="354">
        <f t="shared" si="303"/>
        <v>0.6128074680815363</v>
      </c>
      <c r="FC55" s="354">
        <f t="shared" si="303"/>
        <v>0.6161194708435237</v>
      </c>
      <c r="FD55" s="354">
        <f t="shared" si="303"/>
        <v>0.61688895928449372</v>
      </c>
      <c r="FE55" s="354">
        <f t="shared" si="303"/>
        <v>0.61940973879172823</v>
      </c>
      <c r="FF55" s="354">
        <f t="shared" si="303"/>
        <v>0.61667824957519579</v>
      </c>
      <c r="FG55" s="354">
        <f t="shared" si="303"/>
        <v>0.61895420026469927</v>
      </c>
      <c r="FH55" s="354">
        <f t="shared" si="303"/>
        <v>0.61800998232030524</v>
      </c>
      <c r="FI55" s="354">
        <f t="shared" si="303"/>
        <v>0.61537719537392854</v>
      </c>
      <c r="FJ55" s="354">
        <f t="shared" si="303"/>
        <v>0.61470043430517207</v>
      </c>
      <c r="FK55" s="354">
        <f t="shared" si="303"/>
        <v>0.61748194182563243</v>
      </c>
      <c r="FL55" s="354">
        <f t="shared" si="303"/>
        <v>0.62182289780382771</v>
      </c>
      <c r="FM55" s="354">
        <f t="shared" si="303"/>
        <v>0.62785620231494754</v>
      </c>
      <c r="FN55" s="354">
        <f t="shared" si="303"/>
        <v>0.63012359899726245</v>
      </c>
      <c r="FO55" s="354">
        <f t="shared" ref="FO55:FQ55" si="304">SUM(FO52/FO53)</f>
        <v>0.63323814467690243</v>
      </c>
      <c r="FP55" s="354">
        <f t="shared" si="304"/>
        <v>0.63549845717086406</v>
      </c>
      <c r="FQ55" s="354">
        <f t="shared" si="304"/>
        <v>0.63475723088974301</v>
      </c>
      <c r="FR55" s="354">
        <f t="shared" ref="FR55:FT55" si="305">SUM(FR52/FR53)</f>
        <v>0.636053701037815</v>
      </c>
      <c r="FS55" s="354">
        <f t="shared" si="305"/>
        <v>0.63949493362518917</v>
      </c>
      <c r="FT55" s="354">
        <f t="shared" si="305"/>
        <v>0.6376182121137115</v>
      </c>
    </row>
    <row r="56" spans="2:176" s="68" customFormat="1" x14ac:dyDescent="0.25">
      <c r="B56" s="87"/>
      <c r="C56" s="103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103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103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103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103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103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69"/>
      <c r="DT56" s="297"/>
      <c r="DV56" s="351"/>
      <c r="DW56" s="351"/>
      <c r="DX56" s="351"/>
      <c r="DZ56" s="297"/>
      <c r="EE56" s="297"/>
      <c r="ET56" s="297"/>
      <c r="EU56" s="297"/>
      <c r="EV56" s="297"/>
    </row>
    <row r="57" spans="2:176" s="68" customFormat="1" x14ac:dyDescent="0.25">
      <c r="B57" s="87" t="s">
        <v>21</v>
      </c>
      <c r="C57" s="69">
        <f t="shared" ref="C57:AW57" si="306">SUM(1000*(C53))/C10</f>
        <v>1133.027544296302</v>
      </c>
      <c r="D57" s="69">
        <f t="shared" si="306"/>
        <v>1155.5605479803637</v>
      </c>
      <c r="E57" s="69">
        <f t="shared" si="306"/>
        <v>1207.4481159755508</v>
      </c>
      <c r="F57" s="69">
        <f t="shared" si="306"/>
        <v>985.09823001293569</v>
      </c>
      <c r="G57" s="69">
        <f t="shared" si="306"/>
        <v>1085.2852901129356</v>
      </c>
      <c r="H57" s="69">
        <f t="shared" si="306"/>
        <v>1354.6533880431577</v>
      </c>
      <c r="I57" s="69">
        <f t="shared" si="306"/>
        <v>1671.8096313315039</v>
      </c>
      <c r="J57" s="69">
        <f t="shared" si="306"/>
        <v>1824.4739708853519</v>
      </c>
      <c r="K57" s="69">
        <f t="shared" si="306"/>
        <v>1872.3814678194856</v>
      </c>
      <c r="L57" s="69">
        <f t="shared" si="306"/>
        <v>1281.6423340257452</v>
      </c>
      <c r="M57" s="69">
        <f t="shared" si="306"/>
        <v>896.7655094991436</v>
      </c>
      <c r="N57" s="69">
        <f t="shared" si="306"/>
        <v>1126.7356011822576</v>
      </c>
      <c r="O57" s="69">
        <f t="shared" si="306"/>
        <v>1312.7651936513851</v>
      </c>
      <c r="P57" s="69">
        <f t="shared" si="306"/>
        <v>1366.0722814576191</v>
      </c>
      <c r="Q57" s="69">
        <f t="shared" si="306"/>
        <v>1206.0175823415502</v>
      </c>
      <c r="R57" s="69">
        <f t="shared" si="306"/>
        <v>869.97906904607908</v>
      </c>
      <c r="S57" s="69">
        <f t="shared" si="306"/>
        <v>1066.0317684638464</v>
      </c>
      <c r="T57" s="69">
        <f t="shared" si="306"/>
        <v>1347.2101224767223</v>
      </c>
      <c r="U57" s="69">
        <f t="shared" si="306"/>
        <v>1699.6238298033632</v>
      </c>
      <c r="V57" s="69">
        <f t="shared" si="306"/>
        <v>2000.1493059281543</v>
      </c>
      <c r="W57" s="69">
        <f t="shared" si="306"/>
        <v>1644.0916136191975</v>
      </c>
      <c r="X57" s="69">
        <f t="shared" si="306"/>
        <v>1120.7867946665529</v>
      </c>
      <c r="Y57" s="69">
        <f t="shared" si="306"/>
        <v>934.98409752262398</v>
      </c>
      <c r="Z57" s="69">
        <f t="shared" si="306"/>
        <v>1072.9282057132668</v>
      </c>
      <c r="AA57" s="69">
        <f t="shared" si="306"/>
        <v>1267.1408530703579</v>
      </c>
      <c r="AB57" s="69">
        <f t="shared" si="306"/>
        <v>1284.4351625079328</v>
      </c>
      <c r="AC57" s="69">
        <f t="shared" si="306"/>
        <v>1067.8784136227805</v>
      </c>
      <c r="AD57" s="69">
        <f t="shared" si="306"/>
        <v>873.7430993831041</v>
      </c>
      <c r="AE57" s="69">
        <f t="shared" si="306"/>
        <v>981.78466451001736</v>
      </c>
      <c r="AF57" s="69">
        <f t="shared" si="306"/>
        <v>1416.8052716379036</v>
      </c>
      <c r="AG57" s="69">
        <f t="shared" si="306"/>
        <v>1607.6594484944378</v>
      </c>
      <c r="AH57" s="69">
        <f t="shared" si="306"/>
        <v>1651.9462113837965</v>
      </c>
      <c r="AI57" s="69">
        <f t="shared" si="306"/>
        <v>1520.1112634776362</v>
      </c>
      <c r="AJ57" s="69">
        <f t="shared" si="306"/>
        <v>1186.7728574645241</v>
      </c>
      <c r="AK57" s="69">
        <f t="shared" si="306"/>
        <v>954.4228355906464</v>
      </c>
      <c r="AL57" s="69">
        <f t="shared" si="306"/>
        <v>1040.6397789156592</v>
      </c>
      <c r="AM57" s="69">
        <f t="shared" si="306"/>
        <v>1315.4090768383433</v>
      </c>
      <c r="AN57" s="69">
        <f t="shared" si="306"/>
        <v>1167.244658373806</v>
      </c>
      <c r="AO57" s="69">
        <f t="shared" si="306"/>
        <v>1020.6179501168168</v>
      </c>
      <c r="AP57" s="69">
        <f t="shared" si="306"/>
        <v>874.43265835290276</v>
      </c>
      <c r="AQ57" s="69">
        <f t="shared" si="306"/>
        <v>898.12463630428113</v>
      </c>
      <c r="AR57" s="69">
        <f t="shared" si="306"/>
        <v>1455.1096825976967</v>
      </c>
      <c r="AS57" s="69">
        <f t="shared" si="306"/>
        <v>1808.7178843181725</v>
      </c>
      <c r="AT57" s="69">
        <f t="shared" si="306"/>
        <v>1715.8864391182731</v>
      </c>
      <c r="AU57" s="69">
        <f t="shared" si="306"/>
        <v>1876.4507677994925</v>
      </c>
      <c r="AV57" s="69">
        <f t="shared" si="306"/>
        <v>1388.9832525322363</v>
      </c>
      <c r="AW57" s="69">
        <f t="shared" si="306"/>
        <v>889.66113424534751</v>
      </c>
      <c r="AX57" s="69">
        <f>SUM(1000*(AX53))/AX10</f>
        <v>1115.0141385342993</v>
      </c>
      <c r="AY57" s="69">
        <f t="shared" ref="AY57:BI57" si="307">SUM(1000*(AY53))/AY10</f>
        <v>1168.1604173526425</v>
      </c>
      <c r="AZ57" s="69">
        <f t="shared" si="307"/>
        <v>973.48799611995798</v>
      </c>
      <c r="BA57" s="69">
        <f t="shared" si="307"/>
        <v>1028.939397279775</v>
      </c>
      <c r="BB57" s="69">
        <f t="shared" si="307"/>
        <v>965.68950390561122</v>
      </c>
      <c r="BC57" s="69">
        <f t="shared" si="307"/>
        <v>1041.0050304108706</v>
      </c>
      <c r="BD57" s="69">
        <f t="shared" si="307"/>
        <v>1497.3642107111048</v>
      </c>
      <c r="BE57" s="69">
        <f t="shared" si="307"/>
        <v>1704.9555580850724</v>
      </c>
      <c r="BF57" s="69">
        <f t="shared" si="307"/>
        <v>1944.4326851080475</v>
      </c>
      <c r="BG57" s="69">
        <f t="shared" si="307"/>
        <v>1779.6971196033739</v>
      </c>
      <c r="BH57" s="69">
        <f t="shared" si="307"/>
        <v>1143.7827243509735</v>
      </c>
      <c r="BI57" s="69">
        <f t="shared" si="307"/>
        <v>828.52943916327229</v>
      </c>
      <c r="BJ57" s="69">
        <f t="shared" ref="BJ57:BP57" si="308">SUM(1000*(BJ53))/BJ10</f>
        <v>1044.2868797762615</v>
      </c>
      <c r="BK57" s="69">
        <f t="shared" si="308"/>
        <v>1275.5900131610108</v>
      </c>
      <c r="BL57" s="69">
        <f t="shared" si="308"/>
        <v>1390.2381176528929</v>
      </c>
      <c r="BM57" s="69">
        <f t="shared" si="308"/>
        <v>1022.3609401445632</v>
      </c>
      <c r="BN57" s="69">
        <f t="shared" si="308"/>
        <v>816.89470058933034</v>
      </c>
      <c r="BO57" s="69">
        <f t="shared" si="308"/>
        <v>881.25405506903917</v>
      </c>
      <c r="BP57" s="69">
        <f t="shared" si="308"/>
        <v>1141.0865008752189</v>
      </c>
      <c r="BQ57" s="69">
        <f t="shared" ref="BQ57:CB57" si="309">SUM(1000*(BQ53))/BQ10</f>
        <v>1390.2658024549289</v>
      </c>
      <c r="BR57" s="69">
        <f t="shared" si="309"/>
        <v>1543.6905551401626</v>
      </c>
      <c r="BS57" s="69">
        <f t="shared" si="309"/>
        <v>1672.7485361269032</v>
      </c>
      <c r="BT57" s="69">
        <f t="shared" si="309"/>
        <v>1342.4474801032527</v>
      </c>
      <c r="BU57" s="69">
        <f t="shared" si="309"/>
        <v>896.57245192589414</v>
      </c>
      <c r="BV57" s="69">
        <f t="shared" si="309"/>
        <v>1056.211733995957</v>
      </c>
      <c r="BW57" s="201">
        <f t="shared" si="309"/>
        <v>1399.7593319072087</v>
      </c>
      <c r="BX57" s="69">
        <f t="shared" si="309"/>
        <v>1243.1798152161793</v>
      </c>
      <c r="BY57" s="69">
        <f t="shared" si="309"/>
        <v>1019.0174834094651</v>
      </c>
      <c r="BZ57" s="69">
        <f t="shared" si="309"/>
        <v>854.91157240616837</v>
      </c>
      <c r="CA57" s="69">
        <f t="shared" si="309"/>
        <v>838.85747256919251</v>
      </c>
      <c r="CB57" s="69">
        <f t="shared" si="309"/>
        <v>1434.4475436300954</v>
      </c>
      <c r="CC57" s="69">
        <f t="shared" ref="CC57:CK57" si="310">SUM(1000*(CC53))/CC10</f>
        <v>1670.393911240521</v>
      </c>
      <c r="CD57" s="69">
        <f t="shared" si="310"/>
        <v>1781.8785565345304</v>
      </c>
      <c r="CE57" s="69">
        <f t="shared" si="310"/>
        <v>1513.7751242668162</v>
      </c>
      <c r="CF57" s="69">
        <f t="shared" si="310"/>
        <v>1081.3945868508802</v>
      </c>
      <c r="CG57" s="69">
        <f t="shared" si="310"/>
        <v>809.22284706200219</v>
      </c>
      <c r="CH57" s="69">
        <f t="shared" si="310"/>
        <v>1060.8348539370252</v>
      </c>
      <c r="CI57" s="201">
        <f t="shared" si="310"/>
        <v>1389.6362001743664</v>
      </c>
      <c r="CJ57" s="69">
        <f t="shared" si="310"/>
        <v>1135.8060254787315</v>
      </c>
      <c r="CK57" s="69">
        <f t="shared" si="310"/>
        <v>922.52138573776597</v>
      </c>
      <c r="CL57" s="69">
        <f t="shared" ref="CL57:DC57" si="311">SUM(1000*(CL53))/CL10</f>
        <v>882.87739086920192</v>
      </c>
      <c r="CM57" s="69">
        <f t="shared" si="311"/>
        <v>896.72267411910832</v>
      </c>
      <c r="CN57" s="69">
        <f t="shared" si="311"/>
        <v>1247.6605835575665</v>
      </c>
      <c r="CO57" s="69">
        <f t="shared" si="311"/>
        <v>1800.9311328038061</v>
      </c>
      <c r="CP57" s="69">
        <f t="shared" si="311"/>
        <v>1681.2761376045505</v>
      </c>
      <c r="CQ57" s="69">
        <f t="shared" si="311"/>
        <v>1550.2936353010552</v>
      </c>
      <c r="CR57" s="69">
        <f t="shared" si="311"/>
        <v>998.05947841588977</v>
      </c>
      <c r="CS57" s="69">
        <f t="shared" si="311"/>
        <v>763.57413670355334</v>
      </c>
      <c r="CT57" s="89">
        <f t="shared" si="311"/>
        <v>1125.7685791045335</v>
      </c>
      <c r="CU57" s="69">
        <f t="shared" si="311"/>
        <v>1629.4338379208496</v>
      </c>
      <c r="CV57" s="69">
        <f t="shared" si="311"/>
        <v>1322.9770794239284</v>
      </c>
      <c r="CW57" s="69">
        <f t="shared" si="311"/>
        <v>1177.548737944767</v>
      </c>
      <c r="CX57" s="69">
        <f t="shared" si="311"/>
        <v>857.00739505151489</v>
      </c>
      <c r="CY57" s="69">
        <f t="shared" si="311"/>
        <v>844.49766150520804</v>
      </c>
      <c r="CZ57" s="69">
        <f t="shared" si="311"/>
        <v>1435.4089249433996</v>
      </c>
      <c r="DA57" s="69">
        <f t="shared" si="311"/>
        <v>1688.7808868947898</v>
      </c>
      <c r="DB57" s="69">
        <f t="shared" si="311"/>
        <v>1823.7154763619731</v>
      </c>
      <c r="DC57" s="69">
        <f t="shared" si="311"/>
        <v>1737.7381561070558</v>
      </c>
      <c r="DD57" s="69">
        <f t="shared" ref="DD57:DJ57" si="312">SUM(1000*(DD53))/DD10</f>
        <v>1143.104048249955</v>
      </c>
      <c r="DE57" s="69">
        <f t="shared" si="312"/>
        <v>827.54322285904288</v>
      </c>
      <c r="DF57" s="89">
        <f t="shared" si="312"/>
        <v>1077.1701476112312</v>
      </c>
      <c r="DG57" s="69">
        <f t="shared" si="312"/>
        <v>1428.2080332684932</v>
      </c>
      <c r="DH57" s="69">
        <f t="shared" si="312"/>
        <v>1469.7400186490911</v>
      </c>
      <c r="DI57" s="69">
        <f t="shared" si="312"/>
        <v>882.09017102165149</v>
      </c>
      <c r="DJ57" s="69">
        <f t="shared" si="312"/>
        <v>862.28305404085233</v>
      </c>
      <c r="DK57" s="69">
        <f t="shared" ref="DK57:EX57" si="313">SUM(1000*(DK53))/DK10</f>
        <v>982.20968329489347</v>
      </c>
      <c r="DL57" s="69">
        <f t="shared" si="313"/>
        <v>1501.596842907886</v>
      </c>
      <c r="DM57" s="69">
        <f t="shared" si="313"/>
        <v>1981.3715588978157</v>
      </c>
      <c r="DN57" s="69">
        <f t="shared" si="313"/>
        <v>2103.9608239997146</v>
      </c>
      <c r="DO57" s="69">
        <f t="shared" si="313"/>
        <v>1840.6380650535</v>
      </c>
      <c r="DP57" s="69">
        <f t="shared" si="313"/>
        <v>1144.1788279596447</v>
      </c>
      <c r="DQ57" s="69">
        <f t="shared" si="313"/>
        <v>840.67589232355863</v>
      </c>
      <c r="DR57" s="69">
        <f t="shared" si="313"/>
        <v>1141.354079289591</v>
      </c>
      <c r="DS57" s="69">
        <f t="shared" si="313"/>
        <v>1295.7457165180454</v>
      </c>
      <c r="DT57" s="69">
        <f t="shared" si="313"/>
        <v>1065.388638802712</v>
      </c>
      <c r="DU57" s="69">
        <f t="shared" si="313"/>
        <v>889.37639307374889</v>
      </c>
      <c r="DV57" s="359">
        <f t="shared" si="313"/>
        <v>878.82444274849342</v>
      </c>
      <c r="DW57" s="359">
        <f t="shared" si="313"/>
        <v>1042.2551187564643</v>
      </c>
      <c r="DX57" s="359">
        <f t="shared" si="313"/>
        <v>1417.7610357248629</v>
      </c>
      <c r="DY57" s="359">
        <f t="shared" si="313"/>
        <v>1733.6947309057809</v>
      </c>
      <c r="DZ57" s="359">
        <f t="shared" si="313"/>
        <v>1855.8350304385999</v>
      </c>
      <c r="EA57" s="359">
        <f t="shared" si="313"/>
        <v>1605.2918483699762</v>
      </c>
      <c r="EB57" s="359">
        <f t="shared" si="313"/>
        <v>1097.8470778185108</v>
      </c>
      <c r="EC57" s="359">
        <f t="shared" si="313"/>
        <v>881.89411884382309</v>
      </c>
      <c r="ED57" s="359">
        <f t="shared" si="313"/>
        <v>962.92995087105419</v>
      </c>
      <c r="EE57" s="359">
        <f t="shared" si="313"/>
        <v>1377.0740130117222</v>
      </c>
      <c r="EF57" s="359">
        <f t="shared" si="313"/>
        <v>1061.9616254424129</v>
      </c>
      <c r="EG57" s="359">
        <f t="shared" si="313"/>
        <v>986.23761595574149</v>
      </c>
      <c r="EH57" s="359">
        <f t="shared" si="313"/>
        <v>901.30725683050639</v>
      </c>
      <c r="EI57" s="359">
        <f t="shared" si="313"/>
        <v>892.07844883197697</v>
      </c>
      <c r="EJ57" s="359">
        <f t="shared" si="313"/>
        <v>1289.6771652181183</v>
      </c>
      <c r="EK57" s="359">
        <f t="shared" si="313"/>
        <v>1648.5438246036501</v>
      </c>
      <c r="EL57" s="359">
        <f t="shared" si="313"/>
        <v>1708.9178111049519</v>
      </c>
      <c r="EM57" s="359">
        <f t="shared" si="313"/>
        <v>1740.1629054221564</v>
      </c>
      <c r="EN57" s="359">
        <f t="shared" si="313"/>
        <v>1218.4323313925374</v>
      </c>
      <c r="EO57" s="359">
        <f t="shared" si="313"/>
        <v>807.63401395375854</v>
      </c>
      <c r="EP57" s="359">
        <f t="shared" si="313"/>
        <v>1316.0420738118823</v>
      </c>
      <c r="EQ57" s="359">
        <f t="shared" si="313"/>
        <v>1540.4094428449496</v>
      </c>
      <c r="ER57" s="359">
        <f t="shared" si="313"/>
        <v>1365.2612036309056</v>
      </c>
      <c r="ES57" s="359">
        <f t="shared" si="313"/>
        <v>1148.8475630477681</v>
      </c>
      <c r="ET57" s="359">
        <f t="shared" si="313"/>
        <v>908.10461593298874</v>
      </c>
      <c r="EU57" s="359">
        <f t="shared" si="313"/>
        <v>929.42864435324282</v>
      </c>
      <c r="EV57" s="359">
        <f t="shared" si="313"/>
        <v>1267.2449131990129</v>
      </c>
      <c r="EW57" s="359">
        <f t="shared" si="313"/>
        <v>1512.7825743564395</v>
      </c>
      <c r="EX57" s="359">
        <f t="shared" si="313"/>
        <v>1559.153674738172</v>
      </c>
      <c r="EY57" s="359">
        <f>SUM(1000*(EY53))/EY10</f>
        <v>1673.7966955677523</v>
      </c>
      <c r="EZ57" s="359">
        <f t="shared" ref="EZ57:FN57" si="314">SUM(1000*(EZ53))/EZ10</f>
        <v>1132.5496600141857</v>
      </c>
      <c r="FA57" s="359">
        <f t="shared" si="314"/>
        <v>905.63882600158706</v>
      </c>
      <c r="FB57" s="359">
        <f t="shared" si="314"/>
        <v>1055.2189768265546</v>
      </c>
      <c r="FC57" s="359">
        <f t="shared" si="314"/>
        <v>1361.8851097710362</v>
      </c>
      <c r="FD57" s="359">
        <f t="shared" si="314"/>
        <v>1256.0426471054102</v>
      </c>
      <c r="FE57" s="359">
        <f t="shared" si="314"/>
        <v>1280.905336715027</v>
      </c>
      <c r="FF57" s="359">
        <f t="shared" si="314"/>
        <v>869.58193596503827</v>
      </c>
      <c r="FG57" s="359">
        <f t="shared" si="314"/>
        <v>838.30748785298078</v>
      </c>
      <c r="FH57" s="359">
        <f t="shared" si="314"/>
        <v>1145.5267053323798</v>
      </c>
      <c r="FI57" s="359">
        <f t="shared" si="314"/>
        <v>1578.7594300611668</v>
      </c>
      <c r="FJ57" s="359">
        <f t="shared" si="314"/>
        <v>1820.0364840855466</v>
      </c>
      <c r="FK57" s="359">
        <f t="shared" si="314"/>
        <v>1654.5357289704029</v>
      </c>
      <c r="FL57" s="359">
        <f t="shared" si="314"/>
        <v>1269.4817800865703</v>
      </c>
      <c r="FM57" s="359">
        <f t="shared" si="314"/>
        <v>845.58075377831142</v>
      </c>
      <c r="FN57" s="359">
        <f t="shared" si="314"/>
        <v>976.75755982338853</v>
      </c>
      <c r="FO57" s="359">
        <f t="shared" ref="FO57:FQ57" si="315">SUM(1000*(FO53))/FO10</f>
        <v>1222.0607511750463</v>
      </c>
      <c r="FP57" s="359">
        <f t="shared" si="315"/>
        <v>1159.9889491111078</v>
      </c>
      <c r="FQ57" s="359">
        <f t="shared" si="315"/>
        <v>842.09091472498903</v>
      </c>
      <c r="FR57" s="359">
        <f t="shared" ref="FR57:FT57" si="316">SUM(1000*(FR53))/FR10</f>
        <v>794.57514448568907</v>
      </c>
      <c r="FS57" s="359">
        <f t="shared" si="316"/>
        <v>837.89308729795403</v>
      </c>
      <c r="FT57" s="359">
        <f t="shared" si="316"/>
        <v>1113.5908072641812</v>
      </c>
    </row>
    <row r="58" spans="2:176" s="68" customFormat="1" x14ac:dyDescent="0.25">
      <c r="B58" s="228"/>
      <c r="C58" s="229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29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29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29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1"/>
      <c r="AY58" s="229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1"/>
      <c r="BK58" s="229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0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0"/>
      <c r="DH58" s="230"/>
      <c r="DI58" s="230"/>
      <c r="DJ58" s="230"/>
      <c r="DK58" s="230"/>
      <c r="DL58" s="230"/>
      <c r="DM58" s="230"/>
      <c r="DN58" s="230"/>
      <c r="DO58" s="230"/>
      <c r="DT58" s="297"/>
      <c r="DV58" s="351"/>
      <c r="DW58" s="351"/>
      <c r="DX58" s="351"/>
      <c r="DZ58" s="297"/>
      <c r="EE58" s="297"/>
      <c r="ET58" s="297"/>
      <c r="EU58" s="297"/>
      <c r="EV58" s="297"/>
    </row>
    <row r="59" spans="2:176" s="68" customFormat="1" x14ac:dyDescent="0.25">
      <c r="B59" s="233" t="s">
        <v>32</v>
      </c>
      <c r="C59" s="234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4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4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4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4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4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T59" s="297"/>
      <c r="DV59" s="351"/>
      <c r="DW59" s="351"/>
      <c r="DX59" s="351"/>
      <c r="DZ59" s="297"/>
      <c r="EE59" s="297"/>
      <c r="ET59" s="297"/>
      <c r="EU59" s="297"/>
      <c r="EV59" s="297"/>
    </row>
    <row r="60" spans="2:176" s="68" customFormat="1" x14ac:dyDescent="0.25">
      <c r="B60" s="87"/>
      <c r="C60" s="103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103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103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103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103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103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M60" s="297"/>
      <c r="DT60" s="297"/>
      <c r="DV60" s="351"/>
      <c r="DW60" s="351"/>
      <c r="DX60" s="351"/>
      <c r="DZ60" s="297"/>
      <c r="EE60" s="297"/>
      <c r="ET60" s="297"/>
      <c r="EU60" s="297"/>
      <c r="EV60" s="297"/>
    </row>
    <row r="61" spans="2:176" s="68" customFormat="1" x14ac:dyDescent="0.25">
      <c r="B61" s="87" t="s">
        <v>1</v>
      </c>
      <c r="C61" s="103">
        <v>1819417.8</v>
      </c>
      <c r="D61" s="69">
        <v>1819417.8</v>
      </c>
      <c r="E61" s="69">
        <v>2536366.2999999998</v>
      </c>
      <c r="F61" s="69">
        <v>2458296.5</v>
      </c>
      <c r="G61" s="69">
        <v>2641163.1</v>
      </c>
      <c r="H61" s="69">
        <v>3204417.6</v>
      </c>
      <c r="I61" s="69">
        <v>3614971.4</v>
      </c>
      <c r="J61" s="69">
        <v>2803453.41</v>
      </c>
      <c r="K61" s="69">
        <v>3896918.09</v>
      </c>
      <c r="L61" s="69">
        <v>2778599.8279999997</v>
      </c>
      <c r="M61" s="69">
        <v>2286697.977</v>
      </c>
      <c r="N61" s="89">
        <v>2308230.5410000002</v>
      </c>
      <c r="O61" s="103">
        <v>2172363</v>
      </c>
      <c r="P61" s="69">
        <v>2218252</v>
      </c>
      <c r="Q61" s="69">
        <v>1847942</v>
      </c>
      <c r="R61" s="69">
        <v>2082640.3750000002</v>
      </c>
      <c r="S61" s="69">
        <v>2268237.4040000001</v>
      </c>
      <c r="T61" s="69">
        <v>2546976.6829999997</v>
      </c>
      <c r="U61" s="69">
        <v>2507590.8859999999</v>
      </c>
      <c r="V61" s="69">
        <v>2750530.2179999999</v>
      </c>
      <c r="W61" s="69">
        <v>2552017.3319999999</v>
      </c>
      <c r="X61" s="69">
        <v>2263135</v>
      </c>
      <c r="Y61" s="69">
        <v>1944881</v>
      </c>
      <c r="Z61" s="89">
        <v>1813283</v>
      </c>
      <c r="AA61" s="103">
        <v>1825005.2</v>
      </c>
      <c r="AB61" s="69">
        <v>1857768.8</v>
      </c>
      <c r="AC61" s="69">
        <v>1788934.9</v>
      </c>
      <c r="AD61" s="69">
        <v>1802054.7</v>
      </c>
      <c r="AE61" s="69">
        <v>1859019.6</v>
      </c>
      <c r="AF61" s="69">
        <v>2112714.7000000002</v>
      </c>
      <c r="AG61" s="69">
        <v>2063905.3</v>
      </c>
      <c r="AH61" s="69">
        <v>2044757.6</v>
      </c>
      <c r="AI61" s="69">
        <v>1986549.3</v>
      </c>
      <c r="AJ61" s="69">
        <v>1730617.51</v>
      </c>
      <c r="AK61" s="69">
        <v>1473889.5819999999</v>
      </c>
      <c r="AL61" s="89">
        <v>1445298.4779999999</v>
      </c>
      <c r="AM61" s="103">
        <v>1495031</v>
      </c>
      <c r="AN61" s="69">
        <v>1314053</v>
      </c>
      <c r="AO61" s="69">
        <v>1313834</v>
      </c>
      <c r="AP61" s="69">
        <v>1267151</v>
      </c>
      <c r="AQ61" s="69">
        <f>82503.8+1221188.1</f>
        <v>1303691.9000000001</v>
      </c>
      <c r="AR61" s="69">
        <f>100827.2+1459417.8</f>
        <v>1560245</v>
      </c>
      <c r="AS61" s="69">
        <f>104996.4+1491270.3</f>
        <v>1596266.7</v>
      </c>
      <c r="AT61" s="69">
        <f>105214.1+1437056.2</f>
        <v>1542270.3</v>
      </c>
      <c r="AU61" s="69">
        <f>104590.3+1536649.8</f>
        <v>1641240.1</v>
      </c>
      <c r="AV61" s="69">
        <f>87297+1283545.4</f>
        <v>1370842.4</v>
      </c>
      <c r="AW61" s="69">
        <f>73660.7+1074521.4</f>
        <v>1148182.0999999999</v>
      </c>
      <c r="AX61" s="89">
        <f>78148.6+1033069.1</f>
        <v>1111217.7</v>
      </c>
      <c r="AY61" s="103">
        <f>80321+1008449</f>
        <v>1088770</v>
      </c>
      <c r="AZ61" s="69">
        <f>71246+960494</f>
        <v>1031740</v>
      </c>
      <c r="BA61" s="69">
        <f>980066+73141</f>
        <v>1053207</v>
      </c>
      <c r="BB61" s="69">
        <f>71212+1058198</f>
        <v>1129410</v>
      </c>
      <c r="BC61" s="69">
        <f>71960+1082033</f>
        <v>1153993</v>
      </c>
      <c r="BD61" s="69">
        <f>79215+1260029</f>
        <v>1339244</v>
      </c>
      <c r="BE61" s="69">
        <f>87108.2+1264127.2</f>
        <v>1351235.4</v>
      </c>
      <c r="BF61" s="69">
        <f>95231+1356879.5</f>
        <v>1452110.5</v>
      </c>
      <c r="BG61" s="69">
        <f>89366.1+1311943.5</f>
        <v>1401309.6</v>
      </c>
      <c r="BH61" s="69">
        <f>71528.6+1062299.5</f>
        <v>1133828.1000000001</v>
      </c>
      <c r="BI61" s="69">
        <f>61025.8+909575</f>
        <v>970600.8</v>
      </c>
      <c r="BJ61" s="89">
        <f>65152.6+881163.6</f>
        <v>946316.2</v>
      </c>
      <c r="BK61" s="103">
        <f>72549+936597.2</f>
        <v>1009146.2</v>
      </c>
      <c r="BL61" s="69">
        <f>58721.7+922114.9</f>
        <v>980836.6</v>
      </c>
      <c r="BM61" s="69">
        <f>59559.5+897709.4</f>
        <v>957268.9</v>
      </c>
      <c r="BN61" s="69">
        <f>56017.123+876266.865</f>
        <v>932283.98800000001</v>
      </c>
      <c r="BO61" s="69">
        <f>893657.175+54106.806</f>
        <v>947763.98100000003</v>
      </c>
      <c r="BP61" s="69">
        <f>62762.772+982088.624</f>
        <v>1044851.3959999999</v>
      </c>
      <c r="BQ61" s="69">
        <f>65868+1049397</f>
        <v>1115265</v>
      </c>
      <c r="BR61" s="69">
        <f>72601+1090672</f>
        <v>1163273</v>
      </c>
      <c r="BS61" s="69">
        <f>74774+1125445</f>
        <v>1200219</v>
      </c>
      <c r="BT61" s="69">
        <f>75229.4+1044799.7</f>
        <v>1120029.0999999999</v>
      </c>
      <c r="BU61" s="69">
        <f>57411.3+854871.6</f>
        <v>912282.9</v>
      </c>
      <c r="BV61" s="69">
        <f>61695.7+874431.1</f>
        <v>936126.79999999993</v>
      </c>
      <c r="BW61" s="201">
        <f>50164+889045</f>
        <v>939209</v>
      </c>
      <c r="BX61" s="69">
        <f>62028+833502</f>
        <v>895530</v>
      </c>
      <c r="BY61" s="69">
        <f>59909+799076</f>
        <v>858985</v>
      </c>
      <c r="BZ61" s="69">
        <f>49146.2+790268.3</f>
        <v>839414.5</v>
      </c>
      <c r="CA61" s="69">
        <f>818544.2+51673.5</f>
        <v>870217.7</v>
      </c>
      <c r="CB61" s="69">
        <f>66390.3+930597.3</f>
        <v>996987.60000000009</v>
      </c>
      <c r="CC61" s="69">
        <f>71040.628+1038663.524</f>
        <v>1109704.152</v>
      </c>
      <c r="CD61" s="69">
        <f>75354.956+1066801.205</f>
        <v>1142156.1610000001</v>
      </c>
      <c r="CE61" s="69">
        <f>68313.821+1013118.343</f>
        <v>1081432.1639999999</v>
      </c>
      <c r="CF61" s="69">
        <f>55641+878106</f>
        <v>933747</v>
      </c>
      <c r="CG61" s="69">
        <f>51441+763438</f>
        <v>814879</v>
      </c>
      <c r="CH61" s="89">
        <f>58900+779932</f>
        <v>838832</v>
      </c>
      <c r="CI61" s="201">
        <f>66857+818471</f>
        <v>885328</v>
      </c>
      <c r="CJ61" s="69">
        <f>56756+757809</f>
        <v>814565</v>
      </c>
      <c r="CK61" s="69">
        <f>49487+723521</f>
        <v>773008</v>
      </c>
      <c r="CL61" s="69">
        <f>50360+749408</f>
        <v>799768</v>
      </c>
      <c r="CM61" s="69">
        <f>50577+767150</f>
        <v>817727</v>
      </c>
      <c r="CN61" s="69">
        <f>54684+865241</f>
        <v>919925</v>
      </c>
      <c r="CO61" s="275">
        <f>66797.5+1031088.6</f>
        <v>1097886.1000000001</v>
      </c>
      <c r="CP61" s="69">
        <f>62346.2+1015282.6</f>
        <v>1077628.8</v>
      </c>
      <c r="CQ61" s="69">
        <f>58212.9+958245.8</f>
        <v>1016458.7000000001</v>
      </c>
      <c r="CR61" s="69">
        <f>48780.5+815874.6</f>
        <v>864655.1</v>
      </c>
      <c r="CS61" s="69">
        <f>42788.5+713253.7</f>
        <v>756042.2</v>
      </c>
      <c r="CT61" s="277">
        <f>52536.4+773924.2</f>
        <v>826460.6</v>
      </c>
      <c r="CU61" s="275">
        <f>63274.45+854495.361</f>
        <v>917769.81099999999</v>
      </c>
      <c r="CV61" s="275">
        <f>53179.026+782627.309</f>
        <v>835806.33499999996</v>
      </c>
      <c r="CW61" s="275">
        <f>48939.539+752853.945</f>
        <v>801793.48399999994</v>
      </c>
      <c r="CX61" s="275">
        <f>43518.9+741042</f>
        <v>784560.9</v>
      </c>
      <c r="CY61" s="275">
        <f>41109.7+750783.2</f>
        <v>791892.89999999991</v>
      </c>
      <c r="CZ61" s="275">
        <f>54289.6+915257.6</f>
        <v>969547.2</v>
      </c>
      <c r="DA61" s="275">
        <f>62103.7+956819.1</f>
        <v>1018922.7999999999</v>
      </c>
      <c r="DB61" s="275">
        <f>63520.1+962980</f>
        <v>1026500.1</v>
      </c>
      <c r="DC61" s="275">
        <f>60745.2+962238.5</f>
        <v>1022983.7</v>
      </c>
      <c r="DD61" s="275">
        <f>47796.9+749226.4</f>
        <v>797023.3</v>
      </c>
      <c r="DE61" s="275">
        <f>40633.4+698907.8</f>
        <v>739541.20000000007</v>
      </c>
      <c r="DF61" s="277">
        <f>46759+726568.9</f>
        <v>773327.9</v>
      </c>
      <c r="DG61" s="68">
        <f>52315.1+760897.7</f>
        <v>813212.79999999993</v>
      </c>
      <c r="DH61" s="68">
        <f>51309.6+758464.8</f>
        <v>809774.4</v>
      </c>
      <c r="DI61" s="68">
        <f>37904.1+653479.3</f>
        <v>691383.4</v>
      </c>
      <c r="DJ61" s="68">
        <f>35550.8+642314.2</f>
        <v>677865</v>
      </c>
      <c r="DK61" s="68">
        <f>40045.9+697955</f>
        <v>738000.9</v>
      </c>
      <c r="DL61" s="68">
        <f>47806.2+799721.3</f>
        <v>847527.5</v>
      </c>
      <c r="DM61" s="68">
        <f>55197+867919.2</f>
        <v>923116.2</v>
      </c>
      <c r="DN61" s="68">
        <f>54755.2+898049.5</f>
        <v>952804.7</v>
      </c>
      <c r="DO61" s="68">
        <f>51732.4+859650.6</f>
        <v>911383</v>
      </c>
      <c r="DP61" s="68">
        <f>39348.6+688178</f>
        <v>727526.6</v>
      </c>
      <c r="DQ61" s="68">
        <f>34013+595570.3</f>
        <v>629583.30000000005</v>
      </c>
      <c r="DR61" s="68">
        <f>39577.2+627688.8</f>
        <v>667266</v>
      </c>
      <c r="DS61" s="68">
        <v>665660.5</v>
      </c>
      <c r="DT61" s="297">
        <v>604658.19999999995</v>
      </c>
      <c r="DU61" s="68">
        <v>574977.4</v>
      </c>
      <c r="DV61" s="351">
        <v>617191.4</v>
      </c>
      <c r="DW61" s="351">
        <v>650924.30000000005</v>
      </c>
      <c r="DX61" s="351">
        <v>727381.6</v>
      </c>
      <c r="DY61" s="68">
        <v>773146.1</v>
      </c>
      <c r="DZ61" s="297">
        <v>800078.4</v>
      </c>
      <c r="EA61" s="68">
        <v>771582.3</v>
      </c>
      <c r="EB61" s="68">
        <f>36440.1+621468.8</f>
        <v>657908.9</v>
      </c>
      <c r="EC61" s="68">
        <f>33038.5+560517.2</f>
        <v>593555.69999999995</v>
      </c>
      <c r="ED61" s="68">
        <f>34949.1+547604.7</f>
        <v>582553.79999999993</v>
      </c>
      <c r="EE61" s="68">
        <f>41682+582448.4</f>
        <v>624130.4</v>
      </c>
      <c r="EF61" s="68">
        <f>36255.1+552054.5</f>
        <v>588309.6</v>
      </c>
      <c r="EG61" s="68">
        <f>34018.6+526692.2</f>
        <v>560710.79999999993</v>
      </c>
      <c r="EH61" s="68">
        <f>33538.8+546139.3</f>
        <v>579678.10000000009</v>
      </c>
      <c r="EI61" s="68">
        <f>32217.7+547189.4</f>
        <v>579407.1</v>
      </c>
      <c r="EJ61" s="68">
        <f>39165.1+635684.9</f>
        <v>674850</v>
      </c>
      <c r="EK61" s="68">
        <f>45435.5+672342.6</f>
        <v>717778.1</v>
      </c>
      <c r="EL61" s="68">
        <f>47182.9+680838.2</f>
        <v>728021.1</v>
      </c>
      <c r="EM61" s="68">
        <f>48787.6+706455.3</f>
        <v>755242.9</v>
      </c>
      <c r="EN61" s="68">
        <f>40984.5+605818.1</f>
        <v>646802.6</v>
      </c>
      <c r="EO61" s="68">
        <f>33939.4+504680.1</f>
        <v>538619.5</v>
      </c>
      <c r="EP61" s="68">
        <f>42740.2+550772.2</f>
        <v>593512.39999999991</v>
      </c>
      <c r="EQ61" s="68">
        <f>48328.2+559079.1</f>
        <v>607407.29999999993</v>
      </c>
      <c r="ER61" s="68">
        <f>44233.2+533380.5</f>
        <v>577613.69999999995</v>
      </c>
      <c r="ES61" s="68">
        <f>39493.3+515345</f>
        <v>554838.30000000005</v>
      </c>
      <c r="ET61" s="68">
        <f>35994+526745.3</f>
        <v>562739.30000000005</v>
      </c>
      <c r="EU61" s="68">
        <f>35498.1+564191.3</f>
        <v>599689.4</v>
      </c>
      <c r="EV61" s="68">
        <f>42252.2+646214.5</f>
        <v>688466.7</v>
      </c>
      <c r="EW61" s="68">
        <f>44069.7+684668.2</f>
        <v>728737.89999999991</v>
      </c>
      <c r="EX61" s="68">
        <f>46237.1+698159.8</f>
        <v>744396.9</v>
      </c>
      <c r="EY61" s="68">
        <f>47993.7+739421</f>
        <v>787414.7</v>
      </c>
      <c r="EZ61" s="68">
        <f>39118.9+630496.4</f>
        <v>669615.30000000005</v>
      </c>
      <c r="FA61" s="68">
        <f>35507.2+560734.8</f>
        <v>596242</v>
      </c>
      <c r="FB61" s="68">
        <f>38875.2+552085.5</f>
        <v>590960.69999999995</v>
      </c>
      <c r="FC61" s="68">
        <f>45425.5+589465.7</f>
        <v>634891.19999999995</v>
      </c>
      <c r="FD61" s="68">
        <f>43520.9+592779.8</f>
        <v>636300.70000000007</v>
      </c>
      <c r="FE61" s="68">
        <f>43605.8+573340.8</f>
        <v>616946.60000000009</v>
      </c>
      <c r="FF61" s="68">
        <f>37199.4+572174</f>
        <v>609373.4</v>
      </c>
      <c r="FG61" s="68">
        <f>35437.3+572579.5</f>
        <v>608016.80000000005</v>
      </c>
      <c r="FH61" s="68">
        <f>40411.8+638086.2</f>
        <v>678498</v>
      </c>
      <c r="FI61" s="68">
        <f>48597.7+724536.9</f>
        <v>773134.6</v>
      </c>
      <c r="FJ61" s="68">
        <f>53014.3+768955.1</f>
        <v>821969.4</v>
      </c>
      <c r="FK61" s="68">
        <f>42472.5+755563.6</f>
        <v>798036.1</v>
      </c>
      <c r="FL61" s="68">
        <f>42472.5+679244.7</f>
        <v>721717.2</v>
      </c>
      <c r="FM61" s="68">
        <f>35500.4+577357.1</f>
        <v>612857.5</v>
      </c>
      <c r="FN61" s="68">
        <f>38243.4+571166.7</f>
        <v>609410.1</v>
      </c>
      <c r="FO61" s="68">
        <f>42690.2+589746.4</f>
        <v>632436.6</v>
      </c>
      <c r="FP61" s="68">
        <f>40664+573244.6</f>
        <v>613908.6</v>
      </c>
      <c r="FQ61" s="68">
        <f>31738.7+532992.1</f>
        <v>564730.79999999993</v>
      </c>
      <c r="FR61" s="68">
        <f>30912.8+555303.3</f>
        <v>586216.10000000009</v>
      </c>
      <c r="FS61" s="68">
        <f>30432.9+564732.6</f>
        <v>595165.5</v>
      </c>
      <c r="FT61" s="68">
        <f>34820.8+638244.5</f>
        <v>673065.3</v>
      </c>
    </row>
    <row r="62" spans="2:176" s="68" customFormat="1" ht="13.8" thickBot="1" x14ac:dyDescent="0.3">
      <c r="B62" s="116" t="s">
        <v>8</v>
      </c>
      <c r="C62" s="104">
        <v>856.52</v>
      </c>
      <c r="D62" s="92">
        <v>152666.23999999999</v>
      </c>
      <c r="E62" s="92">
        <v>447158.86</v>
      </c>
      <c r="F62" s="92">
        <v>537466.56999999995</v>
      </c>
      <c r="G62" s="92">
        <v>550089.23</v>
      </c>
      <c r="H62" s="92">
        <v>988753.79</v>
      </c>
      <c r="I62" s="92">
        <v>1228486.75</v>
      </c>
      <c r="J62" s="92">
        <v>809697.73</v>
      </c>
      <c r="K62" s="92">
        <v>1489790.6</v>
      </c>
      <c r="L62" s="92">
        <v>1236673.2870000002</v>
      </c>
      <c r="M62" s="92">
        <v>594121.10700000008</v>
      </c>
      <c r="N62" s="93">
        <v>975952.39499999979</v>
      </c>
      <c r="O62" s="104">
        <v>980679</v>
      </c>
      <c r="P62" s="92">
        <v>1097360</v>
      </c>
      <c r="Q62" s="92">
        <v>1049512</v>
      </c>
      <c r="R62" s="92">
        <v>1019105.4730000002</v>
      </c>
      <c r="S62" s="92">
        <v>1156766.0080000004</v>
      </c>
      <c r="T62" s="92">
        <v>1285460.2980000004</v>
      </c>
      <c r="U62" s="92">
        <v>1470244.054</v>
      </c>
      <c r="V62" s="92">
        <v>1624776.8279999997</v>
      </c>
      <c r="W62" s="92">
        <v>1590020.1260000006</v>
      </c>
      <c r="X62" s="92">
        <v>1465284</v>
      </c>
      <c r="Y62" s="92">
        <v>1318184</v>
      </c>
      <c r="Z62" s="93">
        <v>1351890</v>
      </c>
      <c r="AA62" s="104">
        <v>1338892.7</v>
      </c>
      <c r="AB62" s="92">
        <v>1382368.6</v>
      </c>
      <c r="AC62" s="92">
        <v>1327526</v>
      </c>
      <c r="AD62" s="92">
        <v>1489111.6</v>
      </c>
      <c r="AE62" s="92">
        <v>1584570.3</v>
      </c>
      <c r="AF62" s="92">
        <v>1786035.8</v>
      </c>
      <c r="AG62" s="92">
        <v>1959631.6</v>
      </c>
      <c r="AH62" s="92">
        <v>2062099</v>
      </c>
      <c r="AI62" s="92">
        <v>2106069.08</v>
      </c>
      <c r="AJ62" s="92">
        <v>1962961.1769999999</v>
      </c>
      <c r="AK62" s="92">
        <v>1821206.392</v>
      </c>
      <c r="AL62" s="93">
        <v>1739475.1240000001</v>
      </c>
      <c r="AM62" s="104">
        <v>1835723</v>
      </c>
      <c r="AN62" s="92">
        <v>1796075</v>
      </c>
      <c r="AO62" s="92">
        <v>1898240</v>
      </c>
      <c r="AP62" s="92">
        <f>1931684+31404.8</f>
        <v>1963088.8</v>
      </c>
      <c r="AQ62" s="92">
        <f>33286+2040831.3</f>
        <v>2074117.3</v>
      </c>
      <c r="AR62" s="92">
        <f>2452558.9+34840.2</f>
        <v>2487399.1</v>
      </c>
      <c r="AS62" s="92">
        <f>38515.1+2680249.2</f>
        <v>2718764.3000000003</v>
      </c>
      <c r="AT62" s="92">
        <f>38374.3+2710556.2</f>
        <v>2748930.5</v>
      </c>
      <c r="AU62" s="92">
        <f>2964491.6+47212.5</f>
        <v>3011704.1</v>
      </c>
      <c r="AV62" s="92">
        <f>30896.4+2566690</f>
        <v>2597586.4</v>
      </c>
      <c r="AW62" s="92">
        <f>2240700.9+32002.2</f>
        <v>2272703.1</v>
      </c>
      <c r="AX62" s="93">
        <f>32350.7+2130454.2</f>
        <v>2162804.9000000004</v>
      </c>
      <c r="AY62" s="104">
        <f>35952.1+2159685.7</f>
        <v>2195637.8000000003</v>
      </c>
      <c r="AZ62" s="92">
        <f>31036.5+2031482.3</f>
        <v>2062518.8</v>
      </c>
      <c r="BA62" s="92">
        <f>35461.3+2161106.7</f>
        <v>2196568</v>
      </c>
      <c r="BB62" s="92">
        <f>30832+2358525</f>
        <v>2389357</v>
      </c>
      <c r="BC62" s="92">
        <f>2389359+34650</f>
        <v>2424009</v>
      </c>
      <c r="BD62" s="92">
        <f>40661+2790004</f>
        <v>2830665</v>
      </c>
      <c r="BE62" s="92">
        <f>41756.2+2882413.2</f>
        <v>2924169.4000000004</v>
      </c>
      <c r="BF62" s="92">
        <f>3066794.8+43691.7</f>
        <v>3110486.5</v>
      </c>
      <c r="BG62" s="92">
        <f>48447.9+3118422</f>
        <v>3166869.9</v>
      </c>
      <c r="BH62" s="92">
        <f>39540.2+2584740.7</f>
        <v>2624280.9000000004</v>
      </c>
      <c r="BI62" s="92">
        <f>2314251.6+38372.3</f>
        <v>2352623.9</v>
      </c>
      <c r="BJ62" s="93">
        <f>44255.5+2272617.5</f>
        <v>2316873</v>
      </c>
      <c r="BK62" s="104">
        <f>48012.6+2340677.7</f>
        <v>2388690.3000000003</v>
      </c>
      <c r="BL62" s="92">
        <f>48149+2324408.1</f>
        <v>2372557.1</v>
      </c>
      <c r="BM62" s="92">
        <f>47356.5+2268979.9</f>
        <v>2316336.4</v>
      </c>
      <c r="BN62" s="92">
        <f>45586.166+2360113.788</f>
        <v>2405699.9540000004</v>
      </c>
      <c r="BO62" s="92">
        <f>2437931.794+46923.996</f>
        <v>2484855.79</v>
      </c>
      <c r="BP62" s="92">
        <f>50117.469+2723231.772</f>
        <v>2773349.2409999999</v>
      </c>
      <c r="BQ62" s="92">
        <f>53973+2894427</f>
        <v>2948400</v>
      </c>
      <c r="BR62" s="92">
        <f>53872+2966205</f>
        <v>3020077</v>
      </c>
      <c r="BS62" s="92">
        <f>3189590+58281</f>
        <v>3247871</v>
      </c>
      <c r="BT62" s="92">
        <f>57347.9+2955348.9</f>
        <v>3012696.8</v>
      </c>
      <c r="BU62" s="92">
        <f>2512674.8+47947.1</f>
        <v>2560621.9</v>
      </c>
      <c r="BV62" s="92">
        <f>56777.5+2582256.6</f>
        <v>2639034.1</v>
      </c>
      <c r="BW62" s="210">
        <f>64135+2596412</f>
        <v>2660547</v>
      </c>
      <c r="BX62" s="92">
        <f>2458328+53544</f>
        <v>2511872</v>
      </c>
      <c r="BY62" s="92">
        <f>53045.6+2393345.1</f>
        <v>2446390.7000000002</v>
      </c>
      <c r="BZ62" s="92">
        <f>52899.9+2407000.8</f>
        <v>2459900.6999999997</v>
      </c>
      <c r="CA62" s="92">
        <f>49763.7+2505105.3</f>
        <v>2554869</v>
      </c>
      <c r="CB62" s="92">
        <f>3049959.2+61283.5</f>
        <v>3111242.7</v>
      </c>
      <c r="CC62" s="92">
        <f>62430.839+3180687.664</f>
        <v>3243118.503</v>
      </c>
      <c r="CD62" s="92">
        <f>62795.787+3228596.767</f>
        <v>3291392.554</v>
      </c>
      <c r="CE62" s="92">
        <f>61784.239+3155005.889</f>
        <v>3216790.128</v>
      </c>
      <c r="CF62" s="92">
        <f>56860+2782327</f>
        <v>2839187</v>
      </c>
      <c r="CG62" s="92">
        <f>52844+2464612</f>
        <v>2517456</v>
      </c>
      <c r="CH62" s="93">
        <f>62447+2543238</f>
        <v>2605685</v>
      </c>
      <c r="CI62" s="210">
        <f>68888+2638265</f>
        <v>2707153</v>
      </c>
      <c r="CJ62" s="92">
        <f>62615+2386325</f>
        <v>2448940</v>
      </c>
      <c r="CK62" s="92">
        <f>56498+2361600</f>
        <v>2418098</v>
      </c>
      <c r="CL62" s="92">
        <f>59306+2446691</f>
        <v>2505997</v>
      </c>
      <c r="CM62" s="92">
        <f>2541200+57112</f>
        <v>2598312</v>
      </c>
      <c r="CN62" s="92">
        <f>64194+2856069</f>
        <v>2920263</v>
      </c>
      <c r="CO62" s="92">
        <f>70902.6+3193673.5</f>
        <v>3264576.1</v>
      </c>
      <c r="CP62" s="92">
        <f>66836.1+3117081.3</f>
        <v>3183917.4</v>
      </c>
      <c r="CQ62" s="92">
        <f>68078+3082672.8</f>
        <v>3150750.8</v>
      </c>
      <c r="CR62" s="92">
        <f>62269.8+2649868.6</f>
        <v>2712138.4</v>
      </c>
      <c r="CS62" s="92">
        <f>59054.2+2326893.9</f>
        <v>2385948.1</v>
      </c>
      <c r="CT62" s="93">
        <f>69733.3+2549972.7</f>
        <v>2619706</v>
      </c>
      <c r="CU62" s="92">
        <f>78874.924+2697801.584</f>
        <v>2776676.5079999999</v>
      </c>
      <c r="CV62" s="92">
        <f>67512.954+2460822.407</f>
        <v>2528335.361</v>
      </c>
      <c r="CW62" s="92">
        <f>64187.256+2372381.322</f>
        <v>2436568.5780000002</v>
      </c>
      <c r="CX62" s="92">
        <f>59737+2401123.5</f>
        <v>2460860.5</v>
      </c>
      <c r="CY62" s="92">
        <f>59747.3+2511924.9</f>
        <v>2571672.1999999997</v>
      </c>
      <c r="CZ62" s="92">
        <f>70239.6+3055164.1</f>
        <v>3125403.7</v>
      </c>
      <c r="DA62" s="92">
        <f>77323.6+3258280.8</f>
        <v>3335604.4</v>
      </c>
      <c r="DB62" s="92">
        <f>80017.8+3316179.4</f>
        <v>3396197.1999999997</v>
      </c>
      <c r="DC62" s="92">
        <f>80598.8+3371419.8</f>
        <v>3452018.5999999996</v>
      </c>
      <c r="DD62" s="92">
        <f>70919.3+2884856.4</f>
        <v>2955775.6999999997</v>
      </c>
      <c r="DE62" s="92">
        <f>65575.1+2518745.3</f>
        <v>2584320.4</v>
      </c>
      <c r="DF62" s="93">
        <f>76996.7+2651567.2</f>
        <v>2728563.9000000004</v>
      </c>
      <c r="DG62" s="91">
        <f>82983.8+2764293.9</f>
        <v>2847277.6999999997</v>
      </c>
      <c r="DH62" s="92">
        <f>76093.5+2697813.4</f>
        <v>2773906.9</v>
      </c>
      <c r="DI62" s="92">
        <f>65787.5+2452031.7</f>
        <v>2517819.2000000002</v>
      </c>
      <c r="DJ62" s="92">
        <f>65609.6+2520008.5</f>
        <v>2585618.1</v>
      </c>
      <c r="DK62" s="92">
        <f>67814+2788735.9</f>
        <v>2856549.9</v>
      </c>
      <c r="DL62" s="92">
        <f>76322+3231996.1</f>
        <v>3308318.1</v>
      </c>
      <c r="DM62" s="92">
        <f>84307.7+3580994.1</f>
        <v>3665301.8000000003</v>
      </c>
      <c r="DN62" s="92">
        <f>88590.3+3710398.6</f>
        <v>3798988.9</v>
      </c>
      <c r="DO62" s="92">
        <f>84004.1+3598642.2</f>
        <v>3682646.3000000003</v>
      </c>
      <c r="DP62" s="92">
        <f>74466+2982857.4</f>
        <v>3057323.4</v>
      </c>
      <c r="DQ62" s="92">
        <f>70087.6+2649585.3</f>
        <v>2719672.9</v>
      </c>
      <c r="DR62" s="92">
        <f>81594.4+2772805.5</f>
        <v>2854399.9</v>
      </c>
      <c r="DS62" s="92">
        <v>2846562.4</v>
      </c>
      <c r="DT62" s="276">
        <v>2683241.7000000002</v>
      </c>
      <c r="DU62" s="92">
        <v>2619283.4</v>
      </c>
      <c r="DV62" s="352">
        <v>2849952.2</v>
      </c>
      <c r="DW62" s="352">
        <v>3048073.7</v>
      </c>
      <c r="DX62" s="352">
        <v>3375597.3</v>
      </c>
      <c r="DY62" s="92">
        <v>3624823.8</v>
      </c>
      <c r="DZ62" s="276">
        <v>3681698.4</v>
      </c>
      <c r="EA62" s="92">
        <v>3601417.4</v>
      </c>
      <c r="EB62" s="92">
        <f>79764+3040610.9</f>
        <v>3120374.9</v>
      </c>
      <c r="EC62" s="92">
        <f>77303.4+2784853.6</f>
        <v>2862157</v>
      </c>
      <c r="ED62" s="92">
        <f>81798.2+2740037.7</f>
        <v>2821835.9000000004</v>
      </c>
      <c r="EE62" s="92">
        <f>90729.7+2813978.2</f>
        <v>2904707.9000000004</v>
      </c>
      <c r="EF62" s="92">
        <f>82127.8+2683637.9</f>
        <v>2765765.6999999997</v>
      </c>
      <c r="EG62" s="92">
        <f>77545.3+2569184.1</f>
        <v>2646729.4</v>
      </c>
      <c r="EH62" s="92">
        <f>78995.5+2714474.8</f>
        <v>2793470.3</v>
      </c>
      <c r="EI62" s="92">
        <f>76135.7+2750149.2</f>
        <v>2826284.9000000004</v>
      </c>
      <c r="EJ62" s="92">
        <f>87618.5+3246887.4</f>
        <v>3334505.9</v>
      </c>
      <c r="EK62" s="92">
        <f>97099.4+3500518.1</f>
        <v>3597617.5</v>
      </c>
      <c r="EL62" s="92">
        <f>99022.6+3562337.7</f>
        <v>3661360.3000000003</v>
      </c>
      <c r="EM62" s="92">
        <f>104694.3+3692844</f>
        <v>3797538.3</v>
      </c>
      <c r="EN62" s="92">
        <f>93121+3230540.4</f>
        <v>3323661.4</v>
      </c>
      <c r="EO62" s="92">
        <f>82653.7+2719239.5</f>
        <v>2801893.2</v>
      </c>
      <c r="EP62" s="92">
        <f>100743.3+2930053</f>
        <v>3030796.3</v>
      </c>
      <c r="EQ62" s="92">
        <f>108930.3+2983729.8</f>
        <v>3092660.0999999996</v>
      </c>
      <c r="ER62" s="92">
        <f>100887.5+2779193.3</f>
        <v>2880080.8</v>
      </c>
      <c r="ES62" s="92">
        <f>94478.4+2742071.5</f>
        <v>2836549.9</v>
      </c>
      <c r="ET62" s="92">
        <f>91277.4+2835643.8</f>
        <v>2926921.1999999997</v>
      </c>
      <c r="EU62" s="92">
        <f>90506.9+2938713.5</f>
        <v>3029220.4</v>
      </c>
      <c r="EV62" s="92">
        <f>101048.1+3332085.2</f>
        <v>3433133.3000000003</v>
      </c>
      <c r="EW62" s="92">
        <f>103642.1+3416017.8</f>
        <v>3519659.9</v>
      </c>
      <c r="EX62" s="92">
        <f>106799.9+3462389.7</f>
        <v>3569189.6</v>
      </c>
      <c r="EY62" s="92">
        <f>114098.4+3686700.8</f>
        <v>3800799.1999999997</v>
      </c>
      <c r="EZ62" s="92">
        <f>97840.3+3125663.5</f>
        <v>3223503.8</v>
      </c>
      <c r="FA62" s="92">
        <f>92124.8+2804424.9</f>
        <v>2896549.6999999997</v>
      </c>
      <c r="FB62" s="92">
        <f>99075+2750901.9</f>
        <v>2849976.9</v>
      </c>
      <c r="FC62" s="92">
        <f>110561.1+2841141.3</f>
        <v>2951702.4</v>
      </c>
      <c r="FD62" s="92">
        <f>107777.4+2840922.7</f>
        <v>2948700.1</v>
      </c>
      <c r="FE62" s="92">
        <f>101204.4+2747533.8</f>
        <v>2848738.1999999997</v>
      </c>
      <c r="FF62" s="92">
        <f>91247.5+2786677.8</f>
        <v>2877925.3</v>
      </c>
      <c r="FG62" s="92">
        <f>88370.3+2827754.3</f>
        <v>2916124.5999999996</v>
      </c>
      <c r="FH62" s="92">
        <f>104195.2+3160419.8</f>
        <v>3264615</v>
      </c>
      <c r="FI62" s="92">
        <f>106835.9+3530666.8</f>
        <v>3637502.6999999997</v>
      </c>
      <c r="FJ62" s="92">
        <f>118253.6+3718049.2</f>
        <v>3836302.8000000003</v>
      </c>
      <c r="FK62" s="92">
        <f>112813.7+3650929</f>
        <v>3763742.7</v>
      </c>
      <c r="FL62" s="92">
        <f>104083.5+3309972.6</f>
        <v>3414056.1</v>
      </c>
      <c r="FM62" s="92">
        <f>85359.4+2825444.5</f>
        <v>2910803.9</v>
      </c>
      <c r="FN62" s="92">
        <f>95651.8+2781129.5</f>
        <v>2876781.3</v>
      </c>
      <c r="FO62" s="92">
        <f>103692.5+2833460.5</f>
        <v>2937153</v>
      </c>
      <c r="FP62" s="92">
        <f>98673.6+2728919.2</f>
        <v>2827592.8000000003</v>
      </c>
      <c r="FQ62" s="92">
        <f>90808.5+2585936.5</f>
        <v>2676745</v>
      </c>
      <c r="FR62" s="92">
        <f>92131+2718381.2</f>
        <v>2810512.2</v>
      </c>
      <c r="FS62" s="92">
        <f>90315.4+2782530.7</f>
        <v>2872846.1</v>
      </c>
      <c r="FT62" s="92">
        <f>100719.5+3135000.1</f>
        <v>3235719.6</v>
      </c>
    </row>
    <row r="63" spans="2:176" s="68" customFormat="1" ht="13.8" thickTop="1" x14ac:dyDescent="0.25">
      <c r="B63" s="87" t="s">
        <v>9</v>
      </c>
      <c r="C63" s="105">
        <f t="shared" ref="C63:Q63" si="317">SUM(C61:C62)</f>
        <v>1820274.32</v>
      </c>
      <c r="D63" s="94">
        <f t="shared" si="317"/>
        <v>1972084.04</v>
      </c>
      <c r="E63" s="94">
        <f t="shared" si="317"/>
        <v>2983525.1599999997</v>
      </c>
      <c r="F63" s="94">
        <f t="shared" si="317"/>
        <v>2995763.07</v>
      </c>
      <c r="G63" s="94">
        <f t="shared" si="317"/>
        <v>3191252.33</v>
      </c>
      <c r="H63" s="94">
        <f t="shared" si="317"/>
        <v>4193171.39</v>
      </c>
      <c r="I63" s="94">
        <f t="shared" si="317"/>
        <v>4843458.1500000004</v>
      </c>
      <c r="J63" s="94">
        <f t="shared" si="317"/>
        <v>3613151.14</v>
      </c>
      <c r="K63" s="94">
        <f t="shared" si="317"/>
        <v>5386708.6899999995</v>
      </c>
      <c r="L63" s="94">
        <f t="shared" si="317"/>
        <v>4015273.1150000002</v>
      </c>
      <c r="M63" s="94">
        <f t="shared" si="317"/>
        <v>2880819.0839999998</v>
      </c>
      <c r="N63" s="107">
        <f t="shared" si="317"/>
        <v>3284182.9359999998</v>
      </c>
      <c r="O63" s="105">
        <f t="shared" si="317"/>
        <v>3153042</v>
      </c>
      <c r="P63" s="94">
        <f t="shared" si="317"/>
        <v>3315612</v>
      </c>
      <c r="Q63" s="94">
        <f t="shared" si="317"/>
        <v>2897454</v>
      </c>
      <c r="R63" s="94">
        <f t="shared" ref="R63:W63" si="318">SUM(R61:R62)</f>
        <v>3101745.8480000002</v>
      </c>
      <c r="S63" s="94">
        <f t="shared" si="318"/>
        <v>3425003.4120000005</v>
      </c>
      <c r="T63" s="94">
        <f t="shared" si="318"/>
        <v>3832436.9810000001</v>
      </c>
      <c r="U63" s="94">
        <f t="shared" si="318"/>
        <v>3977834.94</v>
      </c>
      <c r="V63" s="94">
        <f t="shared" si="318"/>
        <v>4375307.0460000001</v>
      </c>
      <c r="W63" s="94">
        <f t="shared" si="318"/>
        <v>4142037.4580000006</v>
      </c>
      <c r="X63" s="94">
        <f>SUM(X61:X62)</f>
        <v>3728419</v>
      </c>
      <c r="Y63" s="94">
        <f>SUM(Y61:Y62)</f>
        <v>3263065</v>
      </c>
      <c r="Z63" s="107">
        <f>SUM(Z61:Z62)</f>
        <v>3165173</v>
      </c>
      <c r="AA63" s="105">
        <f t="shared" ref="AA63:AL63" si="319">SUM(AA61:AA62)</f>
        <v>3163897.9</v>
      </c>
      <c r="AB63" s="94">
        <f t="shared" si="319"/>
        <v>3240137.4000000004</v>
      </c>
      <c r="AC63" s="94">
        <f t="shared" si="319"/>
        <v>3116460.9</v>
      </c>
      <c r="AD63" s="94">
        <f t="shared" si="319"/>
        <v>3291166.3</v>
      </c>
      <c r="AE63" s="94">
        <f t="shared" si="319"/>
        <v>3443589.9000000004</v>
      </c>
      <c r="AF63" s="94">
        <f t="shared" si="319"/>
        <v>3898750.5</v>
      </c>
      <c r="AG63" s="94">
        <f>SUM(AG61:AG62)</f>
        <v>4023536.9000000004</v>
      </c>
      <c r="AH63" s="94">
        <f>SUM(AH61:AH62)</f>
        <v>4106856.6</v>
      </c>
      <c r="AI63" s="94">
        <f>SUM(AI61:AI62)</f>
        <v>4092618.38</v>
      </c>
      <c r="AJ63" s="94">
        <f t="shared" si="319"/>
        <v>3693578.6869999999</v>
      </c>
      <c r="AK63" s="94">
        <f t="shared" si="319"/>
        <v>3295095.9739999999</v>
      </c>
      <c r="AL63" s="107">
        <f t="shared" si="319"/>
        <v>3184773.602</v>
      </c>
      <c r="AM63" s="105">
        <f t="shared" ref="AM63:AR63" si="320">SUM(AM61:AM62)</f>
        <v>3330754</v>
      </c>
      <c r="AN63" s="94">
        <f t="shared" si="320"/>
        <v>3110128</v>
      </c>
      <c r="AO63" s="94">
        <f t="shared" si="320"/>
        <v>3212074</v>
      </c>
      <c r="AP63" s="94">
        <f t="shared" si="320"/>
        <v>3230239.8</v>
      </c>
      <c r="AQ63" s="94">
        <f t="shared" si="320"/>
        <v>3377809.2</v>
      </c>
      <c r="AR63" s="94">
        <f t="shared" si="320"/>
        <v>4047644.1</v>
      </c>
      <c r="AS63" s="94">
        <f t="shared" ref="AS63:AX63" si="321">SUM(AS61:AS62)</f>
        <v>4315031</v>
      </c>
      <c r="AT63" s="94">
        <f t="shared" si="321"/>
        <v>4291200.8</v>
      </c>
      <c r="AU63" s="94">
        <f t="shared" si="321"/>
        <v>4652944.2</v>
      </c>
      <c r="AV63" s="94">
        <f t="shared" si="321"/>
        <v>3968428.8</v>
      </c>
      <c r="AW63" s="94">
        <f t="shared" si="321"/>
        <v>3420885.2</v>
      </c>
      <c r="AX63" s="107">
        <f t="shared" si="321"/>
        <v>3274022.6000000006</v>
      </c>
      <c r="AY63" s="105">
        <f t="shared" ref="AY63:BJ63" si="322">SUM(AY61:AY62)</f>
        <v>3284407.8000000003</v>
      </c>
      <c r="AZ63" s="94">
        <f t="shared" si="322"/>
        <v>3094258.8</v>
      </c>
      <c r="BA63" s="94">
        <f t="shared" si="322"/>
        <v>3249775</v>
      </c>
      <c r="BB63" s="94">
        <f t="shared" si="322"/>
        <v>3518767</v>
      </c>
      <c r="BC63" s="94">
        <f t="shared" si="322"/>
        <v>3578002</v>
      </c>
      <c r="BD63" s="94">
        <f t="shared" si="322"/>
        <v>4169909</v>
      </c>
      <c r="BE63" s="94">
        <f t="shared" si="322"/>
        <v>4275404.8000000007</v>
      </c>
      <c r="BF63" s="94">
        <f t="shared" si="322"/>
        <v>4562597</v>
      </c>
      <c r="BG63" s="94">
        <f t="shared" si="322"/>
        <v>4568179.5</v>
      </c>
      <c r="BH63" s="94">
        <f t="shared" si="322"/>
        <v>3758109.0000000005</v>
      </c>
      <c r="BI63" s="94">
        <f t="shared" si="322"/>
        <v>3323224.7</v>
      </c>
      <c r="BJ63" s="107">
        <f t="shared" si="322"/>
        <v>3263189.2</v>
      </c>
      <c r="BK63" s="105">
        <f t="shared" ref="BK63:BP63" si="323">SUM(BK61:BK62)</f>
        <v>3397836.5</v>
      </c>
      <c r="BL63" s="94">
        <f t="shared" si="323"/>
        <v>3353393.7</v>
      </c>
      <c r="BM63" s="94">
        <f t="shared" si="323"/>
        <v>3273605.3</v>
      </c>
      <c r="BN63" s="94">
        <f t="shared" si="323"/>
        <v>3337983.9420000003</v>
      </c>
      <c r="BO63" s="94">
        <f t="shared" si="323"/>
        <v>3432619.7710000002</v>
      </c>
      <c r="BP63" s="94">
        <f t="shared" si="323"/>
        <v>3818200.6370000001</v>
      </c>
      <c r="BQ63" s="94">
        <f t="shared" ref="BQ63:CB63" si="324">SUM(BQ61:BQ62)</f>
        <v>4063665</v>
      </c>
      <c r="BR63" s="94">
        <f t="shared" si="324"/>
        <v>4183350</v>
      </c>
      <c r="BS63" s="94">
        <f t="shared" si="324"/>
        <v>4448090</v>
      </c>
      <c r="BT63" s="94">
        <f t="shared" si="324"/>
        <v>4132725.8999999994</v>
      </c>
      <c r="BU63" s="94">
        <f t="shared" si="324"/>
        <v>3472904.8</v>
      </c>
      <c r="BV63" s="95">
        <f t="shared" si="324"/>
        <v>3575160.9</v>
      </c>
      <c r="BW63" s="115">
        <f t="shared" si="324"/>
        <v>3599756</v>
      </c>
      <c r="BX63" s="94">
        <f t="shared" si="324"/>
        <v>3407402</v>
      </c>
      <c r="BY63" s="94">
        <f t="shared" si="324"/>
        <v>3305375.7</v>
      </c>
      <c r="BZ63" s="94">
        <f t="shared" si="324"/>
        <v>3299315.1999999997</v>
      </c>
      <c r="CA63" s="94">
        <f t="shared" si="324"/>
        <v>3425086.7</v>
      </c>
      <c r="CB63" s="94">
        <f t="shared" si="324"/>
        <v>4108230.3000000003</v>
      </c>
      <c r="CC63" s="94">
        <f t="shared" ref="CC63:CK63" si="325">SUM(CC61:CC62)</f>
        <v>4352822.6550000003</v>
      </c>
      <c r="CD63" s="94">
        <f t="shared" si="325"/>
        <v>4433548.7149999999</v>
      </c>
      <c r="CE63" s="94">
        <f t="shared" si="325"/>
        <v>4298222.2919999994</v>
      </c>
      <c r="CF63" s="94">
        <f t="shared" si="325"/>
        <v>3772934</v>
      </c>
      <c r="CG63" s="94">
        <f t="shared" si="325"/>
        <v>3332335</v>
      </c>
      <c r="CH63" s="94">
        <f t="shared" si="325"/>
        <v>3444517</v>
      </c>
      <c r="CI63" s="115">
        <f t="shared" si="325"/>
        <v>3592481</v>
      </c>
      <c r="CJ63" s="94">
        <f t="shared" si="325"/>
        <v>3263505</v>
      </c>
      <c r="CK63" s="94">
        <f t="shared" si="325"/>
        <v>3191106</v>
      </c>
      <c r="CL63" s="94">
        <f t="shared" ref="CL63:CT63" si="326">SUM(CL61:CL62)</f>
        <v>3305765</v>
      </c>
      <c r="CM63" s="94">
        <f t="shared" si="326"/>
        <v>3416039</v>
      </c>
      <c r="CN63" s="94">
        <f t="shared" si="326"/>
        <v>3840188</v>
      </c>
      <c r="CO63" s="94">
        <f t="shared" si="326"/>
        <v>4362462.2</v>
      </c>
      <c r="CP63" s="94">
        <f t="shared" si="326"/>
        <v>4261546.2</v>
      </c>
      <c r="CQ63" s="94">
        <f t="shared" si="326"/>
        <v>4167209.5</v>
      </c>
      <c r="CR63" s="94">
        <f t="shared" si="326"/>
        <v>3576793.5</v>
      </c>
      <c r="CS63" s="94">
        <f t="shared" si="326"/>
        <v>3141990.3</v>
      </c>
      <c r="CT63" s="96">
        <f t="shared" si="326"/>
        <v>3446166.6</v>
      </c>
      <c r="CU63" s="94">
        <f t="shared" ref="CU63:DJ63" si="327">SUM(CU61:CU62)</f>
        <v>3694446.3190000001</v>
      </c>
      <c r="CV63" s="94">
        <f t="shared" si="327"/>
        <v>3364141.696</v>
      </c>
      <c r="CW63" s="94">
        <f t="shared" si="327"/>
        <v>3238362.0619999999</v>
      </c>
      <c r="CX63" s="94">
        <f t="shared" si="327"/>
        <v>3245421.4</v>
      </c>
      <c r="CY63" s="94">
        <f t="shared" si="327"/>
        <v>3363565.0999999996</v>
      </c>
      <c r="CZ63" s="94">
        <f t="shared" si="327"/>
        <v>4094950.9000000004</v>
      </c>
      <c r="DA63" s="94">
        <f t="shared" si="327"/>
        <v>4354527.2</v>
      </c>
      <c r="DB63" s="94">
        <f t="shared" si="327"/>
        <v>4422697.3</v>
      </c>
      <c r="DC63" s="94">
        <f t="shared" si="327"/>
        <v>4475002.3</v>
      </c>
      <c r="DD63" s="94">
        <f t="shared" si="327"/>
        <v>3752799</v>
      </c>
      <c r="DE63" s="94">
        <f t="shared" si="327"/>
        <v>3323861.6</v>
      </c>
      <c r="DF63" s="96">
        <f t="shared" si="327"/>
        <v>3501891.8000000003</v>
      </c>
      <c r="DG63" s="94">
        <f t="shared" si="327"/>
        <v>3660490.4999999995</v>
      </c>
      <c r="DH63" s="94">
        <f t="shared" si="327"/>
        <v>3583681.3</v>
      </c>
      <c r="DI63" s="94">
        <f t="shared" si="327"/>
        <v>3209202.6</v>
      </c>
      <c r="DJ63" s="94">
        <f t="shared" si="327"/>
        <v>3263483.1</v>
      </c>
      <c r="DK63" s="94">
        <f t="shared" ref="DK63:FN63" si="328">SUM(DK61:DK62)</f>
        <v>3594550.8</v>
      </c>
      <c r="DL63" s="94">
        <f t="shared" si="328"/>
        <v>4155845.6</v>
      </c>
      <c r="DM63" s="94">
        <f t="shared" si="328"/>
        <v>4588418</v>
      </c>
      <c r="DN63" s="94">
        <f t="shared" si="328"/>
        <v>4751793.5999999996</v>
      </c>
      <c r="DO63" s="94">
        <f t="shared" si="328"/>
        <v>4594029.3000000007</v>
      </c>
      <c r="DP63" s="94">
        <f t="shared" si="328"/>
        <v>3784850</v>
      </c>
      <c r="DQ63" s="94">
        <f t="shared" si="328"/>
        <v>3349256.2</v>
      </c>
      <c r="DR63" s="94">
        <f t="shared" si="328"/>
        <v>3521665.9</v>
      </c>
      <c r="DS63" s="94">
        <f t="shared" si="328"/>
        <v>3512222.9</v>
      </c>
      <c r="DT63" s="94">
        <f t="shared" si="328"/>
        <v>3287899.9000000004</v>
      </c>
      <c r="DU63" s="94">
        <f t="shared" si="328"/>
        <v>3194260.8</v>
      </c>
      <c r="DV63" s="358">
        <f t="shared" si="328"/>
        <v>3467143.6</v>
      </c>
      <c r="DW63" s="358">
        <f t="shared" si="328"/>
        <v>3698998</v>
      </c>
      <c r="DX63" s="358">
        <f t="shared" si="328"/>
        <v>4102978.9</v>
      </c>
      <c r="DY63" s="358">
        <f t="shared" si="328"/>
        <v>4397969.8999999994</v>
      </c>
      <c r="DZ63" s="358">
        <f t="shared" si="328"/>
        <v>4481776.8</v>
      </c>
      <c r="EA63" s="358">
        <f t="shared" si="328"/>
        <v>4372999.7</v>
      </c>
      <c r="EB63" s="358">
        <f t="shared" si="328"/>
        <v>3778283.8</v>
      </c>
      <c r="EC63" s="358">
        <f t="shared" si="328"/>
        <v>3455712.7</v>
      </c>
      <c r="ED63" s="358">
        <f t="shared" si="328"/>
        <v>3404389.7</v>
      </c>
      <c r="EE63" s="358">
        <f t="shared" si="328"/>
        <v>3528838.3000000003</v>
      </c>
      <c r="EF63" s="358">
        <f>SUM(EF61:EF62)</f>
        <v>3354075.3</v>
      </c>
      <c r="EG63" s="358">
        <f t="shared" si="328"/>
        <v>3207440.1999999997</v>
      </c>
      <c r="EH63" s="358">
        <f t="shared" si="328"/>
        <v>3373148.4</v>
      </c>
      <c r="EI63" s="358">
        <f t="shared" si="328"/>
        <v>3405692.0000000005</v>
      </c>
      <c r="EJ63" s="358">
        <f t="shared" si="328"/>
        <v>4009355.9</v>
      </c>
      <c r="EK63" s="358">
        <f t="shared" si="328"/>
        <v>4315395.5999999996</v>
      </c>
      <c r="EL63" s="358">
        <f t="shared" si="328"/>
        <v>4389381.4000000004</v>
      </c>
      <c r="EM63" s="358">
        <f t="shared" si="328"/>
        <v>4552781.2</v>
      </c>
      <c r="EN63" s="358">
        <f t="shared" si="328"/>
        <v>3970464</v>
      </c>
      <c r="EO63" s="358">
        <f t="shared" si="328"/>
        <v>3340512.7</v>
      </c>
      <c r="EP63" s="358">
        <f t="shared" si="328"/>
        <v>3624308.6999999997</v>
      </c>
      <c r="EQ63" s="358">
        <f t="shared" si="328"/>
        <v>3700067.3999999994</v>
      </c>
      <c r="ER63" s="358">
        <f t="shared" si="328"/>
        <v>3457694.5</v>
      </c>
      <c r="ES63" s="358">
        <f t="shared" si="328"/>
        <v>3391388.2</v>
      </c>
      <c r="ET63" s="358">
        <f t="shared" si="328"/>
        <v>3489660.5</v>
      </c>
      <c r="EU63" s="358">
        <f t="shared" si="328"/>
        <v>3628909.8</v>
      </c>
      <c r="EV63" s="358">
        <f t="shared" si="328"/>
        <v>4121600</v>
      </c>
      <c r="EW63" s="358">
        <f t="shared" si="328"/>
        <v>4248397.8</v>
      </c>
      <c r="EX63" s="358">
        <f t="shared" si="328"/>
        <v>4313586.5</v>
      </c>
      <c r="EY63" s="358">
        <f t="shared" si="328"/>
        <v>4588213.8999999994</v>
      </c>
      <c r="EZ63" s="358">
        <f t="shared" si="328"/>
        <v>3893119.0999999996</v>
      </c>
      <c r="FA63" s="358">
        <f t="shared" si="328"/>
        <v>3492791.6999999997</v>
      </c>
      <c r="FB63" s="358">
        <f t="shared" si="328"/>
        <v>3440937.5999999996</v>
      </c>
      <c r="FC63" s="358">
        <f t="shared" si="328"/>
        <v>3586593.5999999996</v>
      </c>
      <c r="FD63" s="358">
        <f t="shared" si="328"/>
        <v>3585000.8000000003</v>
      </c>
      <c r="FE63" s="358">
        <f t="shared" si="328"/>
        <v>3465684.8</v>
      </c>
      <c r="FF63" s="358">
        <f t="shared" si="328"/>
        <v>3487298.6999999997</v>
      </c>
      <c r="FG63" s="358">
        <f t="shared" si="328"/>
        <v>3524141.3999999994</v>
      </c>
      <c r="FH63" s="358">
        <f t="shared" si="328"/>
        <v>3943113</v>
      </c>
      <c r="FI63" s="358">
        <f t="shared" si="328"/>
        <v>4410637.3</v>
      </c>
      <c r="FJ63" s="358">
        <f t="shared" si="328"/>
        <v>4658272.2</v>
      </c>
      <c r="FK63" s="358">
        <f t="shared" si="328"/>
        <v>4561778.8</v>
      </c>
      <c r="FL63" s="358">
        <f t="shared" si="328"/>
        <v>4135773.3</v>
      </c>
      <c r="FM63" s="358">
        <f t="shared" si="328"/>
        <v>3523661.4</v>
      </c>
      <c r="FN63" s="358">
        <f t="shared" si="328"/>
        <v>3486191.4</v>
      </c>
      <c r="FO63" s="358">
        <f t="shared" ref="FO63:FQ63" si="329">SUM(FO61:FO62)</f>
        <v>3569589.6</v>
      </c>
      <c r="FP63" s="358">
        <f t="shared" si="329"/>
        <v>3441501.4000000004</v>
      </c>
      <c r="FQ63" s="358">
        <f t="shared" si="329"/>
        <v>3241475.8</v>
      </c>
      <c r="FR63" s="358">
        <f t="shared" ref="FR63:FT63" si="330">SUM(FR61:FR62)</f>
        <v>3396728.3000000003</v>
      </c>
      <c r="FS63" s="358">
        <f t="shared" si="330"/>
        <v>3468011.6</v>
      </c>
      <c r="FT63" s="358">
        <f t="shared" si="330"/>
        <v>3908784.9000000004</v>
      </c>
    </row>
    <row r="64" spans="2:176" s="242" customFormat="1" x14ac:dyDescent="0.25">
      <c r="B64" s="238" t="s">
        <v>10</v>
      </c>
      <c r="C64" s="247">
        <f t="shared" ref="C64:Q64" si="331">SUM(C61)/C63</f>
        <v>0.99952945553832784</v>
      </c>
      <c r="D64" s="240">
        <f t="shared" si="331"/>
        <v>0.92258634170580278</v>
      </c>
      <c r="E64" s="240">
        <f t="shared" si="331"/>
        <v>0.85012398554735169</v>
      </c>
      <c r="F64" s="240">
        <f t="shared" si="331"/>
        <v>0.82059109567700228</v>
      </c>
      <c r="G64" s="240">
        <f t="shared" si="331"/>
        <v>0.82762590572084282</v>
      </c>
      <c r="H64" s="240">
        <f t="shared" si="331"/>
        <v>0.76419905173492086</v>
      </c>
      <c r="I64" s="240">
        <f t="shared" si="331"/>
        <v>0.7463616465850953</v>
      </c>
      <c r="J64" s="240">
        <f t="shared" si="331"/>
        <v>0.77590261280905071</v>
      </c>
      <c r="K64" s="240">
        <f t="shared" si="331"/>
        <v>0.72343212047726313</v>
      </c>
      <c r="L64" s="240">
        <f t="shared" si="331"/>
        <v>0.69200767878525737</v>
      </c>
      <c r="M64" s="240">
        <f t="shared" si="331"/>
        <v>0.79376660259586096</v>
      </c>
      <c r="N64" s="241">
        <f t="shared" si="331"/>
        <v>0.70283251145909986</v>
      </c>
      <c r="O64" s="247">
        <f t="shared" si="331"/>
        <v>0.68897369587845647</v>
      </c>
      <c r="P64" s="240">
        <f t="shared" si="331"/>
        <v>0.66903244408573737</v>
      </c>
      <c r="Q64" s="240">
        <f t="shared" si="331"/>
        <v>0.63778130731324811</v>
      </c>
      <c r="R64" s="240">
        <f t="shared" ref="R64:W64" si="332">SUM(R61)/R63</f>
        <v>0.67144133564098518</v>
      </c>
      <c r="S64" s="240">
        <f t="shared" si="332"/>
        <v>0.66225843631363945</v>
      </c>
      <c r="T64" s="240">
        <f t="shared" si="332"/>
        <v>0.66458410030669712</v>
      </c>
      <c r="U64" s="240">
        <f t="shared" si="332"/>
        <v>0.63039088444429014</v>
      </c>
      <c r="V64" s="240">
        <f t="shared" si="332"/>
        <v>0.62864850148393447</v>
      </c>
      <c r="W64" s="240">
        <f t="shared" si="332"/>
        <v>0.6161260871919424</v>
      </c>
      <c r="X64" s="240">
        <f>SUM(X61)/X63</f>
        <v>0.60699588753302669</v>
      </c>
      <c r="Y64" s="240">
        <f>SUM(Y61)/Y63</f>
        <v>0.59602888695137857</v>
      </c>
      <c r="Z64" s="241">
        <f>SUM(Z61)/Z63</f>
        <v>0.57288590544655849</v>
      </c>
      <c r="AA64" s="247">
        <f t="shared" ref="AA64:AL64" si="333">SUM(AA61)/AA63</f>
        <v>0.57682177417924896</v>
      </c>
      <c r="AB64" s="240">
        <f t="shared" si="333"/>
        <v>0.57336111734027073</v>
      </c>
      <c r="AC64" s="240">
        <f t="shared" si="333"/>
        <v>0.57402770559386773</v>
      </c>
      <c r="AD64" s="240">
        <f t="shared" si="333"/>
        <v>0.54754288775988014</v>
      </c>
      <c r="AE64" s="240">
        <f t="shared" si="333"/>
        <v>0.53984930087058269</v>
      </c>
      <c r="AF64" s="240">
        <f t="shared" si="333"/>
        <v>0.54189533287652036</v>
      </c>
      <c r="AG64" s="240">
        <f>SUM(AG61)/AG63</f>
        <v>0.51295796491887524</v>
      </c>
      <c r="AH64" s="240">
        <f>SUM(AH61)/AH63</f>
        <v>0.49788872589318067</v>
      </c>
      <c r="AI64" s="240">
        <f>SUM(AI61)/AI63</f>
        <v>0.48539812793393167</v>
      </c>
      <c r="AJ64" s="240">
        <f t="shared" si="333"/>
        <v>0.46854762187444904</v>
      </c>
      <c r="AK64" s="240">
        <f t="shared" si="333"/>
        <v>0.44729792201190677</v>
      </c>
      <c r="AL64" s="241">
        <f t="shared" si="333"/>
        <v>0.45381513998118095</v>
      </c>
      <c r="AM64" s="247">
        <f t="shared" ref="AM64:AR64" si="334">SUM(AM61)/AM63</f>
        <v>0.44885662525662356</v>
      </c>
      <c r="AN64" s="240">
        <f t="shared" si="334"/>
        <v>0.42250769100178515</v>
      </c>
      <c r="AO64" s="240">
        <f t="shared" si="334"/>
        <v>0.40902980441920078</v>
      </c>
      <c r="AP64" s="240">
        <f t="shared" si="334"/>
        <v>0.39227768786701223</v>
      </c>
      <c r="AQ64" s="240">
        <f t="shared" si="334"/>
        <v>0.38595782733968514</v>
      </c>
      <c r="AR64" s="240">
        <f t="shared" si="334"/>
        <v>0.38546990828566174</v>
      </c>
      <c r="AS64" s="240">
        <f t="shared" ref="AS64:AX64" si="335">SUM(AS61)/AS63</f>
        <v>0.36993168762866363</v>
      </c>
      <c r="AT64" s="240">
        <f t="shared" si="335"/>
        <v>0.35940296711354081</v>
      </c>
      <c r="AU64" s="240">
        <f t="shared" si="335"/>
        <v>0.3527315242680108</v>
      </c>
      <c r="AV64" s="240">
        <f t="shared" si="335"/>
        <v>0.34543706567193544</v>
      </c>
      <c r="AW64" s="240">
        <f t="shared" si="335"/>
        <v>0.33563888668348174</v>
      </c>
      <c r="AX64" s="241">
        <f t="shared" si="335"/>
        <v>0.3394044072878421</v>
      </c>
      <c r="AY64" s="247">
        <f t="shared" ref="AY64:BJ64" si="336">SUM(AY61)/AY63</f>
        <v>0.33149659430232747</v>
      </c>
      <c r="AZ64" s="240">
        <f t="shared" si="336"/>
        <v>0.33343687994035925</v>
      </c>
      <c r="BA64" s="240">
        <f t="shared" si="336"/>
        <v>0.32408612903970274</v>
      </c>
      <c r="BB64" s="240">
        <f t="shared" si="336"/>
        <v>0.32096754346053602</v>
      </c>
      <c r="BC64" s="240">
        <f t="shared" si="336"/>
        <v>0.32252441446371466</v>
      </c>
      <c r="BD64" s="240">
        <f t="shared" si="336"/>
        <v>0.32116863941155549</v>
      </c>
      <c r="BE64" s="240">
        <f t="shared" si="336"/>
        <v>0.31604852948661133</v>
      </c>
      <c r="BF64" s="240">
        <f t="shared" si="336"/>
        <v>0.31826402814011406</v>
      </c>
      <c r="BG64" s="240">
        <f t="shared" si="336"/>
        <v>0.30675449596496812</v>
      </c>
      <c r="BH64" s="240">
        <f t="shared" si="336"/>
        <v>0.30170176011392963</v>
      </c>
      <c r="BI64" s="240">
        <f t="shared" si="336"/>
        <v>0.29206595629841098</v>
      </c>
      <c r="BJ64" s="241">
        <f t="shared" si="336"/>
        <v>0.28999734370290264</v>
      </c>
      <c r="BK64" s="247">
        <f t="shared" ref="BK64:BP64" si="337">SUM(BK61)/BK63</f>
        <v>0.29699669186554445</v>
      </c>
      <c r="BL64" s="240">
        <f t="shared" si="337"/>
        <v>0.29249073856135649</v>
      </c>
      <c r="BM64" s="240">
        <f t="shared" si="337"/>
        <v>0.29242037822947076</v>
      </c>
      <c r="BN64" s="240">
        <f t="shared" si="337"/>
        <v>0.27929552813888281</v>
      </c>
      <c r="BO64" s="240">
        <f t="shared" si="337"/>
        <v>0.27610514540732101</v>
      </c>
      <c r="BP64" s="240">
        <f t="shared" si="337"/>
        <v>0.27365020734503637</v>
      </c>
      <c r="BQ64" s="240">
        <f t="shared" ref="BQ64:CB64" si="338">SUM(BQ61)/BQ63</f>
        <v>0.27444806597000493</v>
      </c>
      <c r="BR64" s="240">
        <f t="shared" si="338"/>
        <v>0.27807211923458475</v>
      </c>
      <c r="BS64" s="240">
        <f t="shared" si="338"/>
        <v>0.2698279486251402</v>
      </c>
      <c r="BT64" s="240">
        <f t="shared" si="338"/>
        <v>0.27101461047779629</v>
      </c>
      <c r="BU64" s="240">
        <f t="shared" si="338"/>
        <v>0.26268583578795479</v>
      </c>
      <c r="BV64" s="240">
        <f t="shared" si="338"/>
        <v>0.2618418656346348</v>
      </c>
      <c r="BW64" s="248">
        <f t="shared" si="338"/>
        <v>0.2609090727260403</v>
      </c>
      <c r="BX64" s="240">
        <f t="shared" si="338"/>
        <v>0.26281900403885422</v>
      </c>
      <c r="BY64" s="240">
        <f t="shared" si="338"/>
        <v>0.25987514823201491</v>
      </c>
      <c r="BZ64" s="240">
        <f t="shared" si="338"/>
        <v>0.2544208264793858</v>
      </c>
      <c r="CA64" s="240">
        <f t="shared" si="338"/>
        <v>0.25407172904557418</v>
      </c>
      <c r="CB64" s="240">
        <f t="shared" si="338"/>
        <v>0.24268055274311182</v>
      </c>
      <c r="CC64" s="240">
        <f t="shared" ref="CC64:CK64" si="339">SUM(CC61)/CC63</f>
        <v>0.25493897637325175</v>
      </c>
      <c r="CD64" s="240">
        <f t="shared" si="339"/>
        <v>0.25761669362868389</v>
      </c>
      <c r="CE64" s="240">
        <f t="shared" si="339"/>
        <v>0.25159986862773454</v>
      </c>
      <c r="CF64" s="240">
        <f t="shared" si="339"/>
        <v>0.24748564379869883</v>
      </c>
      <c r="CG64" s="240">
        <f t="shared" si="339"/>
        <v>0.24453693881317454</v>
      </c>
      <c r="CH64" s="240">
        <f t="shared" si="339"/>
        <v>0.24352674119477419</v>
      </c>
      <c r="CI64" s="248">
        <f t="shared" si="339"/>
        <v>0.24643916001225893</v>
      </c>
      <c r="CJ64" s="240">
        <f t="shared" si="339"/>
        <v>0.24959820806157795</v>
      </c>
      <c r="CK64" s="240">
        <f t="shared" si="339"/>
        <v>0.2422382709944452</v>
      </c>
      <c r="CL64" s="240">
        <f t="shared" ref="CL64:CQ64" si="340">SUM(CL61)/CL63</f>
        <v>0.24193129275674466</v>
      </c>
      <c r="CM64" s="240">
        <f t="shared" si="340"/>
        <v>0.23937870732740463</v>
      </c>
      <c r="CN64" s="240">
        <f t="shared" si="340"/>
        <v>0.2395520740130431</v>
      </c>
      <c r="CO64" s="240">
        <f t="shared" si="340"/>
        <v>0.25166661616002084</v>
      </c>
      <c r="CP64" s="240">
        <f t="shared" si="340"/>
        <v>0.25287272492786772</v>
      </c>
      <c r="CQ64" s="240">
        <f t="shared" si="340"/>
        <v>0.2439183103225312</v>
      </c>
      <c r="CR64" s="240">
        <f t="shared" ref="CR64:DJ64" si="341">SUM(CR61)/CR63</f>
        <v>0.24174029057031107</v>
      </c>
      <c r="CS64" s="240">
        <f t="shared" si="341"/>
        <v>0.24062524954325926</v>
      </c>
      <c r="CT64" s="241">
        <f t="shared" si="341"/>
        <v>0.23982026870088055</v>
      </c>
      <c r="CU64" s="240">
        <f t="shared" si="341"/>
        <v>0.2484187701632159</v>
      </c>
      <c r="CV64" s="240">
        <f t="shared" si="341"/>
        <v>0.24844563949068571</v>
      </c>
      <c r="CW64" s="240">
        <f t="shared" si="341"/>
        <v>0.24759229161201801</v>
      </c>
      <c r="CX64" s="240">
        <f t="shared" si="341"/>
        <v>0.24174392268443168</v>
      </c>
      <c r="CY64" s="240">
        <f t="shared" si="341"/>
        <v>0.23543260690866366</v>
      </c>
      <c r="CZ64" s="240">
        <f t="shared" si="341"/>
        <v>0.23676650188894813</v>
      </c>
      <c r="DA64" s="240">
        <f t="shared" si="341"/>
        <v>0.23399160303786823</v>
      </c>
      <c r="DB64" s="240">
        <f t="shared" si="341"/>
        <v>0.23209820396254566</v>
      </c>
      <c r="DC64" s="240">
        <f t="shared" si="341"/>
        <v>0.22859959200467897</v>
      </c>
      <c r="DD64" s="240">
        <f t="shared" si="341"/>
        <v>0.21238102546925641</v>
      </c>
      <c r="DE64" s="240">
        <f t="shared" si="341"/>
        <v>0.2224945828069376</v>
      </c>
      <c r="DF64" s="241">
        <f t="shared" si="341"/>
        <v>0.2208314660093153</v>
      </c>
      <c r="DG64" s="240">
        <f t="shared" si="341"/>
        <v>0.22215951660030261</v>
      </c>
      <c r="DH64" s="240">
        <f t="shared" si="341"/>
        <v>0.22596161103946383</v>
      </c>
      <c r="DI64" s="240">
        <f t="shared" si="341"/>
        <v>0.21543775391432127</v>
      </c>
      <c r="DJ64" s="240">
        <f t="shared" si="341"/>
        <v>0.20771212205756481</v>
      </c>
      <c r="DK64" s="240">
        <f t="shared" ref="DK64:FN64" si="342">SUM(DK61)/DK63</f>
        <v>0.20531102245098332</v>
      </c>
      <c r="DL64" s="240">
        <f t="shared" si="342"/>
        <v>0.20393623381965875</v>
      </c>
      <c r="DM64" s="240">
        <f t="shared" si="342"/>
        <v>0.20118398105839527</v>
      </c>
      <c r="DN64" s="240">
        <f t="shared" si="342"/>
        <v>0.20051474878875211</v>
      </c>
      <c r="DO64" s="240">
        <f t="shared" si="342"/>
        <v>0.19838423755808432</v>
      </c>
      <c r="DP64" s="240">
        <f t="shared" si="342"/>
        <v>0.19222072208938265</v>
      </c>
      <c r="DQ64" s="240">
        <f t="shared" si="342"/>
        <v>0.18797704994917977</v>
      </c>
      <c r="DR64" s="240">
        <f t="shared" si="342"/>
        <v>0.18947453249327259</v>
      </c>
      <c r="DS64" s="240">
        <f t="shared" si="342"/>
        <v>0.18952683783253052</v>
      </c>
      <c r="DT64" s="240">
        <f t="shared" si="342"/>
        <v>0.18390407810164777</v>
      </c>
      <c r="DU64" s="240">
        <f t="shared" si="342"/>
        <v>0.18000327337079053</v>
      </c>
      <c r="DV64" s="356">
        <f t="shared" si="342"/>
        <v>0.17801149049609599</v>
      </c>
      <c r="DW64" s="356">
        <f t="shared" si="342"/>
        <v>0.17597314191572963</v>
      </c>
      <c r="DX64" s="356">
        <f t="shared" si="342"/>
        <v>0.1772813406376523</v>
      </c>
      <c r="DY64" s="356">
        <f t="shared" si="342"/>
        <v>0.17579613266566468</v>
      </c>
      <c r="DZ64" s="356">
        <f t="shared" si="342"/>
        <v>0.17851812700712807</v>
      </c>
      <c r="EA64" s="356">
        <f t="shared" si="342"/>
        <v>0.17644234002577225</v>
      </c>
      <c r="EB64" s="356">
        <f t="shared" si="342"/>
        <v>0.17412903181068612</v>
      </c>
      <c r="EC64" s="356">
        <f t="shared" si="342"/>
        <v>0.1717607195760226</v>
      </c>
      <c r="ED64" s="356">
        <f t="shared" si="342"/>
        <v>0.17111842395716328</v>
      </c>
      <c r="EE64" s="356">
        <f t="shared" si="342"/>
        <v>0.17686568409779502</v>
      </c>
      <c r="EF64" s="356">
        <f>SUM(EF61)/EF63</f>
        <v>0.17540142882302018</v>
      </c>
      <c r="EG64" s="356">
        <f t="shared" si="342"/>
        <v>0.17481566764674208</v>
      </c>
      <c r="EH64" s="356">
        <f t="shared" si="342"/>
        <v>0.17185075521729198</v>
      </c>
      <c r="EI64" s="356">
        <f t="shared" si="342"/>
        <v>0.17012903691819456</v>
      </c>
      <c r="EJ64" s="356">
        <f t="shared" si="342"/>
        <v>0.168318806519521</v>
      </c>
      <c r="EK64" s="356">
        <f t="shared" si="342"/>
        <v>0.16632961761373627</v>
      </c>
      <c r="EL64" s="356">
        <f t="shared" si="342"/>
        <v>0.1658596129286008</v>
      </c>
      <c r="EM64" s="356">
        <f t="shared" si="342"/>
        <v>0.16588605224428532</v>
      </c>
      <c r="EN64" s="356">
        <f t="shared" si="342"/>
        <v>0.16290352966303182</v>
      </c>
      <c r="EO64" s="356">
        <f t="shared" si="342"/>
        <v>0.16123857274962611</v>
      </c>
      <c r="EP64" s="356">
        <f t="shared" si="342"/>
        <v>0.1637587879862441</v>
      </c>
      <c r="EQ64" s="356">
        <f t="shared" si="342"/>
        <v>0.16416114474022825</v>
      </c>
      <c r="ER64" s="356">
        <f t="shared" si="342"/>
        <v>0.16705168718636074</v>
      </c>
      <c r="ES64" s="356">
        <f t="shared" si="342"/>
        <v>0.16360212021731987</v>
      </c>
      <c r="ET64" s="356">
        <f t="shared" si="342"/>
        <v>0.16125903938219779</v>
      </c>
      <c r="EU64" s="356">
        <f t="shared" si="342"/>
        <v>0.16525332208587826</v>
      </c>
      <c r="EV64" s="356">
        <f t="shared" si="342"/>
        <v>0.16703869856366457</v>
      </c>
      <c r="EW64" s="356">
        <f t="shared" si="342"/>
        <v>0.17153240687583446</v>
      </c>
      <c r="EX64" s="356">
        <f t="shared" si="342"/>
        <v>0.1725702962024756</v>
      </c>
      <c r="EY64" s="356">
        <f t="shared" si="342"/>
        <v>0.17161682457742436</v>
      </c>
      <c r="EZ64" s="356">
        <f t="shared" si="342"/>
        <v>0.17199969556544009</v>
      </c>
      <c r="FA64" s="356">
        <f t="shared" si="342"/>
        <v>0.17070642947302012</v>
      </c>
      <c r="FB64" s="356">
        <f t="shared" si="342"/>
        <v>0.17174409091289539</v>
      </c>
      <c r="FC64" s="356">
        <f t="shared" si="342"/>
        <v>0.17701788125646575</v>
      </c>
      <c r="FD64" s="356">
        <f t="shared" si="342"/>
        <v>0.17748969539978904</v>
      </c>
      <c r="FE64" s="356">
        <f t="shared" si="342"/>
        <v>0.17801578493231701</v>
      </c>
      <c r="FF64" s="356">
        <f t="shared" si="342"/>
        <v>0.17474081012905493</v>
      </c>
      <c r="FG64" s="356">
        <f t="shared" si="342"/>
        <v>0.17252905913480093</v>
      </c>
      <c r="FH64" s="356">
        <f t="shared" si="342"/>
        <v>0.17207166013248923</v>
      </c>
      <c r="FI64" s="356">
        <f t="shared" si="342"/>
        <v>0.17528863685980256</v>
      </c>
      <c r="FJ64" s="356">
        <f t="shared" si="342"/>
        <v>0.17645370744972783</v>
      </c>
      <c r="FK64" s="356">
        <f t="shared" si="342"/>
        <v>0.17493967484789047</v>
      </c>
      <c r="FL64" s="356">
        <f t="shared" si="342"/>
        <v>0.17450598658296865</v>
      </c>
      <c r="FM64" s="356">
        <f t="shared" si="342"/>
        <v>0.17392633128710949</v>
      </c>
      <c r="FN64" s="356">
        <f t="shared" si="342"/>
        <v>0.17480683934909597</v>
      </c>
      <c r="FO64" s="356">
        <f t="shared" ref="FO64:FQ64" si="343">SUM(FO61)/FO63</f>
        <v>0.1771734767492599</v>
      </c>
      <c r="FP64" s="356">
        <f t="shared" si="343"/>
        <v>0.17838394603006696</v>
      </c>
      <c r="FQ64" s="356">
        <f t="shared" si="343"/>
        <v>0.17422027337054313</v>
      </c>
      <c r="FR64" s="356">
        <f t="shared" ref="FR64:FT64" si="344">SUM(FR61)/FR63</f>
        <v>0.17258257011607317</v>
      </c>
      <c r="FS64" s="356">
        <f t="shared" si="344"/>
        <v>0.17161577544896331</v>
      </c>
      <c r="FT64" s="356">
        <f t="shared" si="344"/>
        <v>0.17219297485517815</v>
      </c>
    </row>
    <row r="65" spans="2:176" s="242" customFormat="1" ht="13.8" thickBot="1" x14ac:dyDescent="0.3">
      <c r="B65" s="243" t="s">
        <v>11</v>
      </c>
      <c r="C65" s="249">
        <f t="shared" ref="C65:H65" si="345">SUM(C62/C63)</f>
        <v>4.7054446167212863E-4</v>
      </c>
      <c r="D65" s="245">
        <f t="shared" si="345"/>
        <v>7.7413658294197232E-2</v>
      </c>
      <c r="E65" s="245">
        <f t="shared" si="345"/>
        <v>0.14987601445264837</v>
      </c>
      <c r="F65" s="245">
        <f t="shared" si="345"/>
        <v>0.17940890432299775</v>
      </c>
      <c r="G65" s="245">
        <f t="shared" si="345"/>
        <v>0.17237409427915718</v>
      </c>
      <c r="H65" s="245">
        <f t="shared" si="345"/>
        <v>0.23580094826507914</v>
      </c>
      <c r="I65" s="245">
        <f t="shared" ref="I65:Q65" si="346">SUM(I62/I63)</f>
        <v>0.25363835341490459</v>
      </c>
      <c r="J65" s="245">
        <f t="shared" si="346"/>
        <v>0.22409738719094932</v>
      </c>
      <c r="K65" s="245">
        <f t="shared" si="346"/>
        <v>0.27656787952273698</v>
      </c>
      <c r="L65" s="245">
        <f t="shared" si="346"/>
        <v>0.30799232121474263</v>
      </c>
      <c r="M65" s="245">
        <f t="shared" si="346"/>
        <v>0.20623339740413915</v>
      </c>
      <c r="N65" s="246">
        <f t="shared" si="346"/>
        <v>0.29716748854090014</v>
      </c>
      <c r="O65" s="249">
        <f t="shared" si="346"/>
        <v>0.31102630412154358</v>
      </c>
      <c r="P65" s="245">
        <f t="shared" si="346"/>
        <v>0.33096755591426258</v>
      </c>
      <c r="Q65" s="245">
        <f t="shared" si="346"/>
        <v>0.36221869268675189</v>
      </c>
      <c r="R65" s="245">
        <f t="shared" ref="R65:W65" si="347">SUM(R62/R63)</f>
        <v>0.32855866435901493</v>
      </c>
      <c r="S65" s="245">
        <f t="shared" si="347"/>
        <v>0.33774156368636055</v>
      </c>
      <c r="T65" s="245">
        <f t="shared" si="347"/>
        <v>0.33541589969330282</v>
      </c>
      <c r="U65" s="245">
        <f t="shared" si="347"/>
        <v>0.3696091155557098</v>
      </c>
      <c r="V65" s="245">
        <f t="shared" si="347"/>
        <v>0.37135149851606547</v>
      </c>
      <c r="W65" s="245">
        <f t="shared" si="347"/>
        <v>0.38387391280805755</v>
      </c>
      <c r="X65" s="245">
        <f>SUM(X62/X63)</f>
        <v>0.39300411246697325</v>
      </c>
      <c r="Y65" s="245">
        <f>SUM(Y62/Y63)</f>
        <v>0.40397111304862149</v>
      </c>
      <c r="Z65" s="246">
        <f>SUM(Z62/Z63)</f>
        <v>0.42711409455344146</v>
      </c>
      <c r="AA65" s="249">
        <f t="shared" ref="AA65:AL65" si="348">SUM(AA62/AA63)</f>
        <v>0.42317822582075104</v>
      </c>
      <c r="AB65" s="245">
        <f t="shared" si="348"/>
        <v>0.42663888265972916</v>
      </c>
      <c r="AC65" s="245">
        <f t="shared" si="348"/>
        <v>0.42597229440613232</v>
      </c>
      <c r="AD65" s="245">
        <f t="shared" si="348"/>
        <v>0.45245711224011992</v>
      </c>
      <c r="AE65" s="245">
        <f t="shared" si="348"/>
        <v>0.4601506991294172</v>
      </c>
      <c r="AF65" s="245">
        <f t="shared" si="348"/>
        <v>0.45810466712347969</v>
      </c>
      <c r="AG65" s="245">
        <f>SUM(AG62/AG63)</f>
        <v>0.48704203508112476</v>
      </c>
      <c r="AH65" s="245">
        <f>SUM(AH62/AH63)</f>
        <v>0.50211127410681933</v>
      </c>
      <c r="AI65" s="245">
        <f>SUM(AI62/AI63)</f>
        <v>0.51460187206606844</v>
      </c>
      <c r="AJ65" s="245">
        <f t="shared" si="348"/>
        <v>0.53145237812555091</v>
      </c>
      <c r="AK65" s="245">
        <f t="shared" si="348"/>
        <v>0.55270207798809323</v>
      </c>
      <c r="AL65" s="246">
        <f t="shared" si="348"/>
        <v>0.54618486001881905</v>
      </c>
      <c r="AM65" s="249">
        <f t="shared" ref="AM65:AR65" si="349">SUM(AM62/AM63)</f>
        <v>0.55114337474337638</v>
      </c>
      <c r="AN65" s="245">
        <f t="shared" si="349"/>
        <v>0.57749230899821491</v>
      </c>
      <c r="AO65" s="245">
        <f t="shared" si="349"/>
        <v>0.59097019558079922</v>
      </c>
      <c r="AP65" s="245">
        <f t="shared" si="349"/>
        <v>0.60772231213298777</v>
      </c>
      <c r="AQ65" s="245">
        <f t="shared" si="349"/>
        <v>0.6140421726603148</v>
      </c>
      <c r="AR65" s="245">
        <f t="shared" si="349"/>
        <v>0.61453009171433826</v>
      </c>
      <c r="AS65" s="245">
        <f t="shared" ref="AS65:AX65" si="350">SUM(AS62/AS63)</f>
        <v>0.63006831237133643</v>
      </c>
      <c r="AT65" s="245">
        <f t="shared" si="350"/>
        <v>0.64059703288645919</v>
      </c>
      <c r="AU65" s="245">
        <f t="shared" si="350"/>
        <v>0.6472684757319892</v>
      </c>
      <c r="AV65" s="245">
        <f t="shared" si="350"/>
        <v>0.65456293432806456</v>
      </c>
      <c r="AW65" s="245">
        <f t="shared" si="350"/>
        <v>0.66436111331651815</v>
      </c>
      <c r="AX65" s="246">
        <f t="shared" si="350"/>
        <v>0.66059559271215784</v>
      </c>
      <c r="AY65" s="249">
        <f t="shared" ref="AY65:BJ65" si="351">SUM(AY62/AY63)</f>
        <v>0.66850340569767253</v>
      </c>
      <c r="AZ65" s="245">
        <f t="shared" si="351"/>
        <v>0.6665631200596408</v>
      </c>
      <c r="BA65" s="245">
        <f t="shared" si="351"/>
        <v>0.6759138709602972</v>
      </c>
      <c r="BB65" s="245">
        <f t="shared" si="351"/>
        <v>0.67903245653946398</v>
      </c>
      <c r="BC65" s="245">
        <f t="shared" si="351"/>
        <v>0.67747558553628529</v>
      </c>
      <c r="BD65" s="245">
        <f t="shared" si="351"/>
        <v>0.67883136058844451</v>
      </c>
      <c r="BE65" s="245">
        <f t="shared" si="351"/>
        <v>0.68395147051338856</v>
      </c>
      <c r="BF65" s="245">
        <f t="shared" si="351"/>
        <v>0.68173597185988599</v>
      </c>
      <c r="BG65" s="245">
        <f t="shared" si="351"/>
        <v>0.69324550403503182</v>
      </c>
      <c r="BH65" s="245">
        <f t="shared" si="351"/>
        <v>0.69829823988607043</v>
      </c>
      <c r="BI65" s="245">
        <f t="shared" si="351"/>
        <v>0.70793404370158897</v>
      </c>
      <c r="BJ65" s="246">
        <f t="shared" si="351"/>
        <v>0.71000265629709725</v>
      </c>
      <c r="BK65" s="249">
        <f t="shared" ref="BK65:BP65" si="352">SUM(BK62/BK63)</f>
        <v>0.70300330813445566</v>
      </c>
      <c r="BL65" s="245">
        <f t="shared" si="352"/>
        <v>0.70750926143864346</v>
      </c>
      <c r="BM65" s="245">
        <f t="shared" si="352"/>
        <v>0.70757962177052924</v>
      </c>
      <c r="BN65" s="245">
        <f t="shared" si="352"/>
        <v>0.72070447186111719</v>
      </c>
      <c r="BO65" s="245">
        <f t="shared" si="352"/>
        <v>0.72389485459267899</v>
      </c>
      <c r="BP65" s="245">
        <f t="shared" si="352"/>
        <v>0.72634979265496358</v>
      </c>
      <c r="BQ65" s="245">
        <f t="shared" ref="BQ65:CB65" si="353">SUM(BQ62/BQ63)</f>
        <v>0.72555193402999507</v>
      </c>
      <c r="BR65" s="245">
        <f t="shared" si="353"/>
        <v>0.72192788076541525</v>
      </c>
      <c r="BS65" s="245">
        <f t="shared" si="353"/>
        <v>0.73017205137485974</v>
      </c>
      <c r="BT65" s="245">
        <f t="shared" si="353"/>
        <v>0.72898538952220382</v>
      </c>
      <c r="BU65" s="245">
        <f t="shared" si="353"/>
        <v>0.73731416421204521</v>
      </c>
      <c r="BV65" s="245">
        <f t="shared" si="353"/>
        <v>0.73815813436536526</v>
      </c>
      <c r="BW65" s="250">
        <f t="shared" si="353"/>
        <v>0.73909092727395964</v>
      </c>
      <c r="BX65" s="245">
        <f t="shared" si="353"/>
        <v>0.73718099596114572</v>
      </c>
      <c r="BY65" s="245">
        <f t="shared" si="353"/>
        <v>0.74012485176798515</v>
      </c>
      <c r="BZ65" s="245">
        <f t="shared" si="353"/>
        <v>0.7455791735206142</v>
      </c>
      <c r="CA65" s="245">
        <f t="shared" si="353"/>
        <v>0.74592827095442571</v>
      </c>
      <c r="CB65" s="245">
        <f t="shared" si="353"/>
        <v>0.75731944725688816</v>
      </c>
      <c r="CC65" s="245">
        <f t="shared" ref="CC65:CK65" si="354">SUM(CC62/CC63)</f>
        <v>0.7450610236267482</v>
      </c>
      <c r="CD65" s="245">
        <f t="shared" si="354"/>
        <v>0.74238330637131622</v>
      </c>
      <c r="CE65" s="245">
        <f t="shared" si="354"/>
        <v>0.74840013137226558</v>
      </c>
      <c r="CF65" s="245">
        <f t="shared" si="354"/>
        <v>0.75251435620130114</v>
      </c>
      <c r="CG65" s="245">
        <f t="shared" si="354"/>
        <v>0.75546306118682549</v>
      </c>
      <c r="CH65" s="245">
        <f t="shared" si="354"/>
        <v>0.75647325880522587</v>
      </c>
      <c r="CI65" s="250">
        <f t="shared" si="354"/>
        <v>0.75356083998774104</v>
      </c>
      <c r="CJ65" s="245">
        <f t="shared" si="354"/>
        <v>0.75040179193842205</v>
      </c>
      <c r="CK65" s="245">
        <f t="shared" si="354"/>
        <v>0.75776172900555483</v>
      </c>
      <c r="CL65" s="245">
        <f t="shared" ref="CL65:CQ65" si="355">SUM(CL62/CL63)</f>
        <v>0.75806870724325537</v>
      </c>
      <c r="CM65" s="245">
        <f t="shared" si="355"/>
        <v>0.76062129267259537</v>
      </c>
      <c r="CN65" s="245">
        <f t="shared" si="355"/>
        <v>0.76044792598695687</v>
      </c>
      <c r="CO65" s="245">
        <f t="shared" si="355"/>
        <v>0.74833338383997916</v>
      </c>
      <c r="CP65" s="245">
        <f t="shared" si="355"/>
        <v>0.74712727507213217</v>
      </c>
      <c r="CQ65" s="245">
        <f t="shared" si="355"/>
        <v>0.7560816896774688</v>
      </c>
      <c r="CR65" s="245">
        <f t="shared" ref="CR65:DJ65" si="356">SUM(CR62/CR63)</f>
        <v>0.7582597094296889</v>
      </c>
      <c r="CS65" s="245">
        <f t="shared" si="356"/>
        <v>0.75937475045674085</v>
      </c>
      <c r="CT65" s="246">
        <f t="shared" si="356"/>
        <v>0.76017973129911942</v>
      </c>
      <c r="CU65" s="245">
        <f t="shared" si="356"/>
        <v>0.7515812298367841</v>
      </c>
      <c r="CV65" s="245">
        <f t="shared" si="356"/>
        <v>0.75155436050931435</v>
      </c>
      <c r="CW65" s="245">
        <f t="shared" si="356"/>
        <v>0.7524077083879821</v>
      </c>
      <c r="CX65" s="245">
        <f t="shared" si="356"/>
        <v>0.75825607731556832</v>
      </c>
      <c r="CY65" s="245">
        <f t="shared" si="356"/>
        <v>0.76456739309133637</v>
      </c>
      <c r="CZ65" s="245">
        <f t="shared" si="356"/>
        <v>0.76323349811105179</v>
      </c>
      <c r="DA65" s="245">
        <f t="shared" si="356"/>
        <v>0.76600839696213163</v>
      </c>
      <c r="DB65" s="245">
        <f t="shared" si="356"/>
        <v>0.76790179603745434</v>
      </c>
      <c r="DC65" s="245">
        <f t="shared" si="356"/>
        <v>0.77140040799532095</v>
      </c>
      <c r="DD65" s="245">
        <f t="shared" si="356"/>
        <v>0.78761897453074348</v>
      </c>
      <c r="DE65" s="245">
        <f t="shared" si="356"/>
        <v>0.77750541719306243</v>
      </c>
      <c r="DF65" s="246">
        <f t="shared" si="356"/>
        <v>0.77916853399068475</v>
      </c>
      <c r="DG65" s="245">
        <f t="shared" si="356"/>
        <v>0.77784048339969736</v>
      </c>
      <c r="DH65" s="245">
        <f t="shared" si="356"/>
        <v>0.77403838896053623</v>
      </c>
      <c r="DI65" s="245">
        <f t="shared" si="356"/>
        <v>0.78456224608567882</v>
      </c>
      <c r="DJ65" s="245">
        <f t="shared" si="356"/>
        <v>0.79228787794243516</v>
      </c>
      <c r="DK65" s="245">
        <f t="shared" ref="DK65:DU65" si="357">SUM(DK62/DK63)</f>
        <v>0.79468897754901668</v>
      </c>
      <c r="DL65" s="245">
        <f t="shared" si="357"/>
        <v>0.79606376618034125</v>
      </c>
      <c r="DM65" s="245">
        <f t="shared" si="357"/>
        <v>0.79881601894160481</v>
      </c>
      <c r="DN65" s="245">
        <f t="shared" si="357"/>
        <v>0.79948525121124792</v>
      </c>
      <c r="DO65" s="245">
        <f t="shared" si="357"/>
        <v>0.80161576244191557</v>
      </c>
      <c r="DP65" s="245">
        <f t="shared" si="357"/>
        <v>0.80777927791061732</v>
      </c>
      <c r="DQ65" s="245">
        <f t="shared" si="357"/>
        <v>0.81202295005082015</v>
      </c>
      <c r="DR65" s="245">
        <f t="shared" si="357"/>
        <v>0.81052546750672738</v>
      </c>
      <c r="DS65" s="245">
        <f t="shared" si="357"/>
        <v>0.81047316216746945</v>
      </c>
      <c r="DT65" s="245">
        <f t="shared" si="357"/>
        <v>0.81609592189835212</v>
      </c>
      <c r="DU65" s="245">
        <f t="shared" si="357"/>
        <v>0.81999672662920953</v>
      </c>
      <c r="DV65" s="357">
        <f t="shared" ref="DV65:FN65" si="358">SUM(DV62/DV63)</f>
        <v>0.82198850950390401</v>
      </c>
      <c r="DW65" s="357">
        <f t="shared" si="358"/>
        <v>0.82402685808427045</v>
      </c>
      <c r="DX65" s="357">
        <f t="shared" si="358"/>
        <v>0.82271865936234767</v>
      </c>
      <c r="DY65" s="357">
        <f t="shared" si="358"/>
        <v>0.82420386733433537</v>
      </c>
      <c r="DZ65" s="357">
        <f t="shared" si="358"/>
        <v>0.8214818729928719</v>
      </c>
      <c r="EA65" s="357">
        <f t="shared" si="358"/>
        <v>0.8235576599742277</v>
      </c>
      <c r="EB65" s="357">
        <f t="shared" si="358"/>
        <v>0.82587096818931394</v>
      </c>
      <c r="EC65" s="357">
        <f t="shared" si="358"/>
        <v>0.82823928042397732</v>
      </c>
      <c r="ED65" s="357">
        <f t="shared" si="358"/>
        <v>0.82888157604283674</v>
      </c>
      <c r="EE65" s="357">
        <f t="shared" si="358"/>
        <v>0.82313431590220498</v>
      </c>
      <c r="EF65" s="357">
        <f t="shared" si="358"/>
        <v>0.82459857117697977</v>
      </c>
      <c r="EG65" s="357">
        <f t="shared" si="358"/>
        <v>0.82518433235325794</v>
      </c>
      <c r="EH65" s="357">
        <f t="shared" si="358"/>
        <v>0.82814924478270802</v>
      </c>
      <c r="EI65" s="357">
        <f t="shared" si="358"/>
        <v>0.82987096308180541</v>
      </c>
      <c r="EJ65" s="357">
        <f t="shared" si="358"/>
        <v>0.83168119348047898</v>
      </c>
      <c r="EK65" s="357">
        <f t="shared" si="358"/>
        <v>0.83367038238626379</v>
      </c>
      <c r="EL65" s="357">
        <f t="shared" si="358"/>
        <v>0.83414038707139915</v>
      </c>
      <c r="EM65" s="357">
        <f t="shared" si="358"/>
        <v>0.83411394775571457</v>
      </c>
      <c r="EN65" s="357">
        <f t="shared" si="358"/>
        <v>0.8370964703369681</v>
      </c>
      <c r="EO65" s="357">
        <f t="shared" si="358"/>
        <v>0.83876142725037384</v>
      </c>
      <c r="EP65" s="357">
        <f t="shared" si="358"/>
        <v>0.8362412120137559</v>
      </c>
      <c r="EQ65" s="357">
        <f t="shared" si="358"/>
        <v>0.83583885525977175</v>
      </c>
      <c r="ER65" s="357">
        <f t="shared" si="358"/>
        <v>0.83294831281363924</v>
      </c>
      <c r="ES65" s="357">
        <f t="shared" si="358"/>
        <v>0.8363978797826801</v>
      </c>
      <c r="ET65" s="357">
        <f t="shared" si="358"/>
        <v>0.83874096061780212</v>
      </c>
      <c r="EU65" s="357">
        <f t="shared" si="358"/>
        <v>0.83474667791412183</v>
      </c>
      <c r="EV65" s="357">
        <f t="shared" si="358"/>
        <v>0.83296130143633551</v>
      </c>
      <c r="EW65" s="357">
        <f t="shared" si="358"/>
        <v>0.82846759312416551</v>
      </c>
      <c r="EX65" s="357">
        <f t="shared" si="358"/>
        <v>0.82742970379752445</v>
      </c>
      <c r="EY65" s="357">
        <f t="shared" si="358"/>
        <v>0.82838317542257567</v>
      </c>
      <c r="EZ65" s="357">
        <f t="shared" si="358"/>
        <v>0.82800030443455996</v>
      </c>
      <c r="FA65" s="357">
        <f t="shared" si="358"/>
        <v>0.82929357052697983</v>
      </c>
      <c r="FB65" s="357">
        <f t="shared" si="358"/>
        <v>0.82825590908710467</v>
      </c>
      <c r="FC65" s="357">
        <f t="shared" si="358"/>
        <v>0.82298211874353433</v>
      </c>
      <c r="FD65" s="357">
        <f t="shared" si="358"/>
        <v>0.82251030460021091</v>
      </c>
      <c r="FE65" s="357">
        <f t="shared" si="358"/>
        <v>0.82198421506768293</v>
      </c>
      <c r="FF65" s="357">
        <f t="shared" si="358"/>
        <v>0.82525918987094515</v>
      </c>
      <c r="FG65" s="357">
        <f t="shared" si="358"/>
        <v>0.82747094086519912</v>
      </c>
      <c r="FH65" s="357">
        <f t="shared" si="358"/>
        <v>0.8279283398675108</v>
      </c>
      <c r="FI65" s="357">
        <f t="shared" si="358"/>
        <v>0.82471136314019744</v>
      </c>
      <c r="FJ65" s="357">
        <f t="shared" si="358"/>
        <v>0.82354629255027223</v>
      </c>
      <c r="FK65" s="357">
        <f t="shared" si="358"/>
        <v>0.82506032515210959</v>
      </c>
      <c r="FL65" s="357">
        <f t="shared" si="358"/>
        <v>0.82549401341703144</v>
      </c>
      <c r="FM65" s="357">
        <f t="shared" si="358"/>
        <v>0.82607366871289056</v>
      </c>
      <c r="FN65" s="357">
        <f t="shared" si="358"/>
        <v>0.82519316065090398</v>
      </c>
      <c r="FO65" s="357">
        <f t="shared" ref="FO65:FQ65" si="359">SUM(FO62/FO63)</f>
        <v>0.82282652325074002</v>
      </c>
      <c r="FP65" s="357">
        <f t="shared" si="359"/>
        <v>0.82161605396993298</v>
      </c>
      <c r="FQ65" s="357">
        <f t="shared" si="359"/>
        <v>0.82577972662945687</v>
      </c>
      <c r="FR65" s="357">
        <f t="shared" ref="FR65:FT65" si="360">SUM(FR62/FR63)</f>
        <v>0.82741742988392686</v>
      </c>
      <c r="FS65" s="357">
        <f t="shared" si="360"/>
        <v>0.82838422455103666</v>
      </c>
      <c r="FT65" s="357">
        <f t="shared" si="360"/>
        <v>0.82780702514482185</v>
      </c>
    </row>
    <row r="66" spans="2:176" s="68" customFormat="1" ht="13.95" customHeight="1" x14ac:dyDescent="0.25">
      <c r="B66" s="87"/>
      <c r="C66" s="103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103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103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103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103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103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224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69"/>
      <c r="DT66" s="297"/>
      <c r="DV66" s="351"/>
      <c r="DW66" s="351"/>
      <c r="DX66" s="351"/>
      <c r="DZ66" s="297"/>
      <c r="EE66" s="297"/>
      <c r="ET66" s="297"/>
      <c r="EU66" s="297"/>
      <c r="EV66" s="297"/>
    </row>
    <row r="67" spans="2:176" s="68" customFormat="1" x14ac:dyDescent="0.25">
      <c r="B67" s="228" t="s">
        <v>22</v>
      </c>
      <c r="C67" s="230">
        <f t="shared" ref="C67:AZ67" si="361">SUM(1000*(C63))/C18</f>
        <v>6809.2439137525998</v>
      </c>
      <c r="D67" s="230">
        <f t="shared" si="361"/>
        <v>7195.6274925474427</v>
      </c>
      <c r="E67" s="230">
        <f t="shared" si="361"/>
        <v>8740.6256518427363</v>
      </c>
      <c r="F67" s="230">
        <f t="shared" si="361"/>
        <v>8690.726847070564</v>
      </c>
      <c r="G67" s="230">
        <f t="shared" si="361"/>
        <v>9246.9244454746968</v>
      </c>
      <c r="H67" s="230">
        <f t="shared" si="361"/>
        <v>11326.161174436822</v>
      </c>
      <c r="I67" s="230">
        <f t="shared" si="361"/>
        <v>13155.851124511082</v>
      </c>
      <c r="J67" s="230">
        <f t="shared" si="361"/>
        <v>9728.6725077546089</v>
      </c>
      <c r="K67" s="230">
        <f t="shared" si="361"/>
        <v>14545.620389272326</v>
      </c>
      <c r="L67" s="230">
        <f t="shared" si="361"/>
        <v>10892.923241990922</v>
      </c>
      <c r="M67" s="230">
        <f t="shared" si="361"/>
        <v>7809.8068815198767</v>
      </c>
      <c r="N67" s="230">
        <f t="shared" si="361"/>
        <v>8890.6594693514016</v>
      </c>
      <c r="O67" s="230">
        <f t="shared" si="361"/>
        <v>8479.2472314402967</v>
      </c>
      <c r="P67" s="230">
        <f t="shared" si="361"/>
        <v>8912.8396468855171</v>
      </c>
      <c r="Q67" s="230">
        <f t="shared" si="361"/>
        <v>7781.0737649447328</v>
      </c>
      <c r="R67" s="230">
        <f t="shared" si="361"/>
        <v>8331.8895437231713</v>
      </c>
      <c r="S67" s="230">
        <f t="shared" si="361"/>
        <v>9188.0295840844719</v>
      </c>
      <c r="T67" s="230">
        <f t="shared" si="361"/>
        <v>10284.335300337047</v>
      </c>
      <c r="U67" s="230">
        <f t="shared" si="361"/>
        <v>10682.795205702025</v>
      </c>
      <c r="V67" s="230">
        <f t="shared" si="361"/>
        <v>11733.411584556428</v>
      </c>
      <c r="W67" s="230">
        <f t="shared" si="361"/>
        <v>11069.786752188149</v>
      </c>
      <c r="X67" s="230">
        <f t="shared" si="361"/>
        <v>9962.3487979992042</v>
      </c>
      <c r="Y67" s="230">
        <f t="shared" si="361"/>
        <v>8687.1439220488792</v>
      </c>
      <c r="Z67" s="230">
        <f t="shared" si="361"/>
        <v>8420.2079265340435</v>
      </c>
      <c r="AA67" s="230">
        <f t="shared" si="361"/>
        <v>8427.0385088667881</v>
      </c>
      <c r="AB67" s="230">
        <f t="shared" si="361"/>
        <v>8622.3858513712748</v>
      </c>
      <c r="AC67" s="230">
        <f t="shared" si="361"/>
        <v>8276.9909248089753</v>
      </c>
      <c r="AD67" s="230">
        <f t="shared" si="361"/>
        <v>8706.8352213503767</v>
      </c>
      <c r="AE67" s="230">
        <f t="shared" si="361"/>
        <v>9080.6222707423585</v>
      </c>
      <c r="AF67" s="230">
        <f t="shared" si="361"/>
        <v>10263.353875394541</v>
      </c>
      <c r="AG67" s="230">
        <f t="shared" si="361"/>
        <v>10723.598095969128</v>
      </c>
      <c r="AH67" s="230">
        <f t="shared" si="361"/>
        <v>10788.325505153989</v>
      </c>
      <c r="AI67" s="230">
        <f t="shared" si="361"/>
        <v>10733.441683101843</v>
      </c>
      <c r="AJ67" s="230">
        <f t="shared" si="361"/>
        <v>9671.2061243994085</v>
      </c>
      <c r="AK67" s="230">
        <f t="shared" si="361"/>
        <v>8614.3147022069788</v>
      </c>
      <c r="AL67" s="230">
        <f t="shared" si="361"/>
        <v>8329.6462381846613</v>
      </c>
      <c r="AM67" s="230">
        <f t="shared" si="361"/>
        <v>8860.4384525142777</v>
      </c>
      <c r="AN67" s="230">
        <f t="shared" si="361"/>
        <v>8275.7108569664779</v>
      </c>
      <c r="AO67" s="230">
        <f t="shared" si="361"/>
        <v>8527.4640670712597</v>
      </c>
      <c r="AP67" s="230">
        <f t="shared" si="361"/>
        <v>8446.5508991117404</v>
      </c>
      <c r="AQ67" s="230">
        <f t="shared" si="361"/>
        <v>8811.4999439141648</v>
      </c>
      <c r="AR67" s="230">
        <f t="shared" si="361"/>
        <v>10532.703171798601</v>
      </c>
      <c r="AS67" s="230">
        <f t="shared" si="361"/>
        <v>11211.134148115816</v>
      </c>
      <c r="AT67" s="230">
        <f t="shared" si="361"/>
        <v>11133.396811394918</v>
      </c>
      <c r="AU67" s="230">
        <f t="shared" si="361"/>
        <v>12056.32102898423</v>
      </c>
      <c r="AV67" s="230">
        <f t="shared" si="361"/>
        <v>10270.792484083027</v>
      </c>
      <c r="AW67" s="230">
        <f t="shared" si="361"/>
        <v>8847.6126679512217</v>
      </c>
      <c r="AX67" s="230">
        <f t="shared" si="361"/>
        <v>8471.8717169783013</v>
      </c>
      <c r="AY67" s="230">
        <f t="shared" si="361"/>
        <v>8438.9340102827118</v>
      </c>
      <c r="AZ67" s="230">
        <f t="shared" si="361"/>
        <v>7940.6548567645177</v>
      </c>
      <c r="BA67" s="230">
        <f>SUM(1000*(BA63))/BA18</f>
        <v>8327.204940296213</v>
      </c>
      <c r="BB67" s="230">
        <f t="shared" ref="BB67:BJ67" si="362">SUM(1000*(BB63))/BB18</f>
        <v>8993.1709735707482</v>
      </c>
      <c r="BC67" s="230">
        <f t="shared" si="362"/>
        <v>9126.8576384460375</v>
      </c>
      <c r="BD67" s="230">
        <f t="shared" si="362"/>
        <v>10617.452723296014</v>
      </c>
      <c r="BE67" s="230">
        <f t="shared" si="362"/>
        <v>10874.133458130287</v>
      </c>
      <c r="BF67" s="230">
        <f t="shared" si="362"/>
        <v>11598.034032039126</v>
      </c>
      <c r="BG67" s="230">
        <f t="shared" si="362"/>
        <v>11608.123079894189</v>
      </c>
      <c r="BH67" s="230">
        <f t="shared" si="362"/>
        <v>9554.2795982132648</v>
      </c>
      <c r="BI67" s="230">
        <f t="shared" si="362"/>
        <v>8453.1602456159981</v>
      </c>
      <c r="BJ67" s="230">
        <f t="shared" si="362"/>
        <v>8306.7468358297101</v>
      </c>
      <c r="BK67" s="230">
        <f t="shared" ref="BK67:BP67" si="363">SUM(1000*(BK63))/BK18</f>
        <v>8646.3564210810255</v>
      </c>
      <c r="BL67" s="230">
        <f t="shared" si="363"/>
        <v>8524.4357958849578</v>
      </c>
      <c r="BM67" s="230">
        <f t="shared" si="363"/>
        <v>8319.200254129606</v>
      </c>
      <c r="BN67" s="230">
        <f t="shared" si="363"/>
        <v>8462.2680457846909</v>
      </c>
      <c r="BO67" s="230">
        <f t="shared" si="363"/>
        <v>8691.5188700027102</v>
      </c>
      <c r="BP67" s="230">
        <f t="shared" si="363"/>
        <v>9653.9150586081705</v>
      </c>
      <c r="BQ67" s="230">
        <f t="shared" ref="BQ67:CB67" si="364">SUM(1000*(BQ63))/BQ18</f>
        <v>10273.532601688295</v>
      </c>
      <c r="BR67" s="230">
        <f t="shared" si="364"/>
        <v>10571.115951624071</v>
      </c>
      <c r="BS67" s="230">
        <f t="shared" si="364"/>
        <v>11228.580804765992</v>
      </c>
      <c r="BT67" s="230">
        <f t="shared" si="364"/>
        <v>10425.934877103047</v>
      </c>
      <c r="BU67" s="230">
        <f t="shared" si="364"/>
        <v>8763.6102117909486</v>
      </c>
      <c r="BV67" s="230">
        <f t="shared" si="364"/>
        <v>9028.548880762859</v>
      </c>
      <c r="BW67" s="232">
        <f t="shared" si="364"/>
        <v>9094.3808075347006</v>
      </c>
      <c r="BX67" s="230">
        <f t="shared" si="364"/>
        <v>8606.1587266307342</v>
      </c>
      <c r="BY67" s="230">
        <f t="shared" si="364"/>
        <v>8343.8320720138527</v>
      </c>
      <c r="BZ67" s="230">
        <f t="shared" si="364"/>
        <v>8320.3631457500578</v>
      </c>
      <c r="CA67" s="230">
        <f t="shared" si="364"/>
        <v>8623.7947765045938</v>
      </c>
      <c r="CB67" s="230">
        <f t="shared" si="364"/>
        <v>10342.117346746118</v>
      </c>
      <c r="CC67" s="230">
        <f t="shared" ref="CC67:CK67" si="365">SUM(1000*(CC63))/CC18</f>
        <v>10946.889591103309</v>
      </c>
      <c r="CD67" s="230">
        <f t="shared" si="365"/>
        <v>11148.981841454091</v>
      </c>
      <c r="CE67" s="230">
        <f t="shared" si="365"/>
        <v>10816.049331518167</v>
      </c>
      <c r="CF67" s="230">
        <f t="shared" si="365"/>
        <v>9499.3290178987299</v>
      </c>
      <c r="CG67" s="230">
        <f t="shared" si="365"/>
        <v>8402.5109181316639</v>
      </c>
      <c r="CH67" s="230">
        <f t="shared" si="365"/>
        <v>8712.4439745444615</v>
      </c>
      <c r="CI67" s="232">
        <f t="shared" si="365"/>
        <v>8913.0621399401571</v>
      </c>
      <c r="CJ67" s="230">
        <f t="shared" si="365"/>
        <v>8252.9075427944281</v>
      </c>
      <c r="CK67" s="230">
        <f t="shared" si="365"/>
        <v>8062.9500674627443</v>
      </c>
      <c r="CL67" s="230">
        <f t="shared" ref="CL67:DC67" si="366">SUM(1000*(CL63))/CL18</f>
        <v>8342.9825380521052</v>
      </c>
      <c r="CM67" s="230">
        <f t="shared" si="366"/>
        <v>8613.2889226199622</v>
      </c>
      <c r="CN67" s="230">
        <f t="shared" si="366"/>
        <v>9671.0688022564718</v>
      </c>
      <c r="CO67" s="230">
        <f t="shared" si="366"/>
        <v>10973.919452619928</v>
      </c>
      <c r="CP67" s="230">
        <f t="shared" si="366"/>
        <v>10714.617380547705</v>
      </c>
      <c r="CQ67" s="230">
        <f t="shared" si="366"/>
        <v>10479.222408867789</v>
      </c>
      <c r="CR67" s="230">
        <f t="shared" si="366"/>
        <v>9001.0305101465619</v>
      </c>
      <c r="CS67" s="230">
        <f t="shared" si="366"/>
        <v>7914.4129915666654</v>
      </c>
      <c r="CT67" s="231">
        <f t="shared" si="366"/>
        <v>8683.1450312437009</v>
      </c>
      <c r="CU67" s="230">
        <f t="shared" si="366"/>
        <v>9311.5627345567464</v>
      </c>
      <c r="CV67" s="230">
        <f t="shared" si="366"/>
        <v>8467.147632746648</v>
      </c>
      <c r="CW67" s="230">
        <f t="shared" si="366"/>
        <v>8139.4512190217665</v>
      </c>
      <c r="CX67" s="230">
        <f t="shared" si="366"/>
        <v>8146.4243221398347</v>
      </c>
      <c r="CY67" s="230">
        <f t="shared" si="366"/>
        <v>8444.1671478422395</v>
      </c>
      <c r="CZ67" s="230">
        <f t="shared" si="366"/>
        <v>10284.454339740161</v>
      </c>
      <c r="DA67" s="230">
        <f t="shared" si="366"/>
        <v>10932.672531533703</v>
      </c>
      <c r="DB67" s="230">
        <f t="shared" si="366"/>
        <v>11083.065530635258</v>
      </c>
      <c r="DC67" s="230">
        <f t="shared" si="366"/>
        <v>11208.240995842309</v>
      </c>
      <c r="DD67" s="230">
        <f t="shared" ref="DD67:DJ67" si="367">SUM(1000*(DD63))/DD18</f>
        <v>9392.5406268536426</v>
      </c>
      <c r="DE67" s="230">
        <f t="shared" si="367"/>
        <v>8316.3070456365094</v>
      </c>
      <c r="DF67" s="231">
        <f t="shared" si="367"/>
        <v>8759.2185995322616</v>
      </c>
      <c r="DG67" s="230">
        <f t="shared" si="367"/>
        <v>9155.620948055066</v>
      </c>
      <c r="DH67" s="230">
        <f t="shared" si="367"/>
        <v>8949.7612518792666</v>
      </c>
      <c r="DI67" s="230">
        <f t="shared" si="367"/>
        <v>7999.3484270270674</v>
      </c>
      <c r="DJ67" s="230">
        <f t="shared" si="367"/>
        <v>8120.945354103419</v>
      </c>
      <c r="DK67" s="230">
        <f t="shared" ref="DK67:FN67" si="368">SUM(1000*(DK63))/DK18</f>
        <v>8929.363017135589</v>
      </c>
      <c r="DL67" s="230">
        <f t="shared" si="368"/>
        <v>10263.678662807353</v>
      </c>
      <c r="DM67" s="230">
        <f t="shared" si="368"/>
        <v>11708.045102997425</v>
      </c>
      <c r="DN67" s="230">
        <f t="shared" si="368"/>
        <v>11707.500813056204</v>
      </c>
      <c r="DO67" s="230">
        <f t="shared" si="368"/>
        <v>11308.992240810581</v>
      </c>
      <c r="DP67" s="230">
        <f t="shared" si="368"/>
        <v>9303.4317135461861</v>
      </c>
      <c r="DQ67" s="230">
        <f t="shared" si="368"/>
        <v>8230.7687770784851</v>
      </c>
      <c r="DR67" s="230">
        <f t="shared" si="368"/>
        <v>8650.5525628649266</v>
      </c>
      <c r="DS67" s="230">
        <f t="shared" si="368"/>
        <v>8623.7981589654064</v>
      </c>
      <c r="DT67" s="230">
        <f t="shared" si="368"/>
        <v>8061.9966309243882</v>
      </c>
      <c r="DU67" s="230">
        <f t="shared" si="368"/>
        <v>7817.3445713782266</v>
      </c>
      <c r="DV67" s="360">
        <f t="shared" si="368"/>
        <v>8467.3107450045663</v>
      </c>
      <c r="DW67" s="360">
        <f t="shared" si="368"/>
        <v>9011.1329818851518</v>
      </c>
      <c r="DX67" s="360">
        <f t="shared" si="368"/>
        <v>9966.4275650991058</v>
      </c>
      <c r="DY67" s="360">
        <f t="shared" si="368"/>
        <v>10669.220132407914</v>
      </c>
      <c r="DZ67" s="360">
        <f t="shared" si="368"/>
        <v>10840.971333612313</v>
      </c>
      <c r="EA67" s="360">
        <f t="shared" si="368"/>
        <v>10558.210681346274</v>
      </c>
      <c r="EB67" s="360">
        <f t="shared" si="368"/>
        <v>9109.5445328755595</v>
      </c>
      <c r="EC67" s="360">
        <f t="shared" si="368"/>
        <v>8322.8471031386671</v>
      </c>
      <c r="ED67" s="360">
        <f t="shared" si="368"/>
        <v>8182.6652629858499</v>
      </c>
      <c r="EE67" s="360">
        <f t="shared" si="368"/>
        <v>8478.3413980173864</v>
      </c>
      <c r="EF67" s="360">
        <f t="shared" si="368"/>
        <v>8040.8200301583911</v>
      </c>
      <c r="EG67" s="360">
        <f t="shared" si="368"/>
        <v>7677.2507390164783</v>
      </c>
      <c r="EH67" s="360">
        <f t="shared" si="368"/>
        <v>8053.914202009928</v>
      </c>
      <c r="EI67" s="360">
        <f t="shared" si="368"/>
        <v>8109.4469552297105</v>
      </c>
      <c r="EJ67" s="360">
        <f t="shared" si="368"/>
        <v>9532.4450013195401</v>
      </c>
      <c r="EK67" s="360">
        <f t="shared" si="368"/>
        <v>10246.695001780838</v>
      </c>
      <c r="EL67" s="360">
        <f t="shared" si="368"/>
        <v>10403.670477143067</v>
      </c>
      <c r="EM67" s="360">
        <f t="shared" si="368"/>
        <v>10781.401957464343</v>
      </c>
      <c r="EN67" s="360">
        <f t="shared" si="368"/>
        <v>9392.7459570964911</v>
      </c>
      <c r="EO67" s="360">
        <f t="shared" si="368"/>
        <v>7895.5878946597149</v>
      </c>
      <c r="EP67" s="360">
        <f t="shared" si="368"/>
        <v>8562.0333097094244</v>
      </c>
      <c r="EQ67" s="360">
        <f t="shared" si="368"/>
        <v>8737.2483364109921</v>
      </c>
      <c r="ER67" s="360">
        <f t="shared" si="368"/>
        <v>8154.285977067877</v>
      </c>
      <c r="ES67" s="360">
        <f t="shared" si="368"/>
        <v>7980.3002564886929</v>
      </c>
      <c r="ET67" s="360">
        <f t="shared" si="368"/>
        <v>8196.15494823472</v>
      </c>
      <c r="EU67" s="360">
        <f t="shared" si="368"/>
        <v>8506.4469171860746</v>
      </c>
      <c r="EV67" s="360">
        <f t="shared" si="368"/>
        <v>9645.1178845141294</v>
      </c>
      <c r="EW67" s="360">
        <f t="shared" si="368"/>
        <v>9929.0861328334977</v>
      </c>
      <c r="EX67" s="360">
        <f t="shared" si="368"/>
        <v>10057.887361381845</v>
      </c>
      <c r="EY67" s="360">
        <f t="shared" si="368"/>
        <v>10681.71667764743</v>
      </c>
      <c r="EZ67" s="360">
        <f t="shared" si="368"/>
        <v>9048.4204679096529</v>
      </c>
      <c r="FA67" s="360">
        <f t="shared" si="368"/>
        <v>8109.9840251881906</v>
      </c>
      <c r="FB67" s="360">
        <f t="shared" si="368"/>
        <v>7980.2070577757977</v>
      </c>
      <c r="FC67" s="360">
        <f t="shared" si="368"/>
        <v>8315.369759413521</v>
      </c>
      <c r="FD67" s="360">
        <f t="shared" si="368"/>
        <v>8309.5577276551758</v>
      </c>
      <c r="FE67" s="360">
        <f t="shared" si="368"/>
        <v>8025.7997582314774</v>
      </c>
      <c r="FF67" s="360">
        <f t="shared" si="368"/>
        <v>8054.55169068736</v>
      </c>
      <c r="FG67" s="360">
        <f t="shared" si="368"/>
        <v>8129.9011024755509</v>
      </c>
      <c r="FH67" s="360">
        <f t="shared" si="368"/>
        <v>9082.5002764059846</v>
      </c>
      <c r="FI67" s="360">
        <f t="shared" si="368"/>
        <v>10148.65820070271</v>
      </c>
      <c r="FJ67" s="360">
        <f t="shared" si="368"/>
        <v>10700.554062435394</v>
      </c>
      <c r="FK67" s="360">
        <f t="shared" si="368"/>
        <v>10462.243505503149</v>
      </c>
      <c r="FL67" s="360">
        <f t="shared" si="368"/>
        <v>9474.4405169076254</v>
      </c>
      <c r="FM67" s="360">
        <f t="shared" si="368"/>
        <v>8063.7228046327382</v>
      </c>
      <c r="FN67" s="360">
        <f t="shared" si="368"/>
        <v>7972.5376479332226</v>
      </c>
      <c r="FO67" s="360">
        <f t="shared" ref="FO67:FQ67" si="369">SUM(1000*(FO63))/FO18</f>
        <v>8161.4497498696765</v>
      </c>
      <c r="FP67" s="360">
        <f t="shared" si="369"/>
        <v>7857.4167682662328</v>
      </c>
      <c r="FQ67" s="360">
        <f t="shared" si="369"/>
        <v>7390.0002279825821</v>
      </c>
      <c r="FR67" s="360">
        <f t="shared" ref="FR67:FT67" si="370">SUM(1000*(FR63))/FR18</f>
        <v>7727.9513944186865</v>
      </c>
      <c r="FS67" s="360">
        <f t="shared" si="370"/>
        <v>7875.1685502971341</v>
      </c>
      <c r="FT67" s="360">
        <f t="shared" si="370"/>
        <v>8861.2676231951755</v>
      </c>
    </row>
    <row r="68" spans="2:176" s="68" customFormat="1" x14ac:dyDescent="0.25">
      <c r="B68" s="87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T68" s="297"/>
      <c r="DV68" s="351"/>
      <c r="DW68" s="351"/>
      <c r="DX68" s="351"/>
      <c r="DZ68" s="297"/>
      <c r="EE68" s="297"/>
      <c r="ET68" s="297"/>
      <c r="EU68" s="297"/>
      <c r="EV68" s="297"/>
    </row>
    <row r="69" spans="2:176" s="387" customFormat="1" hidden="1" x14ac:dyDescent="0.25">
      <c r="B69" s="384" t="s">
        <v>54</v>
      </c>
      <c r="C69" s="385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5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5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5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5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5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7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T69" s="388"/>
      <c r="DV69" s="389"/>
      <c r="DW69" s="389"/>
      <c r="DX69" s="389"/>
      <c r="DZ69" s="388"/>
      <c r="EE69" s="388"/>
      <c r="ET69" s="388"/>
      <c r="EU69" s="388"/>
      <c r="EV69" s="388"/>
    </row>
    <row r="70" spans="2:176" s="387" customFormat="1" hidden="1" x14ac:dyDescent="0.25">
      <c r="B70" s="384" t="s">
        <v>50</v>
      </c>
      <c r="C70" s="385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5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5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5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5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5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7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T70" s="388"/>
      <c r="DV70" s="389"/>
      <c r="DW70" s="389"/>
      <c r="DX70" s="389"/>
      <c r="DZ70" s="388"/>
      <c r="EE70" s="388"/>
      <c r="ET70" s="388"/>
      <c r="EU70" s="388"/>
      <c r="EV70" s="388"/>
    </row>
    <row r="71" spans="2:176" s="387" customFormat="1" hidden="1" x14ac:dyDescent="0.25">
      <c r="B71" s="390" t="s">
        <v>1</v>
      </c>
      <c r="C71" s="385">
        <v>457284.13700000005</v>
      </c>
      <c r="D71" s="347">
        <v>457284.13700000005</v>
      </c>
      <c r="E71" s="347">
        <v>596745.09100000001</v>
      </c>
      <c r="F71" s="347">
        <v>726270.201</v>
      </c>
      <c r="G71" s="347">
        <v>807936.77899999998</v>
      </c>
      <c r="H71" s="347">
        <v>924155.79399999999</v>
      </c>
      <c r="I71" s="347">
        <v>1695915.0730000003</v>
      </c>
      <c r="J71" s="347">
        <v>534291.47</v>
      </c>
      <c r="K71" s="347">
        <v>2254170.9510000004</v>
      </c>
      <c r="L71" s="347">
        <v>1079067.3999999999</v>
      </c>
      <c r="M71" s="347">
        <v>1034916.376</v>
      </c>
      <c r="N71" s="348">
        <v>1067090.8400000001</v>
      </c>
      <c r="O71" s="385">
        <v>1334276</v>
      </c>
      <c r="P71" s="347">
        <v>979036</v>
      </c>
      <c r="Q71" s="347">
        <v>803954</v>
      </c>
      <c r="R71" s="347">
        <v>832128.94800000009</v>
      </c>
      <c r="S71" s="347">
        <v>895264.29900000012</v>
      </c>
      <c r="T71" s="347">
        <v>936086.08</v>
      </c>
      <c r="U71" s="347">
        <v>947189.17399999988</v>
      </c>
      <c r="V71" s="347">
        <v>880216.397</v>
      </c>
      <c r="W71" s="347">
        <v>898724.19900000002</v>
      </c>
      <c r="X71" s="347">
        <v>865186</v>
      </c>
      <c r="Y71" s="347">
        <v>831792</v>
      </c>
      <c r="Z71" s="348">
        <v>808631</v>
      </c>
      <c r="AA71" s="385">
        <v>773603.6</v>
      </c>
      <c r="AB71" s="347">
        <v>816871.6</v>
      </c>
      <c r="AC71" s="347">
        <v>837871.1</v>
      </c>
      <c r="AD71" s="347">
        <v>910011.4</v>
      </c>
      <c r="AE71" s="347">
        <v>841689.7</v>
      </c>
      <c r="AF71" s="347">
        <v>839512</v>
      </c>
      <c r="AG71" s="347">
        <v>776227</v>
      </c>
      <c r="AH71" s="347">
        <v>773924.3</v>
      </c>
      <c r="AI71" s="347">
        <v>747467.8</v>
      </c>
      <c r="AJ71" s="347">
        <v>748772.71200000006</v>
      </c>
      <c r="AK71" s="347">
        <v>691224.17700000003</v>
      </c>
      <c r="AL71" s="348">
        <v>700114.777</v>
      </c>
      <c r="AM71" s="385">
        <v>637155</v>
      </c>
      <c r="AN71" s="347">
        <v>590692</v>
      </c>
      <c r="AO71" s="347">
        <v>533219</v>
      </c>
      <c r="AP71" s="347">
        <f>245556.3+307930.4</f>
        <v>553486.69999999995</v>
      </c>
      <c r="AQ71" s="347">
        <f>268793.8+352496.5</f>
        <v>621290.30000000005</v>
      </c>
      <c r="AR71" s="347">
        <f>260930.2+251619.5</f>
        <v>512549.7</v>
      </c>
      <c r="AS71" s="347">
        <f>222307.8+288013.6</f>
        <v>510321.39999999997</v>
      </c>
      <c r="AT71" s="347">
        <f>217057.1+301816</f>
        <v>518873.1</v>
      </c>
      <c r="AU71" s="347">
        <f>216258.6+312730.3</f>
        <v>528988.9</v>
      </c>
      <c r="AV71" s="347">
        <f>254789+188205.8</f>
        <v>442994.8</v>
      </c>
      <c r="AW71" s="347">
        <f>297455.6+176715.5</f>
        <v>474171.1</v>
      </c>
      <c r="AX71" s="348">
        <f>163010.3+250580.2</f>
        <v>413590.5</v>
      </c>
      <c r="AY71" s="385">
        <f>198627+274473</f>
        <v>473100</v>
      </c>
      <c r="AZ71" s="347">
        <f>330878+182701</f>
        <v>513579</v>
      </c>
      <c r="BA71" s="347">
        <f>172882+215756</f>
        <v>388638</v>
      </c>
      <c r="BB71" s="347">
        <f>202913+227835</f>
        <v>430748</v>
      </c>
      <c r="BC71" s="347">
        <f>177438+244492</f>
        <v>421930</v>
      </c>
      <c r="BD71" s="347">
        <f>193748+243139</f>
        <v>436887</v>
      </c>
      <c r="BE71" s="347">
        <f>189654.5+308753.1</f>
        <v>498407.6</v>
      </c>
      <c r="BF71" s="347">
        <f>200549.9+272503.2</f>
        <v>473053.1</v>
      </c>
      <c r="BG71" s="347">
        <f>211129+268568.3</f>
        <v>479697.3</v>
      </c>
      <c r="BH71" s="347">
        <f>201582.3+252816.6</f>
        <v>454398.9</v>
      </c>
      <c r="BI71" s="347">
        <f>353593.8+185469.2</f>
        <v>539063</v>
      </c>
      <c r="BJ71" s="348">
        <f>197527.5+291591.9</f>
        <v>489119.4</v>
      </c>
      <c r="BK71" s="385">
        <f>201168.4+263220.6</f>
        <v>464389</v>
      </c>
      <c r="BL71" s="347">
        <f>217582.1+234750</f>
        <v>452332.1</v>
      </c>
      <c r="BM71" s="347">
        <f>200014.7+252496.3</f>
        <v>452511</v>
      </c>
      <c r="BN71" s="347">
        <f>213399.772+301981.515</f>
        <v>515381.28700000001</v>
      </c>
      <c r="BO71" s="347">
        <f>248622.04+211797.17</f>
        <v>460419.21</v>
      </c>
      <c r="BP71" s="347">
        <f>222952.329+391571.382</f>
        <v>614523.71100000001</v>
      </c>
      <c r="BQ71" s="347">
        <f>238696+299897</f>
        <v>538593</v>
      </c>
      <c r="BR71" s="347">
        <f>296780+225743</f>
        <v>522523</v>
      </c>
      <c r="BS71" s="347">
        <f>234823+352211</f>
        <v>587034</v>
      </c>
      <c r="BT71" s="347">
        <f>216659.5+284932.7</f>
        <v>501592.2</v>
      </c>
      <c r="BU71" s="347">
        <f>312935.9+205017.3</f>
        <v>517953.2</v>
      </c>
      <c r="BV71" s="347">
        <f>214587.1+323945.4</f>
        <v>538532.5</v>
      </c>
      <c r="BW71" s="386">
        <f>222065+286870</f>
        <v>508935</v>
      </c>
      <c r="BX71" s="347">
        <f>346888+199888</f>
        <v>546776</v>
      </c>
      <c r="BY71" s="347">
        <f>193729+329433</f>
        <v>523162</v>
      </c>
      <c r="BZ71" s="347">
        <f>211656.8+366519.4</f>
        <v>578176.19999999995</v>
      </c>
      <c r="CA71" s="347">
        <f>333720.9+200569.2</f>
        <v>534290.10000000009</v>
      </c>
      <c r="CB71" s="347">
        <f>306548.606+635696.641</f>
        <v>942245.24699999997</v>
      </c>
      <c r="CC71" s="347">
        <f>220390.684+398171.764</f>
        <v>618562.44800000009</v>
      </c>
      <c r="CD71" s="347">
        <f>223350.323+327270.04</f>
        <v>550620.36300000001</v>
      </c>
      <c r="CE71" s="347">
        <f>222074.323+297056.836</f>
        <v>519131.15899999999</v>
      </c>
      <c r="CF71" s="347">
        <f>198260+288072</f>
        <v>486332</v>
      </c>
      <c r="CG71" s="347">
        <f>190732+229993</f>
        <v>420725</v>
      </c>
      <c r="CH71" s="348">
        <f>187362+182085</f>
        <v>369447</v>
      </c>
      <c r="CI71" s="386">
        <f>184460+230741</f>
        <v>415201</v>
      </c>
      <c r="CJ71" s="347">
        <f>207400+219914</f>
        <v>427314</v>
      </c>
      <c r="CK71" s="347">
        <f>208806+219828</f>
        <v>428634</v>
      </c>
      <c r="CL71" s="347">
        <f>224091+220035</f>
        <v>444126</v>
      </c>
      <c r="CM71" s="347">
        <f>224527+247055</f>
        <v>471582</v>
      </c>
      <c r="CN71" s="347">
        <f>251087+284411</f>
        <v>535498</v>
      </c>
      <c r="CO71" s="347">
        <f>273034+274465.6</f>
        <v>547499.6</v>
      </c>
      <c r="CP71" s="347">
        <f>274465.6+305400.7</f>
        <v>579866.30000000005</v>
      </c>
      <c r="CQ71" s="347">
        <f>272697.5+319752.1</f>
        <v>592449.6</v>
      </c>
      <c r="CR71" s="347">
        <f>251611.3+265947.8</f>
        <v>517559.1</v>
      </c>
      <c r="CS71" s="347">
        <f>234924+259965.3</f>
        <v>494889.3</v>
      </c>
      <c r="CT71" s="348">
        <f>235537.4+236832.2</f>
        <v>472369.6</v>
      </c>
      <c r="CU71" s="347">
        <f>209606.92+31634.735+274465.693</f>
        <v>515707.34800000006</v>
      </c>
      <c r="CV71" s="347">
        <f>221740.711+30330.806+292975.148</f>
        <v>545046.66500000004</v>
      </c>
      <c r="CW71" s="347">
        <f>222904.336+28819.557+280945.783</f>
        <v>532669.67599999998</v>
      </c>
      <c r="CX71" s="347">
        <f>239606.5+33180.4+302744.2</f>
        <v>575531.10000000009</v>
      </c>
      <c r="CY71" s="347">
        <f>236387.9+39821.8+287680.4</f>
        <v>563890.10000000009</v>
      </c>
      <c r="CZ71" s="347">
        <f>259827.7+48122.6+285914.6</f>
        <v>593864.89999999991</v>
      </c>
      <c r="DA71" s="347">
        <f>276191+54748.6+306625.5</f>
        <v>637565.1</v>
      </c>
      <c r="DB71" s="347">
        <f>264638.4+63520.2+297925.8</f>
        <v>626084.4</v>
      </c>
      <c r="DC71" s="347">
        <f>269526.8+67976+317619.7</f>
        <v>655122.5</v>
      </c>
      <c r="DD71" s="347">
        <f>304297.9+59660.5+309862.2</f>
        <v>673820.60000000009</v>
      </c>
      <c r="DE71" s="347">
        <f>226803+52768.1+267045.7</f>
        <v>546616.80000000005</v>
      </c>
      <c r="DF71" s="348">
        <f>233778.6+48697.5+275274.5</f>
        <v>557750.6</v>
      </c>
      <c r="DG71" s="374">
        <f>227953+45151.7+277444</f>
        <v>550548.69999999995</v>
      </c>
      <c r="DH71" s="374">
        <f>262932.4+64240.8+331476.8</f>
        <v>658650</v>
      </c>
      <c r="DI71" s="374">
        <f>239679.9+33192.9+280056.9</f>
        <v>552929.69999999995</v>
      </c>
      <c r="DJ71" s="374">
        <f>218134+11205.8+113332.4</f>
        <v>342672.19999999995</v>
      </c>
      <c r="DK71" s="374">
        <f>246568.6+36893+146845.8</f>
        <v>430307.39999999997</v>
      </c>
      <c r="DL71" s="374">
        <f>262255.3+44886.7+155790.1</f>
        <v>462932.1</v>
      </c>
      <c r="DM71" s="374">
        <f>259957.1+42613.8+173492</f>
        <v>476062.9</v>
      </c>
      <c r="DN71" s="374">
        <f>258896.6+46134.77+175425.4</f>
        <v>480456.77</v>
      </c>
      <c r="DO71" s="374">
        <f>258840.3+44818.4+175855.7</f>
        <v>479514.4</v>
      </c>
      <c r="DP71" s="374">
        <f>229213.4+33230.5+161593.2</f>
        <v>424037.10000000003</v>
      </c>
      <c r="DQ71" s="374">
        <f>210651.8+26926.9+163198</f>
        <v>400776.69999999995</v>
      </c>
      <c r="DR71" s="374">
        <f>219327.8+23446.1+155443.6</f>
        <v>398217.5</v>
      </c>
      <c r="DS71" s="374">
        <f>205960.1+22791.6+143141.1</f>
        <v>371892.80000000005</v>
      </c>
      <c r="DT71" s="374">
        <f>193722.8+20972.4+136153.7</f>
        <v>350848.9</v>
      </c>
      <c r="DU71" s="374">
        <f>183919.6+21751.5+132405.3</f>
        <v>338076.4</v>
      </c>
      <c r="DV71" s="376">
        <f>195454.2+22857.3+129781.5</f>
        <v>348093</v>
      </c>
      <c r="DW71" s="376">
        <f>192885.4+23795+135267.9</f>
        <v>351948.3</v>
      </c>
      <c r="DX71" s="376">
        <f>201534.2+28652.1+162491.8</f>
        <v>392678.1</v>
      </c>
      <c r="DY71" s="376">
        <f>198661.5+28284.3+143526.8</f>
        <v>370472.6</v>
      </c>
      <c r="DZ71" s="376">
        <f>185304.9+29462+152396.5</f>
        <v>367163.4</v>
      </c>
      <c r="EA71" s="376">
        <f>182141.5+29473.2+153892.2</f>
        <v>365506.9</v>
      </c>
      <c r="EB71" s="376">
        <f>169371.5+38719.2+147857.7</f>
        <v>355948.4</v>
      </c>
      <c r="EC71" s="376">
        <f>168369.4+28633.3+127906.9</f>
        <v>324909.59999999998</v>
      </c>
      <c r="ED71" s="376">
        <f>169998.2+25371.1+140751.7</f>
        <v>336121</v>
      </c>
      <c r="EE71" s="376">
        <f>165245.8+29741.9+140140.8</f>
        <v>335128.5</v>
      </c>
      <c r="EF71" s="376">
        <f>175028.3+41484.7+94286.2</f>
        <v>310799.2</v>
      </c>
      <c r="EG71" s="376">
        <f>158181.8+43058+79836.4</f>
        <v>281076.19999999995</v>
      </c>
      <c r="EH71" s="376">
        <f>176102+48280.8+100417.9</f>
        <v>324800.69999999995</v>
      </c>
      <c r="EI71" s="376">
        <f>171361.5+45509.3+98268.6</f>
        <v>315139.40000000002</v>
      </c>
      <c r="EJ71" s="376">
        <f>181283.6+47218.9+72008.9</f>
        <v>300511.40000000002</v>
      </c>
      <c r="EK71" s="376">
        <f>182429.8+45790+70507.4</f>
        <v>298727.19999999995</v>
      </c>
      <c r="EL71" s="376">
        <f>175985+63297.3+95732.5</f>
        <v>335014.8</v>
      </c>
      <c r="EM71" s="376">
        <f>180739.3+61499.3+106535.7</f>
        <v>348774.3</v>
      </c>
      <c r="EN71" s="376">
        <f>171333.7+53893.9+86560.1</f>
        <v>311787.7</v>
      </c>
      <c r="EO71" s="376">
        <f>163218.2+55023.9+90800.7</f>
        <v>309042.8</v>
      </c>
      <c r="EP71" s="376">
        <f>166073.2+53362.5+93832.2</f>
        <v>313267.90000000002</v>
      </c>
      <c r="EQ71" s="376">
        <f>160839.9+43360.3+90833.1</f>
        <v>295033.30000000005</v>
      </c>
      <c r="ER71" s="376">
        <f>154953+42677.4+105503.4</f>
        <v>303133.8</v>
      </c>
      <c r="ES71" s="376">
        <f>161280.5+39661.2+102257.1</f>
        <v>303198.80000000005</v>
      </c>
      <c r="ET71" s="376">
        <f>175123.3+44476.7+113280.3</f>
        <v>332880.3</v>
      </c>
      <c r="EU71" s="376">
        <f>183258+44415.5+116267</f>
        <v>343940.5</v>
      </c>
      <c r="EV71" s="376">
        <f>204484.5+48135.9+110591.9</f>
        <v>363212.3</v>
      </c>
      <c r="EW71" s="376">
        <f>206695.1+46820.8+87772</f>
        <v>341287.9</v>
      </c>
      <c r="EX71" s="376">
        <f>214870.9+50252.4+105696.9</f>
        <v>370820.19999999995</v>
      </c>
      <c r="EY71" s="376">
        <f>222161.5+52378.3+109108.6</f>
        <v>383648.4</v>
      </c>
      <c r="EZ71" s="376">
        <f>201599.7+49859.5+100439.2</f>
        <v>351898.4</v>
      </c>
      <c r="FA71" s="376">
        <f>193346.5+46206+114595</f>
        <v>354147.5</v>
      </c>
      <c r="FB71" s="376">
        <f>195018.5+40884.5+106610.4</f>
        <v>342513.4</v>
      </c>
      <c r="FC71" s="376">
        <f>189470.8+38725.6+109105.8</f>
        <v>337302.2</v>
      </c>
      <c r="FD71" s="376">
        <f>189863.4+63218+122744.6</f>
        <v>375826</v>
      </c>
      <c r="FE71" s="376">
        <f>189577.9+55441.2+109487.2</f>
        <v>354506.3</v>
      </c>
      <c r="FF71" s="376">
        <f>202923+62499.5+114628.8</f>
        <v>380051.3</v>
      </c>
      <c r="FG71" s="376">
        <f>198633.6+60048.2+130351.8</f>
        <v>389033.6</v>
      </c>
      <c r="FH71" s="376">
        <f>212628.4+68600.3+135889.7</f>
        <v>417118.4</v>
      </c>
      <c r="FI71" s="376">
        <f>213700.2+77118+128703.1</f>
        <v>419521.30000000005</v>
      </c>
      <c r="FJ71" s="376">
        <f>215777.8+78593.4+138659.2</f>
        <v>433030.39999999997</v>
      </c>
      <c r="FK71" s="376">
        <f>212702.8+80558.4+147478.7</f>
        <v>440739.89999999997</v>
      </c>
      <c r="FL71" s="376">
        <f>203986.1+71868.4+136186</f>
        <v>412040.5</v>
      </c>
      <c r="FM71" s="376">
        <f>190885.7+66529.8+123010</f>
        <v>380425.5</v>
      </c>
      <c r="FN71" s="376">
        <f>195328.3+58631.5+122103.5</f>
        <v>376063.3</v>
      </c>
      <c r="FO71" s="376">
        <f>200123+60693.4+124033.7</f>
        <v>384850.1</v>
      </c>
      <c r="FP71" s="376">
        <f>185665.2+55299.8+114635.1</f>
        <v>355600.1</v>
      </c>
      <c r="FQ71" s="376">
        <f>176662.3+54988.3+118699.4</f>
        <v>350350</v>
      </c>
      <c r="FR71" s="376">
        <f>182254.8+57774.9+126804.6</f>
        <v>366834.3</v>
      </c>
      <c r="FS71" s="376">
        <f>181301.3+63021.3+142747.8</f>
        <v>387070.39999999997</v>
      </c>
      <c r="FT71" s="376">
        <f>196303.4+63493.1+151213.4</f>
        <v>411009.9</v>
      </c>
    </row>
    <row r="72" spans="2:176" s="387" customFormat="1" ht="13.8" hidden="1" thickBot="1" x14ac:dyDescent="0.3">
      <c r="B72" s="391" t="s">
        <v>8</v>
      </c>
      <c r="C72" s="392">
        <v>159.417</v>
      </c>
      <c r="D72" s="393">
        <v>36390.876999999979</v>
      </c>
      <c r="E72" s="393">
        <v>207763.84899999999</v>
      </c>
      <c r="F72" s="393">
        <v>320228.61300000001</v>
      </c>
      <c r="G72" s="393">
        <v>156993.94399999996</v>
      </c>
      <c r="H72" s="393">
        <v>978699.02</v>
      </c>
      <c r="I72" s="393">
        <v>1143916.4279999998</v>
      </c>
      <c r="J72" s="393">
        <v>787466.20700000017</v>
      </c>
      <c r="K72" s="393">
        <v>1148556.2359999998</v>
      </c>
      <c r="L72" s="393">
        <v>1061278.3250000002</v>
      </c>
      <c r="M72" s="393">
        <v>779823.25599999994</v>
      </c>
      <c r="N72" s="394">
        <v>809090.78</v>
      </c>
      <c r="O72" s="392">
        <v>707456</v>
      </c>
      <c r="P72" s="393">
        <v>644012</v>
      </c>
      <c r="Q72" s="393">
        <v>746489</v>
      </c>
      <c r="R72" s="393">
        <v>794320.41100000008</v>
      </c>
      <c r="S72" s="393">
        <v>842803.23800000013</v>
      </c>
      <c r="T72" s="393">
        <v>899666.84200000006</v>
      </c>
      <c r="U72" s="393">
        <v>934471.80600000033</v>
      </c>
      <c r="V72" s="393">
        <v>1081800.1680000001</v>
      </c>
      <c r="W72" s="393">
        <v>994727.01700000034</v>
      </c>
      <c r="X72" s="393">
        <v>973868</v>
      </c>
      <c r="Y72" s="393">
        <v>962282</v>
      </c>
      <c r="Z72" s="394">
        <v>933821</v>
      </c>
      <c r="AA72" s="392">
        <v>902333.4</v>
      </c>
      <c r="AB72" s="393">
        <v>881886.3</v>
      </c>
      <c r="AC72" s="393">
        <v>871663.8</v>
      </c>
      <c r="AD72" s="393">
        <v>929530.7</v>
      </c>
      <c r="AE72" s="393">
        <v>969491.1</v>
      </c>
      <c r="AF72" s="393">
        <v>1061820.5</v>
      </c>
      <c r="AG72" s="393">
        <v>1133644.2</v>
      </c>
      <c r="AH72" s="393">
        <v>1165952.3</v>
      </c>
      <c r="AI72" s="393">
        <v>1174293.6000000001</v>
      </c>
      <c r="AJ72" s="393">
        <v>1145674.452</v>
      </c>
      <c r="AK72" s="393">
        <v>1082287.2169999999</v>
      </c>
      <c r="AL72" s="394">
        <v>1148136.3700000001</v>
      </c>
      <c r="AM72" s="392">
        <v>1106734</v>
      </c>
      <c r="AN72" s="393">
        <v>1130740</v>
      </c>
      <c r="AO72" s="393">
        <v>1196383</v>
      </c>
      <c r="AP72" s="393">
        <f>700188.6+558138.9</f>
        <v>1258327.5</v>
      </c>
      <c r="AQ72" s="393">
        <f>704984+572325.5</f>
        <v>1277309.5</v>
      </c>
      <c r="AR72" s="393">
        <f>823431.4+655957.3</f>
        <v>1479388.7000000002</v>
      </c>
      <c r="AS72" s="393">
        <f>811805.5+600049.9</f>
        <v>1411855.4</v>
      </c>
      <c r="AT72" s="393">
        <f>844256.7+587963.8</f>
        <v>1432220.5</v>
      </c>
      <c r="AU72" s="393">
        <f>900755.7+626321</f>
        <v>1527076.7</v>
      </c>
      <c r="AV72" s="393">
        <f>840265.1+588831.3</f>
        <v>1429096.4</v>
      </c>
      <c r="AW72" s="393">
        <f>799622+544599.9</f>
        <v>1344221.9</v>
      </c>
      <c r="AX72" s="394">
        <f>558432.6+807114.7</f>
        <v>1365547.2999999998</v>
      </c>
      <c r="AY72" s="392">
        <f>787568.3+553182.4</f>
        <v>1340750.7000000002</v>
      </c>
      <c r="AZ72" s="393">
        <f>730650.6+525107.6</f>
        <v>1255758.2</v>
      </c>
      <c r="BA72" s="393">
        <f>609487.1+763982.4</f>
        <v>1373469.5</v>
      </c>
      <c r="BB72" s="393">
        <f>810941+626902</f>
        <v>1437843</v>
      </c>
      <c r="BC72" s="393">
        <f>848953+634583</f>
        <v>1483536</v>
      </c>
      <c r="BD72" s="393">
        <f>860338+682791</f>
        <v>1543129</v>
      </c>
      <c r="BE72" s="393">
        <f>668549.5+880996.4</f>
        <v>1549545.9</v>
      </c>
      <c r="BF72" s="393">
        <f>902446.7+658916.5</f>
        <v>1561363.2</v>
      </c>
      <c r="BG72" s="393">
        <f>908990.4+698956.8</f>
        <v>1607947.2000000002</v>
      </c>
      <c r="BH72" s="393">
        <f>823076.5+657302.2</f>
        <v>1480378.7</v>
      </c>
      <c r="BI72" s="393">
        <f>781950.9+636811.7</f>
        <v>1418762.6</v>
      </c>
      <c r="BJ72" s="394">
        <f>749917.6+614151.4</f>
        <v>1364069</v>
      </c>
      <c r="BK72" s="392">
        <f>731563.3+596646.7</f>
        <v>1328210</v>
      </c>
      <c r="BL72" s="393">
        <f>791101.4+600305.8</f>
        <v>1391407.2000000002</v>
      </c>
      <c r="BM72" s="393">
        <f>701052.8+578086.9</f>
        <v>1279139.7000000002</v>
      </c>
      <c r="BN72" s="393">
        <f>744694.018+631052.604</f>
        <v>1375746.622</v>
      </c>
      <c r="BO72" s="393">
        <f>752522.203+625756.368</f>
        <v>1378278.571</v>
      </c>
      <c r="BP72" s="393">
        <f>806317.513+625091.126</f>
        <v>1431408.639</v>
      </c>
      <c r="BQ72" s="393">
        <f>787867+643259</f>
        <v>1431126</v>
      </c>
      <c r="BR72" s="393">
        <f>808518+638096</f>
        <v>1446614</v>
      </c>
      <c r="BS72" s="393">
        <f>664066+854213</f>
        <v>1518279</v>
      </c>
      <c r="BT72" s="393">
        <f>806020.4+638809.3</f>
        <v>1444829.7000000002</v>
      </c>
      <c r="BU72" s="393">
        <f>787620.2+652576.6</f>
        <v>1440196.7999999998</v>
      </c>
      <c r="BV72" s="393">
        <f>788233.2+644086.9</f>
        <v>1432320.1</v>
      </c>
      <c r="BW72" s="395">
        <f>775685+631310</f>
        <v>1406995</v>
      </c>
      <c r="BX72" s="393">
        <f>755908+592021</f>
        <v>1347929</v>
      </c>
      <c r="BY72" s="393">
        <f>736063+553511</f>
        <v>1289574</v>
      </c>
      <c r="BZ72" s="393">
        <f>781619.3+569392.7</f>
        <v>1351012</v>
      </c>
      <c r="CA72" s="393">
        <f>780181.6+600737.7</f>
        <v>1380919.2999999998</v>
      </c>
      <c r="CB72" s="393">
        <f>708550.7+897214.8</f>
        <v>1605765.5</v>
      </c>
      <c r="CC72" s="393">
        <f>863671.035+637099.413</f>
        <v>1500770.4479999999</v>
      </c>
      <c r="CD72" s="393">
        <f>867548.698+697319.737</f>
        <v>1564868.4350000001</v>
      </c>
      <c r="CE72" s="393">
        <f>868389.972+689657.74</f>
        <v>1558047.7119999998</v>
      </c>
      <c r="CF72" s="393">
        <f>796250+633475</f>
        <v>1429725</v>
      </c>
      <c r="CG72" s="393">
        <f>778508+619403</f>
        <v>1397911</v>
      </c>
      <c r="CH72" s="394">
        <f>780995+609136</f>
        <v>1390131</v>
      </c>
      <c r="CI72" s="395">
        <f>786521+611226</f>
        <v>1397747</v>
      </c>
      <c r="CJ72" s="393">
        <f>689681+529955</f>
        <v>1219636</v>
      </c>
      <c r="CK72" s="393">
        <f>667961+544087</f>
        <v>1212048</v>
      </c>
      <c r="CL72" s="393">
        <f>717993+545801</f>
        <v>1263794</v>
      </c>
      <c r="CM72" s="393">
        <f>506654+712105</f>
        <v>1218759</v>
      </c>
      <c r="CN72" s="393">
        <f>741060+536249</f>
        <v>1277309</v>
      </c>
      <c r="CO72" s="393">
        <f>765774.4+545803.8</f>
        <v>1311578.2000000002</v>
      </c>
      <c r="CP72" s="393">
        <f>756274.3+537404.3</f>
        <v>1293678.6000000001</v>
      </c>
      <c r="CQ72" s="393">
        <f>758084.6+570844.2</f>
        <v>1328928.7999999998</v>
      </c>
      <c r="CR72" s="393">
        <f>702726.7+570613.1</f>
        <v>1273339.7999999998</v>
      </c>
      <c r="CS72" s="393">
        <f>679571.2+521071.1</f>
        <v>1200642.2999999998</v>
      </c>
      <c r="CT72" s="394">
        <f>703244.9+532991.5</f>
        <v>1236236.3999999999</v>
      </c>
      <c r="CU72" s="393">
        <f>622874.782+78170.64+551707.041</f>
        <v>1252752.463</v>
      </c>
      <c r="CV72" s="393">
        <f>564562.562+73719.254+512215.156</f>
        <v>1150496.9720000001</v>
      </c>
      <c r="CW72" s="393">
        <f>587501.726+64591.721+483395.886</f>
        <v>1135489.3330000001</v>
      </c>
      <c r="CX72" s="393">
        <f>610877.199+78043.2+505022.752</f>
        <v>1193943.1510000001</v>
      </c>
      <c r="CY72" s="393">
        <f>489399.8+185183.2+516635.319</f>
        <v>1191218.3190000001</v>
      </c>
      <c r="CZ72" s="393">
        <f>624669.898+108204.7+569082.144</f>
        <v>1301956.7420000001</v>
      </c>
      <c r="DA72" s="393">
        <f>634457.2+110916.1+594800.6</f>
        <v>1340173.8999999999</v>
      </c>
      <c r="DB72" s="393">
        <f>636008.2+120230.2+552033</f>
        <v>1308271.3999999999</v>
      </c>
      <c r="DC72" s="393">
        <f>641948+127935.5+636884.9</f>
        <v>1406768.4</v>
      </c>
      <c r="DD72" s="393">
        <f>613007.1+112341+580484.3</f>
        <v>1305832.3999999999</v>
      </c>
      <c r="DE72" s="393">
        <f>588957.4+109680.1+555240.6</f>
        <v>1253878.1000000001</v>
      </c>
      <c r="DF72" s="394">
        <f>622432.9+107618.1+588477.3</f>
        <v>1318528.3</v>
      </c>
      <c r="DG72" s="374">
        <f>641751.9+100222.1+584780.9</f>
        <v>1326754.8999999999</v>
      </c>
      <c r="DH72" s="374">
        <f>623357.8+165862.4+772159.4</f>
        <v>1561379.6</v>
      </c>
      <c r="DI72" s="374">
        <f>547655.7+124925.3+614463.3</f>
        <v>1287044.3</v>
      </c>
      <c r="DJ72" s="374">
        <f>531670.9+36666.2+427241.6</f>
        <v>995578.7</v>
      </c>
      <c r="DK72" s="374">
        <f>628622.6+120220.6+732347.5</f>
        <v>1481190.7</v>
      </c>
      <c r="DL72" s="374">
        <f>662913.5+125401.2+747441.3</f>
        <v>1535756</v>
      </c>
      <c r="DM72" s="374">
        <f>697635.3+138462.6+779071.8</f>
        <v>1615169.7000000002</v>
      </c>
      <c r="DN72" s="374">
        <f>718726+146738.8+755360.3</f>
        <v>1620825.1</v>
      </c>
      <c r="DO72" s="374">
        <f>697411.25+156669.8+786833.3</f>
        <v>1640914.35</v>
      </c>
      <c r="DP72" s="374">
        <f>660565.2+152432.8+830791.7</f>
        <v>1643789.7</v>
      </c>
      <c r="DQ72" s="374">
        <f>644914.1+144070.9+715272.8</f>
        <v>1504257.8</v>
      </c>
      <c r="DR72" s="374">
        <f>673337.3+132531.5+753538.4</f>
        <v>1559407.2000000002</v>
      </c>
      <c r="DS72" s="374">
        <f>693109.1+145232.4+787718.4</f>
        <v>1626059.9</v>
      </c>
      <c r="DT72" s="374">
        <f>664771.5+138971+765165.6</f>
        <v>1568908.1</v>
      </c>
      <c r="DU72" s="374">
        <f>648446.9+140275.5+740107.6</f>
        <v>1528830</v>
      </c>
      <c r="DV72" s="376">
        <f>695620+152151.5+781588.7</f>
        <v>1629360.2</v>
      </c>
      <c r="DW72" s="376">
        <f>724905+147780.8+654564.1</f>
        <v>1527249.9</v>
      </c>
      <c r="DX72" s="376">
        <f>753276.2+161444.3+907123.1</f>
        <v>1821843.6</v>
      </c>
      <c r="DY72" s="376">
        <f>778927.6+163510.3+823932.2</f>
        <v>1766370.0999999999</v>
      </c>
      <c r="DZ72" s="376">
        <f>806052.1+173947.2+803341.2</f>
        <v>1783340.5</v>
      </c>
      <c r="EA72" s="376">
        <f>803905.8+183068.6+825120.7</f>
        <v>1812095.1</v>
      </c>
      <c r="EB72" s="376">
        <f>754619.6+164526+784688.6</f>
        <v>1703834.2</v>
      </c>
      <c r="EC72" s="376">
        <f>739928.5+160293.4+779657</f>
        <v>1679878.9</v>
      </c>
      <c r="ED72" s="376">
        <f>737138.9+176678+736100.1</f>
        <v>1649917</v>
      </c>
      <c r="EE72" s="376">
        <f>727239.5+134171.2+773210.9</f>
        <v>1634621.6</v>
      </c>
      <c r="EF72" s="376">
        <f>717587.2+130882.2+809261.7</f>
        <v>1657731.0999999999</v>
      </c>
      <c r="EG72" s="376">
        <f>717717.5+125533.8+771338.7</f>
        <v>1614590</v>
      </c>
      <c r="EH72" s="487">
        <f>762323.4+143203+867846.8</f>
        <v>1773373.2000000002</v>
      </c>
      <c r="EI72" s="487">
        <f>725073.4+155154.3+827050.6</f>
        <v>1707278.2999999998</v>
      </c>
      <c r="EJ72" s="487">
        <f>793408.1+165534.6+919486</f>
        <v>1878428.7</v>
      </c>
      <c r="EK72" s="487">
        <f>816467+169764.9+909989.8</f>
        <v>1896221.7000000002</v>
      </c>
      <c r="EL72" s="487">
        <f>825048+164407.8+896690.4</f>
        <v>1886146.2000000002</v>
      </c>
      <c r="EM72" s="487">
        <f>835215+176283.3+936116.4</f>
        <v>1947614.7000000002</v>
      </c>
      <c r="EN72" s="487">
        <f>787566+165915.8+907951.4</f>
        <v>1861433.2000000002</v>
      </c>
      <c r="EO72" s="487">
        <f>734596.1+158940.5+947382.3</f>
        <v>1840918.9</v>
      </c>
      <c r="EP72" s="487">
        <f>769339.3+150218.8+895050</f>
        <v>1814608.1</v>
      </c>
      <c r="EQ72" s="487">
        <f>751747.4+153241.3+885753.7</f>
        <v>1790742.4</v>
      </c>
      <c r="ER72" s="487">
        <f>693181+153676.8+867056.6</f>
        <v>1713914.4</v>
      </c>
      <c r="ES72" s="487">
        <f>703548.7+150502.8+827994.2</f>
        <v>1682045.7</v>
      </c>
      <c r="ET72" s="487">
        <f>760220.1+165787.8+953068.9</f>
        <v>1879076.7999999998</v>
      </c>
      <c r="EU72" s="487">
        <f>768752.5+162249.9+935017.4</f>
        <v>1866019.8</v>
      </c>
      <c r="EV72" s="487">
        <f>813575.8+170524.6+981822.9</f>
        <v>1965923.3</v>
      </c>
      <c r="EW72" s="487">
        <f>772340.7+192046+955344.3</f>
        <v>1919731</v>
      </c>
      <c r="EX72" s="487">
        <f>802776.1+180526.9+959675.9</f>
        <v>1942978.9</v>
      </c>
      <c r="EY72" s="487">
        <f>825470.68+193613.6+1010321</f>
        <v>2029405.28</v>
      </c>
      <c r="EZ72" s="487">
        <f>777440.6+174708+977228</f>
        <v>1929376.6</v>
      </c>
      <c r="FA72" s="487">
        <f>764531.9+167846.5+934009.2</f>
        <v>1866387.6</v>
      </c>
      <c r="FB72" s="487">
        <f>754758.6+153079.4+911673.9</f>
        <v>1819511.9</v>
      </c>
      <c r="FC72" s="487">
        <f>753210.46+172721+918580.9</f>
        <v>1844512.3599999999</v>
      </c>
      <c r="FD72" s="487">
        <f>763233.1+140938.4+895579.4</f>
        <v>1799750.9</v>
      </c>
      <c r="FE72" s="487">
        <f>732950.2+136611.7+856766.8</f>
        <v>1726328.7</v>
      </c>
      <c r="FF72" s="487">
        <f>771995.4+149143+933970.4</f>
        <v>1855108.8</v>
      </c>
      <c r="FG72" s="487">
        <f>780862.6+140515.1+926073.3</f>
        <v>1847451</v>
      </c>
      <c r="FH72" s="487">
        <f>754739.5+187796.9+945741.2</f>
        <v>1888277.6</v>
      </c>
      <c r="FI72" s="487">
        <f>830783.3+152163.4+972212.1</f>
        <v>1955158.8</v>
      </c>
      <c r="FJ72" s="487">
        <f>832717.7+150206+980551.8</f>
        <v>1963475.5</v>
      </c>
      <c r="FK72" s="487">
        <f>808292.6+184124.6+1014234.9</f>
        <v>2006652.1</v>
      </c>
      <c r="FL72" s="487">
        <f>800977.7+152967.3+997565.5</f>
        <v>1951510.5</v>
      </c>
      <c r="FM72" s="487">
        <f>473586.8+440575.7+935200.6</f>
        <v>1849363.1</v>
      </c>
      <c r="FN72" s="487">
        <f>728866.1+169698.1+917661.9</f>
        <v>1816226.1</v>
      </c>
      <c r="FO72" s="487">
        <f>747617.1+171455.3+937677.9</f>
        <v>1856750.2999999998</v>
      </c>
      <c r="FP72" s="487">
        <f>721325.4+169280.6+935077.1</f>
        <v>1825683.1</v>
      </c>
      <c r="FQ72" s="487">
        <f>695862.9+166587.7+902382.2</f>
        <v>1764832.8</v>
      </c>
      <c r="FR72" s="487">
        <f>755053.8+167940.3+971101.3</f>
        <v>1894095.4000000001</v>
      </c>
      <c r="FS72" s="487">
        <f>726139.2+161614.8+967390.3</f>
        <v>1855144.3</v>
      </c>
      <c r="FT72" s="487">
        <f>747560+174866.3+1004553.4</f>
        <v>1926979.7000000002</v>
      </c>
    </row>
    <row r="73" spans="2:176" s="387" customFormat="1" ht="13.8" hidden="1" thickTop="1" x14ac:dyDescent="0.25">
      <c r="B73" s="390" t="s">
        <v>9</v>
      </c>
      <c r="C73" s="397">
        <f t="shared" ref="C73:P73" si="371">SUM(C71:C72)</f>
        <v>457443.55400000006</v>
      </c>
      <c r="D73" s="398">
        <f t="shared" si="371"/>
        <v>493675.01400000002</v>
      </c>
      <c r="E73" s="398">
        <f t="shared" si="371"/>
        <v>804508.94</v>
      </c>
      <c r="F73" s="398">
        <f t="shared" si="371"/>
        <v>1046498.814</v>
      </c>
      <c r="G73" s="398">
        <f t="shared" si="371"/>
        <v>964930.723</v>
      </c>
      <c r="H73" s="398">
        <f t="shared" si="371"/>
        <v>1902854.814</v>
      </c>
      <c r="I73" s="398">
        <f t="shared" si="371"/>
        <v>2839831.5010000002</v>
      </c>
      <c r="J73" s="398">
        <f t="shared" si="371"/>
        <v>1321757.6770000001</v>
      </c>
      <c r="K73" s="398">
        <f t="shared" si="371"/>
        <v>3402727.1869999999</v>
      </c>
      <c r="L73" s="398">
        <f t="shared" si="371"/>
        <v>2140345.7250000001</v>
      </c>
      <c r="M73" s="398">
        <f t="shared" si="371"/>
        <v>1814739.632</v>
      </c>
      <c r="N73" s="399">
        <f t="shared" si="371"/>
        <v>1876181.62</v>
      </c>
      <c r="O73" s="397">
        <f t="shared" si="371"/>
        <v>2041732</v>
      </c>
      <c r="P73" s="398">
        <f t="shared" si="371"/>
        <v>1623048</v>
      </c>
      <c r="Q73" s="398">
        <f t="shared" ref="Q73:W73" si="372">SUM(Q71:Q72)</f>
        <v>1550443</v>
      </c>
      <c r="R73" s="398">
        <f t="shared" si="372"/>
        <v>1626449.3590000002</v>
      </c>
      <c r="S73" s="398">
        <f t="shared" si="372"/>
        <v>1738067.5370000002</v>
      </c>
      <c r="T73" s="398">
        <f t="shared" si="372"/>
        <v>1835752.922</v>
      </c>
      <c r="U73" s="398">
        <f t="shared" si="372"/>
        <v>1881660.9800000002</v>
      </c>
      <c r="V73" s="398">
        <f t="shared" si="372"/>
        <v>1962016.5649999999</v>
      </c>
      <c r="W73" s="398">
        <f t="shared" si="372"/>
        <v>1893451.2160000005</v>
      </c>
      <c r="X73" s="398">
        <f>SUM(X71:X72)</f>
        <v>1839054</v>
      </c>
      <c r="Y73" s="398">
        <f>SUM(Y71:Y72)</f>
        <v>1794074</v>
      </c>
      <c r="Z73" s="399">
        <f>SUM(Z71:Z72)</f>
        <v>1742452</v>
      </c>
      <c r="AA73" s="397">
        <f t="shared" ref="AA73:AL73" si="373">SUM(AA71:AA72)</f>
        <v>1675937</v>
      </c>
      <c r="AB73" s="398">
        <f t="shared" si="373"/>
        <v>1698757.9</v>
      </c>
      <c r="AC73" s="398">
        <f t="shared" si="373"/>
        <v>1709534.9</v>
      </c>
      <c r="AD73" s="398">
        <f t="shared" si="373"/>
        <v>1839542.1</v>
      </c>
      <c r="AE73" s="398">
        <f t="shared" si="373"/>
        <v>1811180.7999999998</v>
      </c>
      <c r="AF73" s="398">
        <f t="shared" si="373"/>
        <v>1901332.5</v>
      </c>
      <c r="AG73" s="398">
        <f>SUM(AG71:AG72)</f>
        <v>1909871.2</v>
      </c>
      <c r="AH73" s="398">
        <f>SUM(AH71:AH72)</f>
        <v>1939876.6</v>
      </c>
      <c r="AI73" s="398">
        <f>SUM(AI71:AI72)</f>
        <v>1921761.4000000001</v>
      </c>
      <c r="AJ73" s="398">
        <f t="shared" si="373"/>
        <v>1894447.1640000001</v>
      </c>
      <c r="AK73" s="398">
        <f t="shared" si="373"/>
        <v>1773511.3939999999</v>
      </c>
      <c r="AL73" s="399">
        <f t="shared" si="373"/>
        <v>1848251.1470000001</v>
      </c>
      <c r="AM73" s="397">
        <f t="shared" ref="AM73:AR73" si="374">SUM(AM71:AM72)</f>
        <v>1743889</v>
      </c>
      <c r="AN73" s="398">
        <f t="shared" si="374"/>
        <v>1721432</v>
      </c>
      <c r="AO73" s="398">
        <f t="shared" si="374"/>
        <v>1729602</v>
      </c>
      <c r="AP73" s="398">
        <f t="shared" si="374"/>
        <v>1811814.2</v>
      </c>
      <c r="AQ73" s="398">
        <f t="shared" si="374"/>
        <v>1898599.8</v>
      </c>
      <c r="AR73" s="398">
        <f t="shared" si="374"/>
        <v>1991938.4000000001</v>
      </c>
      <c r="AS73" s="398">
        <f t="shared" ref="AS73:AX73" si="375">SUM(AS71:AS72)</f>
        <v>1922176.7999999998</v>
      </c>
      <c r="AT73" s="398">
        <f t="shared" si="375"/>
        <v>1951093.6</v>
      </c>
      <c r="AU73" s="398">
        <f t="shared" si="375"/>
        <v>2056065.6</v>
      </c>
      <c r="AV73" s="398">
        <f t="shared" si="375"/>
        <v>1872091.2</v>
      </c>
      <c r="AW73" s="398">
        <f t="shared" si="375"/>
        <v>1818393</v>
      </c>
      <c r="AX73" s="399">
        <f t="shared" si="375"/>
        <v>1779137.7999999998</v>
      </c>
      <c r="AY73" s="397">
        <f t="shared" ref="AY73:BJ73" si="376">SUM(AY71:AY72)</f>
        <v>1813850.7000000002</v>
      </c>
      <c r="AZ73" s="398">
        <f t="shared" si="376"/>
        <v>1769337.2</v>
      </c>
      <c r="BA73" s="398">
        <f t="shared" si="376"/>
        <v>1762107.5</v>
      </c>
      <c r="BB73" s="398">
        <f t="shared" si="376"/>
        <v>1868591</v>
      </c>
      <c r="BC73" s="398">
        <f t="shared" si="376"/>
        <v>1905466</v>
      </c>
      <c r="BD73" s="398">
        <f t="shared" si="376"/>
        <v>1980016</v>
      </c>
      <c r="BE73" s="398">
        <f t="shared" si="376"/>
        <v>2047953.5</v>
      </c>
      <c r="BF73" s="398">
        <f t="shared" si="376"/>
        <v>2034416.2999999998</v>
      </c>
      <c r="BG73" s="398">
        <f t="shared" si="376"/>
        <v>2087644.5000000002</v>
      </c>
      <c r="BH73" s="398">
        <f t="shared" si="376"/>
        <v>1934777.6</v>
      </c>
      <c r="BI73" s="398">
        <f t="shared" si="376"/>
        <v>1957825.6</v>
      </c>
      <c r="BJ73" s="399">
        <f t="shared" si="376"/>
        <v>1853188.4</v>
      </c>
      <c r="BK73" s="397">
        <f t="shared" ref="BK73:BP73" si="377">SUM(BK71:BK72)</f>
        <v>1792599</v>
      </c>
      <c r="BL73" s="398">
        <f t="shared" si="377"/>
        <v>1843739.3000000003</v>
      </c>
      <c r="BM73" s="398">
        <f t="shared" si="377"/>
        <v>1731650.7000000002</v>
      </c>
      <c r="BN73" s="398">
        <f t="shared" si="377"/>
        <v>1891127.909</v>
      </c>
      <c r="BO73" s="398">
        <f t="shared" si="377"/>
        <v>1838697.781</v>
      </c>
      <c r="BP73" s="398">
        <f t="shared" si="377"/>
        <v>2045932.35</v>
      </c>
      <c r="BQ73" s="398">
        <f t="shared" ref="BQ73:CB73" si="378">SUM(BQ71:BQ72)</f>
        <v>1969719</v>
      </c>
      <c r="BR73" s="398">
        <f t="shared" si="378"/>
        <v>1969137</v>
      </c>
      <c r="BS73" s="398">
        <f t="shared" si="378"/>
        <v>2105313</v>
      </c>
      <c r="BT73" s="398">
        <f t="shared" si="378"/>
        <v>1946421.9000000001</v>
      </c>
      <c r="BU73" s="398">
        <f t="shared" si="378"/>
        <v>1958149.9999999998</v>
      </c>
      <c r="BV73" s="400">
        <f t="shared" si="378"/>
        <v>1970852.6</v>
      </c>
      <c r="BW73" s="401">
        <f t="shared" si="378"/>
        <v>1915930</v>
      </c>
      <c r="BX73" s="398">
        <f t="shared" si="378"/>
        <v>1894705</v>
      </c>
      <c r="BY73" s="398">
        <f t="shared" si="378"/>
        <v>1812736</v>
      </c>
      <c r="BZ73" s="398">
        <f t="shared" si="378"/>
        <v>1929188.2</v>
      </c>
      <c r="CA73" s="398">
        <f t="shared" si="378"/>
        <v>1915209.4</v>
      </c>
      <c r="CB73" s="398">
        <f t="shared" si="378"/>
        <v>2548010.747</v>
      </c>
      <c r="CC73" s="398">
        <f t="shared" ref="CC73:CK73" si="379">SUM(CC71:CC72)</f>
        <v>2119332.8959999997</v>
      </c>
      <c r="CD73" s="398">
        <f t="shared" si="379"/>
        <v>2115488.798</v>
      </c>
      <c r="CE73" s="398">
        <f t="shared" si="379"/>
        <v>2077178.8709999998</v>
      </c>
      <c r="CF73" s="398">
        <f t="shared" si="379"/>
        <v>1916057</v>
      </c>
      <c r="CG73" s="398">
        <f t="shared" si="379"/>
        <v>1818636</v>
      </c>
      <c r="CH73" s="398">
        <f t="shared" si="379"/>
        <v>1759578</v>
      </c>
      <c r="CI73" s="401">
        <f t="shared" si="379"/>
        <v>1812948</v>
      </c>
      <c r="CJ73" s="398">
        <f t="shared" si="379"/>
        <v>1646950</v>
      </c>
      <c r="CK73" s="398">
        <f t="shared" si="379"/>
        <v>1640682</v>
      </c>
      <c r="CL73" s="398">
        <f t="shared" ref="CL73:CT73" si="380">SUM(CL71:CL72)</f>
        <v>1707920</v>
      </c>
      <c r="CM73" s="398">
        <f t="shared" si="380"/>
        <v>1690341</v>
      </c>
      <c r="CN73" s="398">
        <f t="shared" si="380"/>
        <v>1812807</v>
      </c>
      <c r="CO73" s="398">
        <f t="shared" si="380"/>
        <v>1859077.8000000003</v>
      </c>
      <c r="CP73" s="398">
        <f t="shared" si="380"/>
        <v>1873544.9000000001</v>
      </c>
      <c r="CQ73" s="398">
        <f t="shared" si="380"/>
        <v>1921378.4</v>
      </c>
      <c r="CR73" s="398">
        <f t="shared" si="380"/>
        <v>1790898.9</v>
      </c>
      <c r="CS73" s="398">
        <f t="shared" si="380"/>
        <v>1695531.5999999999</v>
      </c>
      <c r="CT73" s="399">
        <f t="shared" si="380"/>
        <v>1708606</v>
      </c>
      <c r="CU73" s="400">
        <f t="shared" ref="CU73:DJ73" si="381">SUM(CU71:CU72)</f>
        <v>1768459.811</v>
      </c>
      <c r="CV73" s="400">
        <f t="shared" si="381"/>
        <v>1695543.6370000001</v>
      </c>
      <c r="CW73" s="400">
        <f t="shared" si="381"/>
        <v>1668159.0090000001</v>
      </c>
      <c r="CX73" s="400">
        <f t="shared" si="381"/>
        <v>1769474.2510000002</v>
      </c>
      <c r="CY73" s="400">
        <f t="shared" si="381"/>
        <v>1755108.4190000002</v>
      </c>
      <c r="CZ73" s="400">
        <f t="shared" si="381"/>
        <v>1895821.642</v>
      </c>
      <c r="DA73" s="400">
        <f t="shared" si="381"/>
        <v>1977739</v>
      </c>
      <c r="DB73" s="400">
        <f t="shared" si="381"/>
        <v>1934355.7999999998</v>
      </c>
      <c r="DC73" s="400">
        <f t="shared" si="381"/>
        <v>2061890.9</v>
      </c>
      <c r="DD73" s="400">
        <f t="shared" si="381"/>
        <v>1979653</v>
      </c>
      <c r="DE73" s="400">
        <f t="shared" si="381"/>
        <v>1800494.9000000001</v>
      </c>
      <c r="DF73" s="399">
        <f t="shared" si="381"/>
        <v>1876278.9</v>
      </c>
      <c r="DG73" s="488">
        <f t="shared" si="381"/>
        <v>1877303.5999999999</v>
      </c>
      <c r="DH73" s="488">
        <f t="shared" si="381"/>
        <v>2220029.6</v>
      </c>
      <c r="DI73" s="488">
        <f t="shared" si="381"/>
        <v>1839974</v>
      </c>
      <c r="DJ73" s="488">
        <f t="shared" si="381"/>
        <v>1338250.8999999999</v>
      </c>
      <c r="DK73" s="488">
        <f t="shared" ref="DK73:FN73" si="382">SUM(DK71:DK72)</f>
        <v>1911498.0999999999</v>
      </c>
      <c r="DL73" s="488">
        <f t="shared" si="382"/>
        <v>1998688.1</v>
      </c>
      <c r="DM73" s="488">
        <f t="shared" si="382"/>
        <v>2091232.6</v>
      </c>
      <c r="DN73" s="488">
        <f t="shared" si="382"/>
        <v>2101281.87</v>
      </c>
      <c r="DO73" s="488">
        <f t="shared" si="382"/>
        <v>2120428.75</v>
      </c>
      <c r="DP73" s="488">
        <f t="shared" si="382"/>
        <v>2067826.8</v>
      </c>
      <c r="DQ73" s="488">
        <f t="shared" si="382"/>
        <v>1905034.5</v>
      </c>
      <c r="DR73" s="488">
        <f t="shared" si="382"/>
        <v>1957624.7000000002</v>
      </c>
      <c r="DS73" s="488">
        <f t="shared" si="382"/>
        <v>1997952.7</v>
      </c>
      <c r="DT73" s="488">
        <f t="shared" si="382"/>
        <v>1919757</v>
      </c>
      <c r="DU73" s="488">
        <f t="shared" si="382"/>
        <v>1866906.4</v>
      </c>
      <c r="DV73" s="489">
        <f t="shared" si="382"/>
        <v>1977453.2</v>
      </c>
      <c r="DW73" s="489">
        <f t="shared" si="382"/>
        <v>1879198.2</v>
      </c>
      <c r="DX73" s="489">
        <f t="shared" si="382"/>
        <v>2214521.7000000002</v>
      </c>
      <c r="DY73" s="489">
        <f t="shared" si="382"/>
        <v>2136842.6999999997</v>
      </c>
      <c r="DZ73" s="489">
        <f t="shared" si="382"/>
        <v>2150503.9</v>
      </c>
      <c r="EA73" s="489">
        <f t="shared" si="382"/>
        <v>2177602</v>
      </c>
      <c r="EB73" s="489">
        <f t="shared" si="382"/>
        <v>2059782.6</v>
      </c>
      <c r="EC73" s="489">
        <f t="shared" si="382"/>
        <v>2004788.5</v>
      </c>
      <c r="ED73" s="489">
        <f t="shared" si="382"/>
        <v>1986038</v>
      </c>
      <c r="EE73" s="489">
        <f t="shared" si="382"/>
        <v>1969750.1</v>
      </c>
      <c r="EF73" s="489">
        <f t="shared" si="382"/>
        <v>1968530.2999999998</v>
      </c>
      <c r="EG73" s="489">
        <f t="shared" si="382"/>
        <v>1895666.2</v>
      </c>
      <c r="EH73" s="489">
        <f t="shared" si="382"/>
        <v>2098173.9000000004</v>
      </c>
      <c r="EI73" s="489">
        <f t="shared" si="382"/>
        <v>2022417.6999999997</v>
      </c>
      <c r="EJ73" s="489">
        <f t="shared" si="382"/>
        <v>2178940.1</v>
      </c>
      <c r="EK73" s="489">
        <f t="shared" si="382"/>
        <v>2194948.9000000004</v>
      </c>
      <c r="EL73" s="489">
        <f t="shared" si="382"/>
        <v>2221161</v>
      </c>
      <c r="EM73" s="489">
        <f t="shared" si="382"/>
        <v>2296389</v>
      </c>
      <c r="EN73" s="489">
        <f t="shared" si="382"/>
        <v>2173220.9000000004</v>
      </c>
      <c r="EO73" s="489">
        <f t="shared" si="382"/>
        <v>2149961.6999999997</v>
      </c>
      <c r="EP73" s="489">
        <f t="shared" si="382"/>
        <v>2127876</v>
      </c>
      <c r="EQ73" s="489">
        <f t="shared" si="382"/>
        <v>2085775.7</v>
      </c>
      <c r="ER73" s="489">
        <f t="shared" si="382"/>
        <v>2017048.2</v>
      </c>
      <c r="ES73" s="489">
        <f t="shared" si="382"/>
        <v>1985244.5</v>
      </c>
      <c r="ET73" s="489">
        <f t="shared" si="382"/>
        <v>2211957.0999999996</v>
      </c>
      <c r="EU73" s="489">
        <f t="shared" si="382"/>
        <v>2209960.2999999998</v>
      </c>
      <c r="EV73" s="489">
        <f t="shared" si="382"/>
        <v>2329135.6</v>
      </c>
      <c r="EW73" s="489">
        <f t="shared" si="382"/>
        <v>2261018.9</v>
      </c>
      <c r="EX73" s="489">
        <f t="shared" si="382"/>
        <v>2313799.0999999996</v>
      </c>
      <c r="EY73" s="489">
        <f t="shared" si="382"/>
        <v>2413053.6800000002</v>
      </c>
      <c r="EZ73" s="489">
        <f t="shared" si="382"/>
        <v>2281275</v>
      </c>
      <c r="FA73" s="489">
        <f t="shared" si="382"/>
        <v>2220535.1</v>
      </c>
      <c r="FB73" s="489">
        <f t="shared" si="382"/>
        <v>2162025.2999999998</v>
      </c>
      <c r="FC73" s="489">
        <f t="shared" si="382"/>
        <v>2181814.56</v>
      </c>
      <c r="FD73" s="489">
        <f t="shared" si="382"/>
        <v>2175576.9</v>
      </c>
      <c r="FE73" s="489">
        <f t="shared" si="382"/>
        <v>2080835</v>
      </c>
      <c r="FF73" s="489">
        <f t="shared" si="382"/>
        <v>2235160.1</v>
      </c>
      <c r="FG73" s="489">
        <f t="shared" si="382"/>
        <v>2236484.6</v>
      </c>
      <c r="FH73" s="489">
        <f t="shared" si="382"/>
        <v>2305396</v>
      </c>
      <c r="FI73" s="489">
        <f t="shared" si="382"/>
        <v>2374680.1</v>
      </c>
      <c r="FJ73" s="489">
        <f t="shared" si="382"/>
        <v>2396505.9</v>
      </c>
      <c r="FK73" s="489">
        <f t="shared" si="382"/>
        <v>2447392</v>
      </c>
      <c r="FL73" s="489">
        <f t="shared" si="382"/>
        <v>2363551</v>
      </c>
      <c r="FM73" s="489">
        <f t="shared" si="382"/>
        <v>2229788.6</v>
      </c>
      <c r="FN73" s="489">
        <f t="shared" si="382"/>
        <v>2192289.4</v>
      </c>
      <c r="FO73" s="489">
        <f t="shared" ref="FO73:FQ73" si="383">SUM(FO71:FO72)</f>
        <v>2241600.4</v>
      </c>
      <c r="FP73" s="489">
        <f t="shared" si="383"/>
        <v>2181283.2000000002</v>
      </c>
      <c r="FQ73" s="489">
        <f t="shared" si="383"/>
        <v>2115182.7999999998</v>
      </c>
      <c r="FR73" s="489">
        <f t="shared" ref="FR73:FT73" si="384">SUM(FR71:FR72)</f>
        <v>2260929.7000000002</v>
      </c>
      <c r="FS73" s="489">
        <f t="shared" si="384"/>
        <v>2242214.7000000002</v>
      </c>
      <c r="FT73" s="489">
        <f t="shared" si="384"/>
        <v>2337989.6</v>
      </c>
    </row>
    <row r="74" spans="2:176" s="409" customFormat="1" hidden="1" x14ac:dyDescent="0.25">
      <c r="B74" s="403" t="s">
        <v>10</v>
      </c>
      <c r="C74" s="404">
        <f t="shared" ref="C74:P74" si="385">SUM(C71)/C73</f>
        <v>0.99965150454388085</v>
      </c>
      <c r="D74" s="405">
        <f t="shared" si="385"/>
        <v>0.92628576296551246</v>
      </c>
      <c r="E74" s="405">
        <f t="shared" si="385"/>
        <v>0.74175072684711252</v>
      </c>
      <c r="F74" s="405">
        <f t="shared" si="385"/>
        <v>0.69400002301388175</v>
      </c>
      <c r="G74" s="405">
        <f t="shared" si="385"/>
        <v>0.83730029497672032</v>
      </c>
      <c r="H74" s="405">
        <f t="shared" si="385"/>
        <v>0.48566805370575161</v>
      </c>
      <c r="I74" s="405">
        <f t="shared" si="385"/>
        <v>0.59718862629800806</v>
      </c>
      <c r="J74" s="405">
        <f t="shared" si="385"/>
        <v>0.40422800585708263</v>
      </c>
      <c r="K74" s="405">
        <f t="shared" si="385"/>
        <v>0.66246008778252385</v>
      </c>
      <c r="L74" s="405">
        <f t="shared" si="385"/>
        <v>0.5041556545730479</v>
      </c>
      <c r="M74" s="405">
        <f t="shared" si="385"/>
        <v>0.57028366921123153</v>
      </c>
      <c r="N74" s="406">
        <f t="shared" si="385"/>
        <v>0.56875668572001037</v>
      </c>
      <c r="O74" s="404">
        <f t="shared" si="385"/>
        <v>0.65350202671065549</v>
      </c>
      <c r="P74" s="405">
        <f t="shared" si="385"/>
        <v>0.60320828465948018</v>
      </c>
      <c r="Q74" s="405">
        <f t="shared" ref="Q74:W74" si="386">SUM(Q71)/Q73</f>
        <v>0.51853180026611745</v>
      </c>
      <c r="R74" s="405">
        <f t="shared" si="386"/>
        <v>0.51162302926641567</v>
      </c>
      <c r="S74" s="405">
        <f t="shared" si="386"/>
        <v>0.51509177862286948</v>
      </c>
      <c r="T74" s="405">
        <f t="shared" si="386"/>
        <v>0.50991942803509804</v>
      </c>
      <c r="U74" s="405">
        <f t="shared" si="386"/>
        <v>0.50337929311793439</v>
      </c>
      <c r="V74" s="405">
        <f t="shared" si="386"/>
        <v>0.44862842276767423</v>
      </c>
      <c r="W74" s="405">
        <f t="shared" si="386"/>
        <v>0.47464872155438714</v>
      </c>
      <c r="X74" s="405">
        <f>SUM(X71)/X73</f>
        <v>0.4704516561232025</v>
      </c>
      <c r="Y74" s="405">
        <f>SUM(Y71)/Y73</f>
        <v>0.46363304969583197</v>
      </c>
      <c r="Z74" s="406">
        <f>SUM(Z71)/Z73</f>
        <v>0.46407648532068602</v>
      </c>
      <c r="AA74" s="404">
        <f t="shared" ref="AA74:AL74" si="387">SUM(AA71)/AA73</f>
        <v>0.46159467808157467</v>
      </c>
      <c r="AB74" s="405">
        <f t="shared" si="387"/>
        <v>0.48086404778456071</v>
      </c>
      <c r="AC74" s="405">
        <f t="shared" si="387"/>
        <v>0.49011640534510292</v>
      </c>
      <c r="AD74" s="405">
        <f t="shared" si="387"/>
        <v>0.49469452207698861</v>
      </c>
      <c r="AE74" s="405">
        <f t="shared" si="387"/>
        <v>0.4647187624780475</v>
      </c>
      <c r="AF74" s="405">
        <f t="shared" si="387"/>
        <v>0.44153876294651251</v>
      </c>
      <c r="AG74" s="405">
        <f>SUM(AG71)/AG73</f>
        <v>0.40642897803789074</v>
      </c>
      <c r="AH74" s="405">
        <f>SUM(AH71)/AH73</f>
        <v>0.39895542840199216</v>
      </c>
      <c r="AI74" s="405">
        <f>SUM(AI71)/AI73</f>
        <v>0.38894932534288595</v>
      </c>
      <c r="AJ74" s="405">
        <f t="shared" si="387"/>
        <v>0.39524602545209858</v>
      </c>
      <c r="AK74" s="405">
        <f t="shared" si="387"/>
        <v>0.38974893498767116</v>
      </c>
      <c r="AL74" s="406">
        <f t="shared" si="387"/>
        <v>0.37879850805795279</v>
      </c>
      <c r="AM74" s="404">
        <f t="shared" ref="AM74:AR74" si="388">SUM(AM71)/AM73</f>
        <v>0.36536442399716956</v>
      </c>
      <c r="AN74" s="405">
        <f t="shared" si="388"/>
        <v>0.34313989748070212</v>
      </c>
      <c r="AO74" s="405">
        <f t="shared" si="388"/>
        <v>0.30828999966466275</v>
      </c>
      <c r="AP74" s="405">
        <f t="shared" si="388"/>
        <v>0.30548756047943548</v>
      </c>
      <c r="AQ74" s="405">
        <f t="shared" si="388"/>
        <v>0.32723605048309812</v>
      </c>
      <c r="AR74" s="405">
        <f t="shared" si="388"/>
        <v>0.25731202330353187</v>
      </c>
      <c r="AS74" s="405">
        <f t="shared" ref="AS74:AX74" si="389">SUM(AS71)/AS73</f>
        <v>0.26549139496429258</v>
      </c>
      <c r="AT74" s="405">
        <f t="shared" si="389"/>
        <v>0.26593962483399053</v>
      </c>
      <c r="AU74" s="405">
        <f t="shared" si="389"/>
        <v>0.25728211201043388</v>
      </c>
      <c r="AV74" s="405">
        <f t="shared" si="389"/>
        <v>0.23663099319093001</v>
      </c>
      <c r="AW74" s="405">
        <f t="shared" si="389"/>
        <v>0.2607638172826226</v>
      </c>
      <c r="AX74" s="406">
        <f t="shared" si="389"/>
        <v>0.23246681622974907</v>
      </c>
      <c r="AY74" s="404">
        <f t="shared" ref="AY74:BJ74" si="390">SUM(AY71)/AY73</f>
        <v>0.26082631828518188</v>
      </c>
      <c r="AZ74" s="405">
        <f t="shared" si="390"/>
        <v>0.29026632119643447</v>
      </c>
      <c r="BA74" s="405">
        <f t="shared" si="390"/>
        <v>0.22055294583332744</v>
      </c>
      <c r="BB74" s="405">
        <f t="shared" si="390"/>
        <v>0.2305202154992719</v>
      </c>
      <c r="BC74" s="405">
        <f t="shared" si="390"/>
        <v>0.22143139788377225</v>
      </c>
      <c r="BD74" s="405">
        <f t="shared" si="390"/>
        <v>0.22064821698410517</v>
      </c>
      <c r="BE74" s="405">
        <f t="shared" si="390"/>
        <v>0.24336861164084048</v>
      </c>
      <c r="BF74" s="405">
        <f t="shared" si="390"/>
        <v>0.23252522111624843</v>
      </c>
      <c r="BG74" s="405">
        <f t="shared" si="390"/>
        <v>0.22977920809793043</v>
      </c>
      <c r="BH74" s="405">
        <f t="shared" si="390"/>
        <v>0.23485846642011982</v>
      </c>
      <c r="BI74" s="405">
        <f t="shared" si="390"/>
        <v>0.27533759901801264</v>
      </c>
      <c r="BJ74" s="406">
        <f t="shared" si="390"/>
        <v>0.26393398534115586</v>
      </c>
      <c r="BK74" s="404">
        <f t="shared" ref="BK74:BP74" si="391">SUM(BK71)/BK73</f>
        <v>0.25905905336330098</v>
      </c>
      <c r="BL74" s="405">
        <f t="shared" si="391"/>
        <v>0.245334088176132</v>
      </c>
      <c r="BM74" s="405">
        <f t="shared" si="391"/>
        <v>0.26131771263107506</v>
      </c>
      <c r="BN74" s="405">
        <f t="shared" si="391"/>
        <v>0.27252587439869463</v>
      </c>
      <c r="BO74" s="405">
        <f t="shared" si="391"/>
        <v>0.25040505011628122</v>
      </c>
      <c r="BP74" s="405">
        <f t="shared" si="391"/>
        <v>0.30036365132014259</v>
      </c>
      <c r="BQ74" s="405">
        <f t="shared" ref="BQ74:CB74" si="392">SUM(BQ71)/BQ73</f>
        <v>0.2734364647952322</v>
      </c>
      <c r="BR74" s="405">
        <f t="shared" si="392"/>
        <v>0.26535634646040374</v>
      </c>
      <c r="BS74" s="405">
        <f t="shared" si="392"/>
        <v>0.27883454859206208</v>
      </c>
      <c r="BT74" s="405">
        <f t="shared" si="392"/>
        <v>0.25769962822551473</v>
      </c>
      <c r="BU74" s="405">
        <f t="shared" si="392"/>
        <v>0.26451150320455535</v>
      </c>
      <c r="BV74" s="405">
        <f t="shared" si="392"/>
        <v>0.27324849154117359</v>
      </c>
      <c r="BW74" s="407">
        <f t="shared" si="392"/>
        <v>0.26563339996763974</v>
      </c>
      <c r="BX74" s="405">
        <f t="shared" si="392"/>
        <v>0.2885810719874598</v>
      </c>
      <c r="BY74" s="405">
        <f t="shared" si="392"/>
        <v>0.28860352527891542</v>
      </c>
      <c r="BZ74" s="405">
        <f t="shared" si="392"/>
        <v>0.29969922063591303</v>
      </c>
      <c r="CA74" s="405">
        <f t="shared" si="392"/>
        <v>0.27897215834466982</v>
      </c>
      <c r="CB74" s="405">
        <f t="shared" si="392"/>
        <v>0.36979641789556389</v>
      </c>
      <c r="CC74" s="405">
        <f t="shared" ref="CC74:CK74" si="393">SUM(CC71)/CC73</f>
        <v>0.29186658177555141</v>
      </c>
      <c r="CD74" s="405">
        <f t="shared" si="393"/>
        <v>0.26028044370670311</v>
      </c>
      <c r="CE74" s="405">
        <f t="shared" si="393"/>
        <v>0.24992125918846786</v>
      </c>
      <c r="CF74" s="405">
        <f t="shared" si="393"/>
        <v>0.25381917135033039</v>
      </c>
      <c r="CG74" s="405">
        <f t="shared" si="393"/>
        <v>0.23134096102793522</v>
      </c>
      <c r="CH74" s="405">
        <f t="shared" si="393"/>
        <v>0.20996341168166457</v>
      </c>
      <c r="CI74" s="407">
        <f t="shared" si="393"/>
        <v>0.22901980641474548</v>
      </c>
      <c r="CJ74" s="405">
        <f t="shared" si="393"/>
        <v>0.25945778560369165</v>
      </c>
      <c r="CK74" s="405">
        <f t="shared" si="393"/>
        <v>0.26125355187659766</v>
      </c>
      <c r="CL74" s="405">
        <f t="shared" ref="CL74:CQ74" si="394">SUM(CL71)/CL73</f>
        <v>0.26003911190219681</v>
      </c>
      <c r="CM74" s="405">
        <f t="shared" si="394"/>
        <v>0.27898631104611438</v>
      </c>
      <c r="CN74" s="405">
        <f t="shared" si="394"/>
        <v>0.29539713825023844</v>
      </c>
      <c r="CO74" s="405">
        <f t="shared" si="394"/>
        <v>0.29450063897272072</v>
      </c>
      <c r="CP74" s="405">
        <f t="shared" si="394"/>
        <v>0.30950221689376112</v>
      </c>
      <c r="CQ74" s="405">
        <f t="shared" si="394"/>
        <v>0.30834613317189369</v>
      </c>
      <c r="CR74" s="405">
        <f t="shared" ref="CR74:DJ74" si="395">SUM(CR71)/CR73</f>
        <v>0.28899403534169349</v>
      </c>
      <c r="CS74" s="405">
        <f t="shared" si="395"/>
        <v>0.29187854711761196</v>
      </c>
      <c r="CT74" s="406">
        <f t="shared" si="395"/>
        <v>0.27646490764986192</v>
      </c>
      <c r="CU74" s="405">
        <f t="shared" si="395"/>
        <v>0.29161383526628532</v>
      </c>
      <c r="CV74" s="405">
        <f t="shared" si="395"/>
        <v>0.32145835300610431</v>
      </c>
      <c r="CW74" s="405">
        <f t="shared" si="395"/>
        <v>0.31931588842919467</v>
      </c>
      <c r="CX74" s="405">
        <f t="shared" si="395"/>
        <v>0.32525542526247253</v>
      </c>
      <c r="CY74" s="405">
        <f t="shared" si="395"/>
        <v>0.32128505219141112</v>
      </c>
      <c r="CZ74" s="405">
        <f t="shared" si="395"/>
        <v>0.31324935154422079</v>
      </c>
      <c r="DA74" s="405">
        <f t="shared" si="395"/>
        <v>0.32237069704344201</v>
      </c>
      <c r="DB74" s="405">
        <f t="shared" si="395"/>
        <v>0.32366558417019253</v>
      </c>
      <c r="DC74" s="405">
        <f t="shared" si="395"/>
        <v>0.31772898362372132</v>
      </c>
      <c r="DD74" s="405">
        <f t="shared" si="395"/>
        <v>0.34037308558621138</v>
      </c>
      <c r="DE74" s="405">
        <f t="shared" si="395"/>
        <v>0.30359252892079841</v>
      </c>
      <c r="DF74" s="406">
        <f t="shared" si="395"/>
        <v>0.29726422868156754</v>
      </c>
      <c r="DG74" s="490">
        <f t="shared" si="395"/>
        <v>0.29326567104010243</v>
      </c>
      <c r="DH74" s="490">
        <f t="shared" si="395"/>
        <v>0.29668523338607738</v>
      </c>
      <c r="DI74" s="490">
        <f t="shared" si="395"/>
        <v>0.30050951806927706</v>
      </c>
      <c r="DJ74" s="490">
        <f t="shared" si="395"/>
        <v>0.25605975680644039</v>
      </c>
      <c r="DK74" s="490">
        <f t="shared" ref="DK74:FN74" si="396">SUM(DK71)/DK73</f>
        <v>0.2251152643049972</v>
      </c>
      <c r="DL74" s="490">
        <f t="shared" si="396"/>
        <v>0.23161797981385887</v>
      </c>
      <c r="DM74" s="490">
        <f t="shared" si="396"/>
        <v>0.22764703457664154</v>
      </c>
      <c r="DN74" s="490">
        <f t="shared" si="396"/>
        <v>0.22864936725504609</v>
      </c>
      <c r="DO74" s="490">
        <f t="shared" si="396"/>
        <v>0.22614030299296783</v>
      </c>
      <c r="DP74" s="490">
        <f t="shared" si="396"/>
        <v>0.20506412819487591</v>
      </c>
      <c r="DQ74" s="490">
        <f t="shared" si="396"/>
        <v>0.21037765982715795</v>
      </c>
      <c r="DR74" s="490">
        <f t="shared" si="396"/>
        <v>0.20341871452684468</v>
      </c>
      <c r="DS74" s="490">
        <f t="shared" si="396"/>
        <v>0.18613693907768691</v>
      </c>
      <c r="DT74" s="490">
        <f t="shared" si="396"/>
        <v>0.1827569322575722</v>
      </c>
      <c r="DU74" s="490">
        <f t="shared" si="396"/>
        <v>0.18108910012842638</v>
      </c>
      <c r="DV74" s="491">
        <f t="shared" si="396"/>
        <v>0.17603096750911729</v>
      </c>
      <c r="DW74" s="491">
        <f t="shared" si="396"/>
        <v>0.18728641821815284</v>
      </c>
      <c r="DX74" s="491">
        <f t="shared" si="396"/>
        <v>0.17731959908092115</v>
      </c>
      <c r="DY74" s="491">
        <f t="shared" si="396"/>
        <v>0.17337382859299846</v>
      </c>
      <c r="DZ74" s="491">
        <f t="shared" si="396"/>
        <v>0.17073365921354527</v>
      </c>
      <c r="EA74" s="491">
        <f t="shared" si="396"/>
        <v>0.16784834877998828</v>
      </c>
      <c r="EB74" s="491">
        <f t="shared" si="396"/>
        <v>0.17280872262927166</v>
      </c>
      <c r="EC74" s="491">
        <f t="shared" si="396"/>
        <v>0.16206677163202002</v>
      </c>
      <c r="ED74" s="491">
        <f t="shared" si="396"/>
        <v>0.1692419782501644</v>
      </c>
      <c r="EE74" s="491">
        <f t="shared" si="396"/>
        <v>0.17013757227376203</v>
      </c>
      <c r="EF74" s="491">
        <f t="shared" si="396"/>
        <v>0.15788387915593682</v>
      </c>
      <c r="EG74" s="491">
        <f t="shared" si="396"/>
        <v>0.1482730451173313</v>
      </c>
      <c r="EH74" s="491">
        <f t="shared" si="396"/>
        <v>0.15480161105807289</v>
      </c>
      <c r="EI74" s="491">
        <f t="shared" si="396"/>
        <v>0.15582310222067383</v>
      </c>
      <c r="EJ74" s="491">
        <f t="shared" si="396"/>
        <v>0.13791631995757939</v>
      </c>
      <c r="EK74" s="491">
        <f t="shared" si="396"/>
        <v>0.13609756473146137</v>
      </c>
      <c r="EL74" s="491">
        <f t="shared" si="396"/>
        <v>0.15082868824006904</v>
      </c>
      <c r="EM74" s="491">
        <f t="shared" si="396"/>
        <v>0.15187945073765813</v>
      </c>
      <c r="EN74" s="491">
        <f t="shared" si="396"/>
        <v>0.14346802020908228</v>
      </c>
      <c r="EO74" s="491">
        <f t="shared" si="396"/>
        <v>0.14374339784750587</v>
      </c>
      <c r="EP74" s="491">
        <f t="shared" si="396"/>
        <v>0.14722093768621858</v>
      </c>
      <c r="EQ74" s="491">
        <f t="shared" si="396"/>
        <v>0.14145015688887355</v>
      </c>
      <c r="ER74" s="491">
        <f t="shared" si="396"/>
        <v>0.15028584839965647</v>
      </c>
      <c r="ES74" s="491">
        <f t="shared" si="396"/>
        <v>0.15272617554160209</v>
      </c>
      <c r="ET74" s="491">
        <f t="shared" si="396"/>
        <v>0.15049130021554216</v>
      </c>
      <c r="EU74" s="491">
        <f t="shared" si="396"/>
        <v>0.15563198126228786</v>
      </c>
      <c r="EV74" s="491">
        <f t="shared" si="396"/>
        <v>0.15594296012649497</v>
      </c>
      <c r="EW74" s="491">
        <f t="shared" si="396"/>
        <v>0.15094429330068848</v>
      </c>
      <c r="EX74" s="491">
        <f t="shared" si="396"/>
        <v>0.16026464873289994</v>
      </c>
      <c r="EY74" s="491">
        <f t="shared" si="396"/>
        <v>0.15898875486267675</v>
      </c>
      <c r="EZ74" s="491">
        <f t="shared" si="396"/>
        <v>0.15425514240939828</v>
      </c>
      <c r="FA74" s="491">
        <f t="shared" si="396"/>
        <v>0.15948745867606415</v>
      </c>
      <c r="FB74" s="491">
        <f t="shared" si="396"/>
        <v>0.15842247544466759</v>
      </c>
      <c r="FC74" s="491">
        <f t="shared" si="396"/>
        <v>0.15459709829784984</v>
      </c>
      <c r="FD74" s="491">
        <f t="shared" si="396"/>
        <v>0.17274774336866697</v>
      </c>
      <c r="FE74" s="491">
        <f t="shared" si="396"/>
        <v>0.17036732850033759</v>
      </c>
      <c r="FF74" s="491">
        <f t="shared" si="396"/>
        <v>0.17003314438191697</v>
      </c>
      <c r="FG74" s="491">
        <f t="shared" si="396"/>
        <v>0.17394870503467807</v>
      </c>
      <c r="FH74" s="491">
        <f t="shared" si="396"/>
        <v>0.18093134541744674</v>
      </c>
      <c r="FI74" s="491">
        <f t="shared" si="396"/>
        <v>0.17666434312562776</v>
      </c>
      <c r="FJ74" s="491">
        <f t="shared" si="396"/>
        <v>0.1806923988795521</v>
      </c>
      <c r="FK74" s="491">
        <f t="shared" si="396"/>
        <v>0.18008553595010524</v>
      </c>
      <c r="FL74" s="491">
        <f t="shared" si="396"/>
        <v>0.17433112295863301</v>
      </c>
      <c r="FM74" s="491">
        <f t="shared" si="396"/>
        <v>0.17061056819467099</v>
      </c>
      <c r="FN74" s="491">
        <f t="shared" si="396"/>
        <v>0.1715390769120172</v>
      </c>
      <c r="FO74" s="491">
        <f t="shared" ref="FO74:FQ74" si="397">SUM(FO71)/FO73</f>
        <v>0.17168541725813397</v>
      </c>
      <c r="FP74" s="491">
        <f t="shared" si="397"/>
        <v>0.16302335249269786</v>
      </c>
      <c r="FQ74" s="491">
        <f t="shared" si="397"/>
        <v>0.16563580225784741</v>
      </c>
      <c r="FR74" s="491">
        <f t="shared" ref="FR74:FT74" si="398">SUM(FR71)/FR73</f>
        <v>0.16224931717248881</v>
      </c>
      <c r="FS74" s="491">
        <f t="shared" si="398"/>
        <v>0.17262860688586151</v>
      </c>
      <c r="FT74" s="491">
        <f t="shared" si="398"/>
        <v>0.17579629096724811</v>
      </c>
    </row>
    <row r="75" spans="2:176" s="409" customFormat="1" ht="13.8" hidden="1" thickBot="1" x14ac:dyDescent="0.3">
      <c r="B75" s="410" t="s">
        <v>11</v>
      </c>
      <c r="C75" s="411">
        <f t="shared" ref="C75:P75" si="399">SUM(C72/C73)</f>
        <v>3.4849545611916082E-4</v>
      </c>
      <c r="D75" s="412">
        <f t="shared" si="399"/>
        <v>7.3714237034487581E-2</v>
      </c>
      <c r="E75" s="412">
        <f t="shared" si="399"/>
        <v>0.25824927315288754</v>
      </c>
      <c r="F75" s="412">
        <f t="shared" si="399"/>
        <v>0.30599997698611819</v>
      </c>
      <c r="G75" s="412">
        <f t="shared" si="399"/>
        <v>0.16269970502327966</v>
      </c>
      <c r="H75" s="412">
        <f t="shared" si="399"/>
        <v>0.51433194629424839</v>
      </c>
      <c r="I75" s="412">
        <f t="shared" si="399"/>
        <v>0.40281137370199199</v>
      </c>
      <c r="J75" s="412">
        <f t="shared" si="399"/>
        <v>0.59577199414291737</v>
      </c>
      <c r="K75" s="412">
        <f t="shared" si="399"/>
        <v>0.33753991221747626</v>
      </c>
      <c r="L75" s="412">
        <f t="shared" si="399"/>
        <v>0.49584434542695205</v>
      </c>
      <c r="M75" s="412">
        <f t="shared" si="399"/>
        <v>0.42971633078876847</v>
      </c>
      <c r="N75" s="413">
        <f t="shared" si="399"/>
        <v>0.43124331427998958</v>
      </c>
      <c r="O75" s="411">
        <f t="shared" si="399"/>
        <v>0.34649797328934456</v>
      </c>
      <c r="P75" s="412">
        <f t="shared" si="399"/>
        <v>0.39679171534051982</v>
      </c>
      <c r="Q75" s="412">
        <f t="shared" ref="Q75:W75" si="400">SUM(Q72/Q73)</f>
        <v>0.4814681997338825</v>
      </c>
      <c r="R75" s="412">
        <f t="shared" si="400"/>
        <v>0.48837697073358433</v>
      </c>
      <c r="S75" s="412">
        <f t="shared" si="400"/>
        <v>0.48490822137713052</v>
      </c>
      <c r="T75" s="412">
        <f t="shared" si="400"/>
        <v>0.49008057196490196</v>
      </c>
      <c r="U75" s="412">
        <f t="shared" si="400"/>
        <v>0.49662070688206555</v>
      </c>
      <c r="V75" s="412">
        <f t="shared" si="400"/>
        <v>0.55137157723232577</v>
      </c>
      <c r="W75" s="412">
        <f t="shared" si="400"/>
        <v>0.5253512784456128</v>
      </c>
      <c r="X75" s="412">
        <f>SUM(X72/X73)</f>
        <v>0.5295483438767975</v>
      </c>
      <c r="Y75" s="412">
        <f>SUM(Y72/Y73)</f>
        <v>0.53636695030416803</v>
      </c>
      <c r="Z75" s="413">
        <f>SUM(Z72/Z73)</f>
        <v>0.53592351467931398</v>
      </c>
      <c r="AA75" s="411">
        <f t="shared" ref="AA75:AL75" si="401">SUM(AA72/AA73)</f>
        <v>0.53840532191842538</v>
      </c>
      <c r="AB75" s="412">
        <f t="shared" si="401"/>
        <v>0.5191359522154394</v>
      </c>
      <c r="AC75" s="412">
        <f t="shared" si="401"/>
        <v>0.50988359465489708</v>
      </c>
      <c r="AD75" s="412">
        <f t="shared" si="401"/>
        <v>0.50530547792301128</v>
      </c>
      <c r="AE75" s="412">
        <f t="shared" si="401"/>
        <v>0.53528123752195256</v>
      </c>
      <c r="AF75" s="412">
        <f t="shared" si="401"/>
        <v>0.55846123705348749</v>
      </c>
      <c r="AG75" s="412">
        <f>SUM(AG72/AG73)</f>
        <v>0.59357102196210931</v>
      </c>
      <c r="AH75" s="412">
        <f>SUM(AH72/AH73)</f>
        <v>0.60104457159800784</v>
      </c>
      <c r="AI75" s="412">
        <f>SUM(AI72/AI73)</f>
        <v>0.61105067465711405</v>
      </c>
      <c r="AJ75" s="412">
        <f t="shared" si="401"/>
        <v>0.60475397454790136</v>
      </c>
      <c r="AK75" s="412">
        <f t="shared" si="401"/>
        <v>0.61025106501232884</v>
      </c>
      <c r="AL75" s="413">
        <f t="shared" si="401"/>
        <v>0.62120149194204721</v>
      </c>
      <c r="AM75" s="411">
        <f t="shared" ref="AM75:AR75" si="402">SUM(AM72/AM73)</f>
        <v>0.63463557600283049</v>
      </c>
      <c r="AN75" s="412">
        <f t="shared" si="402"/>
        <v>0.65686010251929794</v>
      </c>
      <c r="AO75" s="412">
        <f t="shared" si="402"/>
        <v>0.69171000033533725</v>
      </c>
      <c r="AP75" s="412">
        <f t="shared" si="402"/>
        <v>0.69451243952056452</v>
      </c>
      <c r="AQ75" s="412">
        <f t="shared" si="402"/>
        <v>0.67276394951690188</v>
      </c>
      <c r="AR75" s="412">
        <f t="shared" si="402"/>
        <v>0.74268797669646813</v>
      </c>
      <c r="AS75" s="412">
        <f t="shared" ref="AS75:AX75" si="403">SUM(AS72/AS73)</f>
        <v>0.73450860503570747</v>
      </c>
      <c r="AT75" s="412">
        <f t="shared" si="403"/>
        <v>0.73406037516600942</v>
      </c>
      <c r="AU75" s="412">
        <f t="shared" si="403"/>
        <v>0.74271788798956606</v>
      </c>
      <c r="AV75" s="412">
        <f t="shared" si="403"/>
        <v>0.76336900680906994</v>
      </c>
      <c r="AW75" s="412">
        <f t="shared" si="403"/>
        <v>0.73923618271737734</v>
      </c>
      <c r="AX75" s="413">
        <f t="shared" si="403"/>
        <v>0.76753318377025093</v>
      </c>
      <c r="AY75" s="411">
        <f t="shared" ref="AY75:BJ75" si="404">SUM(AY72/AY73)</f>
        <v>0.73917368171481812</v>
      </c>
      <c r="AZ75" s="412">
        <f t="shared" si="404"/>
        <v>0.70973367880356553</v>
      </c>
      <c r="BA75" s="412">
        <f t="shared" si="404"/>
        <v>0.77944705416667259</v>
      </c>
      <c r="BB75" s="412">
        <f t="shared" si="404"/>
        <v>0.76947978450072807</v>
      </c>
      <c r="BC75" s="412">
        <f t="shared" si="404"/>
        <v>0.77856860211622769</v>
      </c>
      <c r="BD75" s="412">
        <f t="shared" si="404"/>
        <v>0.77935178301589481</v>
      </c>
      <c r="BE75" s="412">
        <f t="shared" si="404"/>
        <v>0.75663138835915944</v>
      </c>
      <c r="BF75" s="412">
        <f t="shared" si="404"/>
        <v>0.7674747788837516</v>
      </c>
      <c r="BG75" s="412">
        <f t="shared" si="404"/>
        <v>0.77022079190206949</v>
      </c>
      <c r="BH75" s="412">
        <f t="shared" si="404"/>
        <v>0.76514153357988013</v>
      </c>
      <c r="BI75" s="412">
        <f t="shared" si="404"/>
        <v>0.72466240098198742</v>
      </c>
      <c r="BJ75" s="413">
        <f t="shared" si="404"/>
        <v>0.73606601465884425</v>
      </c>
      <c r="BK75" s="411">
        <f t="shared" ref="BK75:BP75" si="405">SUM(BK72/BK73)</f>
        <v>0.74094094663669896</v>
      </c>
      <c r="BL75" s="412">
        <f t="shared" si="405"/>
        <v>0.75466591182386789</v>
      </c>
      <c r="BM75" s="412">
        <f t="shared" si="405"/>
        <v>0.73868228736892494</v>
      </c>
      <c r="BN75" s="412">
        <f t="shared" si="405"/>
        <v>0.72747412560130542</v>
      </c>
      <c r="BO75" s="412">
        <f t="shared" si="405"/>
        <v>0.74959494988371889</v>
      </c>
      <c r="BP75" s="412">
        <f t="shared" si="405"/>
        <v>0.69963634867985736</v>
      </c>
      <c r="BQ75" s="412">
        <f t="shared" ref="BQ75:CB75" si="406">SUM(BQ72/BQ73)</f>
        <v>0.7265635352047678</v>
      </c>
      <c r="BR75" s="412">
        <f t="shared" si="406"/>
        <v>0.73464365353959626</v>
      </c>
      <c r="BS75" s="412">
        <f t="shared" si="406"/>
        <v>0.72116545140793786</v>
      </c>
      <c r="BT75" s="412">
        <f t="shared" si="406"/>
        <v>0.74230037177448527</v>
      </c>
      <c r="BU75" s="412">
        <f t="shared" si="406"/>
        <v>0.7354884967954447</v>
      </c>
      <c r="BV75" s="412">
        <f t="shared" si="406"/>
        <v>0.72675150845882641</v>
      </c>
      <c r="BW75" s="414">
        <f t="shared" si="406"/>
        <v>0.73436660003236032</v>
      </c>
      <c r="BX75" s="412">
        <f t="shared" si="406"/>
        <v>0.71141892801254025</v>
      </c>
      <c r="BY75" s="412">
        <f t="shared" si="406"/>
        <v>0.71139647472108458</v>
      </c>
      <c r="BZ75" s="412">
        <f t="shared" si="406"/>
        <v>0.70030077936408697</v>
      </c>
      <c r="CA75" s="412">
        <f t="shared" si="406"/>
        <v>0.72102784165533018</v>
      </c>
      <c r="CB75" s="412">
        <f t="shared" si="406"/>
        <v>0.63020358210443606</v>
      </c>
      <c r="CC75" s="412">
        <f t="shared" ref="CC75:CK75" si="407">SUM(CC72/CC73)</f>
        <v>0.70813341822444875</v>
      </c>
      <c r="CD75" s="412">
        <f t="shared" si="407"/>
        <v>0.739719556293297</v>
      </c>
      <c r="CE75" s="412">
        <f t="shared" si="407"/>
        <v>0.75007874081153214</v>
      </c>
      <c r="CF75" s="412">
        <f t="shared" si="407"/>
        <v>0.74618082864966961</v>
      </c>
      <c r="CG75" s="412">
        <f t="shared" si="407"/>
        <v>0.76865903897206478</v>
      </c>
      <c r="CH75" s="412">
        <f t="shared" si="407"/>
        <v>0.79003658831833545</v>
      </c>
      <c r="CI75" s="414">
        <f t="shared" si="407"/>
        <v>0.77098019358525449</v>
      </c>
      <c r="CJ75" s="412">
        <f t="shared" si="407"/>
        <v>0.7405422143963083</v>
      </c>
      <c r="CK75" s="412">
        <f t="shared" si="407"/>
        <v>0.73874644812340229</v>
      </c>
      <c r="CL75" s="412">
        <f t="shared" ref="CL75:CQ75" si="408">SUM(CL72/CL73)</f>
        <v>0.73996088809780314</v>
      </c>
      <c r="CM75" s="412">
        <f t="shared" si="408"/>
        <v>0.72101368895388562</v>
      </c>
      <c r="CN75" s="412">
        <f t="shared" si="408"/>
        <v>0.70460286174976161</v>
      </c>
      <c r="CO75" s="412">
        <f t="shared" si="408"/>
        <v>0.70549936102727917</v>
      </c>
      <c r="CP75" s="412">
        <f t="shared" si="408"/>
        <v>0.69049778310623888</v>
      </c>
      <c r="CQ75" s="412">
        <f t="shared" si="408"/>
        <v>0.69165386682810626</v>
      </c>
      <c r="CR75" s="412">
        <f t="shared" ref="CR75:DJ75" si="409">SUM(CR72/CR73)</f>
        <v>0.71100596465830646</v>
      </c>
      <c r="CS75" s="412">
        <f t="shared" si="409"/>
        <v>0.70812145288238804</v>
      </c>
      <c r="CT75" s="413">
        <f t="shared" si="409"/>
        <v>0.72353509235013802</v>
      </c>
      <c r="CU75" s="412">
        <f t="shared" si="409"/>
        <v>0.70838616473371474</v>
      </c>
      <c r="CV75" s="412">
        <f t="shared" si="409"/>
        <v>0.67854164699389563</v>
      </c>
      <c r="CW75" s="412">
        <f t="shared" si="409"/>
        <v>0.68068411157080533</v>
      </c>
      <c r="CX75" s="412">
        <f t="shared" si="409"/>
        <v>0.67474457473752747</v>
      </c>
      <c r="CY75" s="412">
        <f t="shared" si="409"/>
        <v>0.67871494780858888</v>
      </c>
      <c r="CZ75" s="412">
        <f t="shared" si="409"/>
        <v>0.68675064845577916</v>
      </c>
      <c r="DA75" s="412">
        <f t="shared" si="409"/>
        <v>0.67762930295655788</v>
      </c>
      <c r="DB75" s="412">
        <f t="shared" si="409"/>
        <v>0.67633441582980758</v>
      </c>
      <c r="DC75" s="412">
        <f t="shared" si="409"/>
        <v>0.68227101637627863</v>
      </c>
      <c r="DD75" s="412">
        <f t="shared" si="409"/>
        <v>0.65962691441378862</v>
      </c>
      <c r="DE75" s="412">
        <f t="shared" si="409"/>
        <v>0.69640747107920165</v>
      </c>
      <c r="DF75" s="413">
        <f t="shared" si="409"/>
        <v>0.70273577131843257</v>
      </c>
      <c r="DG75" s="492">
        <f t="shared" si="409"/>
        <v>0.70673432895989763</v>
      </c>
      <c r="DH75" s="492">
        <f t="shared" si="409"/>
        <v>0.70331476661392267</v>
      </c>
      <c r="DI75" s="492">
        <f t="shared" si="409"/>
        <v>0.69949048193072294</v>
      </c>
      <c r="DJ75" s="492">
        <f t="shared" si="409"/>
        <v>0.74394024319355956</v>
      </c>
      <c r="DK75" s="492">
        <f t="shared" ref="DK75:FN75" si="410">SUM(DK72/DK73)</f>
        <v>0.77488473569500282</v>
      </c>
      <c r="DL75" s="492">
        <f t="shared" si="410"/>
        <v>0.7683820201861411</v>
      </c>
      <c r="DM75" s="492">
        <f t="shared" si="410"/>
        <v>0.77235296542335852</v>
      </c>
      <c r="DN75" s="492">
        <f t="shared" si="410"/>
        <v>0.77135063274495397</v>
      </c>
      <c r="DO75" s="492">
        <f t="shared" si="410"/>
        <v>0.77385969700703228</v>
      </c>
      <c r="DP75" s="492">
        <f t="shared" si="410"/>
        <v>0.79493587180512404</v>
      </c>
      <c r="DQ75" s="492">
        <f t="shared" si="410"/>
        <v>0.78962234017284205</v>
      </c>
      <c r="DR75" s="492">
        <f t="shared" si="410"/>
        <v>0.79658128547315532</v>
      </c>
      <c r="DS75" s="492">
        <f t="shared" si="410"/>
        <v>0.81386306092231309</v>
      </c>
      <c r="DT75" s="492">
        <f t="shared" si="410"/>
        <v>0.81724306774242783</v>
      </c>
      <c r="DU75" s="492">
        <f t="shared" si="410"/>
        <v>0.81891089987157373</v>
      </c>
      <c r="DV75" s="493">
        <f t="shared" si="410"/>
        <v>0.82396903249088271</v>
      </c>
      <c r="DW75" s="493">
        <f t="shared" si="410"/>
        <v>0.81271358178184716</v>
      </c>
      <c r="DX75" s="493">
        <f t="shared" si="410"/>
        <v>0.82268040091907879</v>
      </c>
      <c r="DY75" s="493">
        <f t="shared" si="410"/>
        <v>0.82662617140700156</v>
      </c>
      <c r="DZ75" s="493">
        <f t="shared" si="410"/>
        <v>0.82926634078645478</v>
      </c>
      <c r="EA75" s="493">
        <f t="shared" si="410"/>
        <v>0.83215165122001178</v>
      </c>
      <c r="EB75" s="493">
        <f t="shared" si="410"/>
        <v>0.82719127737072828</v>
      </c>
      <c r="EC75" s="493">
        <f t="shared" si="410"/>
        <v>0.8379332283679799</v>
      </c>
      <c r="ED75" s="493">
        <f t="shared" si="410"/>
        <v>0.8307580217498356</v>
      </c>
      <c r="EE75" s="493">
        <f t="shared" si="410"/>
        <v>0.82986242772623797</v>
      </c>
      <c r="EF75" s="493">
        <f t="shared" si="410"/>
        <v>0.84211612084406318</v>
      </c>
      <c r="EG75" s="493">
        <f t="shared" si="410"/>
        <v>0.8517269548826687</v>
      </c>
      <c r="EH75" s="493">
        <f t="shared" si="410"/>
        <v>0.845198388941927</v>
      </c>
      <c r="EI75" s="493">
        <f t="shared" si="410"/>
        <v>0.84417689777932625</v>
      </c>
      <c r="EJ75" s="493">
        <f t="shared" si="410"/>
        <v>0.86208368004242053</v>
      </c>
      <c r="EK75" s="493">
        <f t="shared" si="410"/>
        <v>0.86390243526853849</v>
      </c>
      <c r="EL75" s="493">
        <f t="shared" si="410"/>
        <v>0.84917131175993099</v>
      </c>
      <c r="EM75" s="493">
        <f t="shared" si="410"/>
        <v>0.84812054926234193</v>
      </c>
      <c r="EN75" s="493">
        <f t="shared" si="410"/>
        <v>0.85653197979091766</v>
      </c>
      <c r="EO75" s="493">
        <f t="shared" si="410"/>
        <v>0.85625660215249422</v>
      </c>
      <c r="EP75" s="493">
        <f t="shared" si="410"/>
        <v>0.85277906231378153</v>
      </c>
      <c r="EQ75" s="493">
        <f t="shared" si="410"/>
        <v>0.85854984311112648</v>
      </c>
      <c r="ER75" s="493">
        <f t="shared" si="410"/>
        <v>0.84971415160034347</v>
      </c>
      <c r="ES75" s="493">
        <f t="shared" si="410"/>
        <v>0.84727382445839794</v>
      </c>
      <c r="ET75" s="493">
        <f t="shared" si="410"/>
        <v>0.84950869978445787</v>
      </c>
      <c r="EU75" s="493">
        <f t="shared" si="410"/>
        <v>0.84436801873771228</v>
      </c>
      <c r="EV75" s="493">
        <f t="shared" si="410"/>
        <v>0.844057039873505</v>
      </c>
      <c r="EW75" s="493">
        <f t="shared" si="410"/>
        <v>0.84905570669931152</v>
      </c>
      <c r="EX75" s="493">
        <f t="shared" si="410"/>
        <v>0.83973535126710019</v>
      </c>
      <c r="EY75" s="493">
        <f t="shared" si="410"/>
        <v>0.84101124513732317</v>
      </c>
      <c r="EZ75" s="493">
        <f t="shared" si="410"/>
        <v>0.84574485759060181</v>
      </c>
      <c r="FA75" s="493">
        <f t="shared" si="410"/>
        <v>0.84051254132393582</v>
      </c>
      <c r="FB75" s="493">
        <f t="shared" si="410"/>
        <v>0.84157752455533252</v>
      </c>
      <c r="FC75" s="493">
        <f t="shared" si="410"/>
        <v>0.84540290170215004</v>
      </c>
      <c r="FD75" s="493">
        <f t="shared" si="410"/>
        <v>0.82725225663133306</v>
      </c>
      <c r="FE75" s="493">
        <f t="shared" si="410"/>
        <v>0.82963267149966236</v>
      </c>
      <c r="FF75" s="493">
        <f t="shared" si="410"/>
        <v>0.82996685561808303</v>
      </c>
      <c r="FG75" s="493">
        <f t="shared" si="410"/>
        <v>0.82605129496532193</v>
      </c>
      <c r="FH75" s="493">
        <f t="shared" si="410"/>
        <v>0.81906865458255329</v>
      </c>
      <c r="FI75" s="493">
        <f t="shared" si="410"/>
        <v>0.82333565687437227</v>
      </c>
      <c r="FJ75" s="493">
        <f t="shared" si="410"/>
        <v>0.81930760112044798</v>
      </c>
      <c r="FK75" s="493">
        <f t="shared" si="410"/>
        <v>0.81991446404989476</v>
      </c>
      <c r="FL75" s="493">
        <f t="shared" si="410"/>
        <v>0.82566887704136704</v>
      </c>
      <c r="FM75" s="493">
        <f t="shared" si="410"/>
        <v>0.82938943180532898</v>
      </c>
      <c r="FN75" s="493">
        <f t="shared" si="410"/>
        <v>0.82846092308798291</v>
      </c>
      <c r="FO75" s="493">
        <f t="shared" ref="FO75:FQ75" si="411">SUM(FO72/FO73)</f>
        <v>0.82831458274186598</v>
      </c>
      <c r="FP75" s="493">
        <f t="shared" si="411"/>
        <v>0.83697664750730205</v>
      </c>
      <c r="FQ75" s="493">
        <f t="shared" si="411"/>
        <v>0.83436419774215265</v>
      </c>
      <c r="FR75" s="493">
        <f t="shared" ref="FR75:FT75" si="412">SUM(FR72/FR73)</f>
        <v>0.83775068282751119</v>
      </c>
      <c r="FS75" s="493">
        <f t="shared" si="412"/>
        <v>0.82737139311413843</v>
      </c>
      <c r="FT75" s="493">
        <f t="shared" si="412"/>
        <v>0.82420370903275197</v>
      </c>
    </row>
    <row r="76" spans="2:176" s="387" customFormat="1" hidden="1" x14ac:dyDescent="0.25">
      <c r="B76" s="390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47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47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7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G76" s="374"/>
      <c r="DH76" s="374"/>
      <c r="DI76" s="374"/>
      <c r="DJ76" s="374"/>
      <c r="DK76" s="374"/>
      <c r="DL76" s="374"/>
      <c r="DM76" s="374"/>
      <c r="DN76" s="374"/>
      <c r="DO76" s="374"/>
      <c r="DP76" s="374"/>
      <c r="DQ76" s="374"/>
      <c r="DR76" s="374"/>
      <c r="DS76" s="374"/>
      <c r="DT76" s="375"/>
      <c r="DU76" s="374"/>
      <c r="DV76" s="376"/>
      <c r="DW76" s="376"/>
      <c r="DX76" s="376"/>
      <c r="DY76" s="374"/>
      <c r="DZ76" s="375"/>
      <c r="EA76" s="374"/>
      <c r="EB76" s="374"/>
      <c r="EC76" s="374"/>
      <c r="ED76" s="374"/>
      <c r="EE76" s="375"/>
      <c r="EF76" s="374"/>
      <c r="EG76" s="374"/>
      <c r="EH76" s="374"/>
      <c r="EI76" s="374"/>
      <c r="EJ76" s="374"/>
      <c r="EK76" s="374"/>
      <c r="EL76" s="374"/>
      <c r="EM76" s="374"/>
      <c r="ET76" s="388"/>
      <c r="EU76" s="388"/>
      <c r="EV76" s="388"/>
    </row>
    <row r="77" spans="2:176" s="387" customFormat="1" x14ac:dyDescent="0.25">
      <c r="B77" s="384" t="s">
        <v>55</v>
      </c>
      <c r="C77" s="385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5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5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5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5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5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7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G77" s="374"/>
      <c r="DH77" s="374"/>
      <c r="DI77" s="374"/>
      <c r="DJ77" s="374"/>
      <c r="DK77" s="374"/>
      <c r="DL77" s="374"/>
      <c r="DM77" s="374"/>
      <c r="DN77" s="374"/>
      <c r="DO77" s="374"/>
      <c r="DP77" s="374"/>
      <c r="DQ77" s="374"/>
      <c r="DR77" s="374"/>
      <c r="DS77" s="374"/>
      <c r="DT77" s="375"/>
      <c r="DU77" s="374"/>
      <c r="DV77" s="376"/>
      <c r="DW77" s="376"/>
      <c r="DX77" s="376"/>
      <c r="DY77" s="374"/>
      <c r="DZ77" s="375"/>
      <c r="EA77" s="374"/>
      <c r="EB77" s="374"/>
      <c r="EC77" s="374"/>
      <c r="ED77" s="374"/>
      <c r="EE77" s="375"/>
      <c r="EF77" s="374"/>
      <c r="EG77" s="374"/>
      <c r="EH77" s="374"/>
      <c r="EI77" s="374"/>
      <c r="EJ77" s="374"/>
      <c r="EK77" s="374"/>
      <c r="EL77" s="374"/>
      <c r="EM77" s="374"/>
      <c r="ET77" s="388"/>
      <c r="EU77" s="388"/>
      <c r="EV77" s="388"/>
    </row>
    <row r="78" spans="2:176" s="387" customFormat="1" x14ac:dyDescent="0.25">
      <c r="B78" s="390" t="s">
        <v>1</v>
      </c>
      <c r="C78" s="385">
        <v>25480.23</v>
      </c>
      <c r="D78" s="347">
        <v>25480.23</v>
      </c>
      <c r="E78" s="347">
        <v>29237.991999999998</v>
      </c>
      <c r="F78" s="347">
        <v>27985.363999999998</v>
      </c>
      <c r="G78" s="347">
        <v>26500.456000000002</v>
      </c>
      <c r="H78" s="347">
        <v>28218.807000000001</v>
      </c>
      <c r="I78" s="347">
        <v>27076.575000000001</v>
      </c>
      <c r="J78" s="347">
        <v>24987.457000000002</v>
      </c>
      <c r="K78" s="347">
        <v>26266.613000000001</v>
      </c>
      <c r="L78" s="347">
        <v>25792.135999999999</v>
      </c>
      <c r="M78" s="347">
        <v>26037.058000000001</v>
      </c>
      <c r="N78" s="348">
        <v>26258.975999999999</v>
      </c>
      <c r="O78" s="385">
        <v>25732</v>
      </c>
      <c r="P78" s="347">
        <v>25504</v>
      </c>
      <c r="Q78" s="347">
        <v>24858</v>
      </c>
      <c r="R78" s="347">
        <v>25223.062999999998</v>
      </c>
      <c r="S78" s="347">
        <v>24973.164000000001</v>
      </c>
      <c r="T78" s="347">
        <v>24525.228000000003</v>
      </c>
      <c r="U78" s="347">
        <v>23061.465000000004</v>
      </c>
      <c r="V78" s="347">
        <v>25553.473999999998</v>
      </c>
      <c r="W78" s="347">
        <v>31858.302000000003</v>
      </c>
      <c r="X78" s="347">
        <v>30922</v>
      </c>
      <c r="Y78" s="347">
        <v>31690</v>
      </c>
      <c r="Z78" s="348">
        <v>31779</v>
      </c>
      <c r="AA78" s="385">
        <v>31743.5</v>
      </c>
      <c r="AB78" s="347">
        <v>39216.1</v>
      </c>
      <c r="AC78" s="347">
        <v>39868.199999999997</v>
      </c>
      <c r="AD78" s="347">
        <v>39255.199999999997</v>
      </c>
      <c r="AE78" s="347">
        <v>39147.599999999999</v>
      </c>
      <c r="AF78" s="347">
        <v>39485.5</v>
      </c>
      <c r="AG78" s="347">
        <v>38552.199999999997</v>
      </c>
      <c r="AH78" s="347">
        <v>38907.9</v>
      </c>
      <c r="AI78" s="347">
        <v>39235.300000000003</v>
      </c>
      <c r="AJ78" s="347">
        <v>39411.828000000001</v>
      </c>
      <c r="AK78" s="347">
        <v>38720.383999999998</v>
      </c>
      <c r="AL78" s="348">
        <v>39051.813000000002</v>
      </c>
      <c r="AM78" s="385">
        <v>36320</v>
      </c>
      <c r="AN78" s="347">
        <v>29895</v>
      </c>
      <c r="AO78" s="347">
        <v>29787</v>
      </c>
      <c r="AP78" s="347">
        <v>29492</v>
      </c>
      <c r="AQ78" s="347">
        <f>28442.9</f>
        <v>28442.9</v>
      </c>
      <c r="AR78" s="347">
        <v>28430.400000000001</v>
      </c>
      <c r="AS78" s="347">
        <v>28263.7</v>
      </c>
      <c r="AT78" s="347">
        <v>26707.9</v>
      </c>
      <c r="AU78" s="347">
        <v>29335.5</v>
      </c>
      <c r="AV78" s="347">
        <v>28266.7</v>
      </c>
      <c r="AW78" s="347">
        <v>27890.6</v>
      </c>
      <c r="AX78" s="348">
        <v>28588.2</v>
      </c>
      <c r="AY78" s="385">
        <v>28449</v>
      </c>
      <c r="AZ78" s="347">
        <v>28183</v>
      </c>
      <c r="BA78" s="347">
        <v>27632</v>
      </c>
      <c r="BB78" s="347">
        <v>27939</v>
      </c>
      <c r="BC78" s="347">
        <v>27640</v>
      </c>
      <c r="BD78" s="347">
        <v>27343</v>
      </c>
      <c r="BE78" s="347">
        <v>27189</v>
      </c>
      <c r="BF78" s="347">
        <v>24454.9</v>
      </c>
      <c r="BG78" s="347">
        <v>24537.599999999999</v>
      </c>
      <c r="BH78" s="347">
        <v>24325.9</v>
      </c>
      <c r="BI78" s="347">
        <v>23881.599999999999</v>
      </c>
      <c r="BJ78" s="348">
        <v>24165.599999999999</v>
      </c>
      <c r="BK78" s="385">
        <v>24228.6</v>
      </c>
      <c r="BL78" s="347">
        <v>22394.9</v>
      </c>
      <c r="BM78" s="347">
        <v>14928.9</v>
      </c>
      <c r="BN78" s="347">
        <v>14856.329</v>
      </c>
      <c r="BO78" s="347">
        <v>14416.78</v>
      </c>
      <c r="BP78" s="347">
        <v>14443.507</v>
      </c>
      <c r="BQ78" s="347">
        <f>14229</f>
        <v>14229</v>
      </c>
      <c r="BR78" s="347">
        <v>13941</v>
      </c>
      <c r="BS78" s="347">
        <v>13750</v>
      </c>
      <c r="BT78" s="347">
        <v>13700.7</v>
      </c>
      <c r="BU78" s="347">
        <v>13538.3</v>
      </c>
      <c r="BV78" s="347">
        <v>13623.6</v>
      </c>
      <c r="BW78" s="386">
        <v>13923</v>
      </c>
      <c r="BX78" s="347">
        <v>12698</v>
      </c>
      <c r="BY78" s="347">
        <v>12462</v>
      </c>
      <c r="BZ78" s="347">
        <v>12487.9</v>
      </c>
      <c r="CA78" s="347">
        <v>12446.3</v>
      </c>
      <c r="CB78" s="347">
        <v>12413.4</v>
      </c>
      <c r="CC78" s="347">
        <v>12319.905000000001</v>
      </c>
      <c r="CD78" s="347">
        <v>12279.556</v>
      </c>
      <c r="CE78" s="347">
        <v>12141.64</v>
      </c>
      <c r="CF78" s="347">
        <v>12001</v>
      </c>
      <c r="CG78" s="347">
        <v>11940</v>
      </c>
      <c r="CH78" s="348">
        <v>12102</v>
      </c>
      <c r="CI78" s="386">
        <v>12902</v>
      </c>
      <c r="CJ78" s="347">
        <v>10764</v>
      </c>
      <c r="CK78" s="347">
        <v>10725</v>
      </c>
      <c r="CL78" s="347">
        <v>10623</v>
      </c>
      <c r="CM78" s="347">
        <v>10514</v>
      </c>
      <c r="CN78" s="347">
        <v>10347</v>
      </c>
      <c r="CO78" s="347">
        <v>13078</v>
      </c>
      <c r="CP78" s="347">
        <v>13535</v>
      </c>
      <c r="CQ78" s="347">
        <v>12584.6</v>
      </c>
      <c r="CR78" s="347">
        <v>12822.5</v>
      </c>
      <c r="CS78" s="347">
        <v>12689.7</v>
      </c>
      <c r="CT78" s="348">
        <v>13022</v>
      </c>
      <c r="CU78" s="347">
        <v>14056.138999999999</v>
      </c>
      <c r="CV78" s="347">
        <v>12571.727999999999</v>
      </c>
      <c r="CW78" s="347">
        <v>12480.651</v>
      </c>
      <c r="CX78" s="347">
        <v>12429.6</v>
      </c>
      <c r="CY78" s="347">
        <v>12498.5</v>
      </c>
      <c r="CZ78" s="347">
        <v>12580.4</v>
      </c>
      <c r="DA78" s="347">
        <v>12380.5</v>
      </c>
      <c r="DB78" s="347">
        <v>12179</v>
      </c>
      <c r="DC78" s="347">
        <v>12262.1</v>
      </c>
      <c r="DD78" s="347">
        <v>12016.9</v>
      </c>
      <c r="DE78" s="347">
        <v>11640</v>
      </c>
      <c r="DF78" s="348">
        <v>11607.4</v>
      </c>
      <c r="DG78" s="374">
        <v>11551.3</v>
      </c>
      <c r="DH78" s="374">
        <v>16853.900000000001</v>
      </c>
      <c r="DI78" s="374">
        <v>18128.900000000001</v>
      </c>
      <c r="DJ78" s="374">
        <v>18209.599999999999</v>
      </c>
      <c r="DK78" s="374">
        <v>18137</v>
      </c>
      <c r="DL78" s="374">
        <v>17979.7</v>
      </c>
      <c r="DM78" s="374">
        <v>14959.9</v>
      </c>
      <c r="DN78" s="374">
        <v>14892.9</v>
      </c>
      <c r="DO78" s="374">
        <v>14736.5</v>
      </c>
      <c r="DP78" s="374">
        <v>14678</v>
      </c>
      <c r="DQ78" s="374">
        <v>14614.2</v>
      </c>
      <c r="DR78" s="374">
        <v>14610.9</v>
      </c>
      <c r="DS78" s="374">
        <v>14560.8</v>
      </c>
      <c r="DT78" s="375">
        <v>14392</v>
      </c>
      <c r="DU78" s="374">
        <v>14310.8</v>
      </c>
      <c r="DV78" s="376">
        <v>14211.6</v>
      </c>
      <c r="DW78" s="376">
        <v>13976.3</v>
      </c>
      <c r="DX78" s="376">
        <v>13448</v>
      </c>
      <c r="DY78" s="374">
        <v>13761.5</v>
      </c>
      <c r="DZ78" s="375">
        <v>13598.5</v>
      </c>
      <c r="EA78" s="374">
        <v>13681</v>
      </c>
      <c r="EB78" s="374">
        <v>13525.7</v>
      </c>
      <c r="EC78" s="374">
        <v>13500.6</v>
      </c>
      <c r="ED78" s="374">
        <v>13475.6</v>
      </c>
      <c r="EE78" s="375">
        <v>13467.5</v>
      </c>
      <c r="EF78" s="374">
        <v>14111.5</v>
      </c>
      <c r="EG78" s="374">
        <v>14151.1</v>
      </c>
      <c r="EH78" s="374">
        <v>14123.2</v>
      </c>
      <c r="EI78" s="374">
        <v>13938.2</v>
      </c>
      <c r="EJ78" s="374">
        <v>13919.8</v>
      </c>
      <c r="EK78" s="374">
        <v>14383</v>
      </c>
      <c r="EL78" s="374">
        <v>13010.9</v>
      </c>
      <c r="EM78" s="374">
        <v>12503.8</v>
      </c>
      <c r="EN78" s="387">
        <v>13065.2</v>
      </c>
      <c r="EO78" s="387">
        <v>13349.9</v>
      </c>
      <c r="EP78" s="387">
        <v>13332.8</v>
      </c>
      <c r="EQ78" s="387">
        <v>13311.7</v>
      </c>
      <c r="ER78" s="387">
        <v>13195.1</v>
      </c>
      <c r="ES78" s="387">
        <v>13180.4</v>
      </c>
      <c r="ET78" s="297">
        <v>13163.9</v>
      </c>
      <c r="EU78" s="388">
        <v>13124.3</v>
      </c>
      <c r="EV78" s="388">
        <v>13150.7</v>
      </c>
      <c r="EW78" s="387">
        <v>13094.8</v>
      </c>
      <c r="EX78" s="387">
        <v>13047.1</v>
      </c>
      <c r="EY78" s="387">
        <v>13006.1</v>
      </c>
      <c r="EZ78" s="387">
        <v>12926.2</v>
      </c>
      <c r="FA78" s="387">
        <v>12900.2</v>
      </c>
      <c r="FB78" s="387">
        <v>13056.1</v>
      </c>
      <c r="FC78" s="387">
        <v>13049.2</v>
      </c>
      <c r="FD78" s="387">
        <v>12977.2</v>
      </c>
      <c r="FE78" s="387">
        <v>12967.4</v>
      </c>
      <c r="FF78" s="387">
        <v>12940.5</v>
      </c>
      <c r="FG78" s="387">
        <v>12895.5</v>
      </c>
      <c r="FH78" s="387">
        <v>12825.9</v>
      </c>
      <c r="FI78" s="387">
        <v>11916.5</v>
      </c>
      <c r="FJ78" s="387">
        <v>11926.7</v>
      </c>
      <c r="FK78" s="387">
        <v>11900.5</v>
      </c>
      <c r="FL78" s="387">
        <v>11898.4</v>
      </c>
      <c r="FM78" s="387">
        <v>11882</v>
      </c>
      <c r="FN78" s="387">
        <v>11840</v>
      </c>
      <c r="FO78" s="387">
        <v>11838.1</v>
      </c>
      <c r="FP78" s="387">
        <v>11803.4</v>
      </c>
      <c r="FQ78" s="387">
        <v>11779.2</v>
      </c>
      <c r="FR78" s="387">
        <v>11753.7</v>
      </c>
      <c r="FS78" s="387">
        <v>11718.6</v>
      </c>
      <c r="FT78" s="387">
        <v>11781.2</v>
      </c>
    </row>
    <row r="79" spans="2:176" s="387" customFormat="1" ht="13.8" thickBot="1" x14ac:dyDescent="0.3">
      <c r="B79" s="391" t="s">
        <v>8</v>
      </c>
      <c r="C79" s="392">
        <v>0</v>
      </c>
      <c r="D79" s="393">
        <v>4425.7740000000013</v>
      </c>
      <c r="E79" s="393">
        <v>12322.069000000003</v>
      </c>
      <c r="F79" s="393">
        <v>14178.679</v>
      </c>
      <c r="G79" s="393">
        <v>14359.715</v>
      </c>
      <c r="H79" s="393">
        <v>14728.572</v>
      </c>
      <c r="I79" s="393">
        <v>15395.927000000007</v>
      </c>
      <c r="J79" s="393">
        <v>15452.277999999998</v>
      </c>
      <c r="K79" s="393">
        <v>17227.71</v>
      </c>
      <c r="L79" s="393">
        <v>16158.416000000005</v>
      </c>
      <c r="M79" s="393">
        <v>16282.549000000003</v>
      </c>
      <c r="N79" s="394">
        <v>16010.791999999998</v>
      </c>
      <c r="O79" s="392">
        <v>17020</v>
      </c>
      <c r="P79" s="393">
        <v>17444</v>
      </c>
      <c r="Q79" s="393">
        <v>17518</v>
      </c>
      <c r="R79" s="393">
        <v>17497.887000000006</v>
      </c>
      <c r="S79" s="393">
        <v>17558.768999999989</v>
      </c>
      <c r="T79" s="393">
        <v>17881.259999999998</v>
      </c>
      <c r="U79" s="393">
        <v>10859.849000000002</v>
      </c>
      <c r="V79" s="393">
        <v>32919.928</v>
      </c>
      <c r="W79" s="393">
        <v>2989.81</v>
      </c>
      <c r="X79" s="393">
        <v>10345</v>
      </c>
      <c r="Y79" s="393">
        <v>10427</v>
      </c>
      <c r="Z79" s="394">
        <v>10533</v>
      </c>
      <c r="AA79" s="392">
        <v>10491</v>
      </c>
      <c r="AB79" s="393">
        <v>2528.3000000000002</v>
      </c>
      <c r="AC79" s="393">
        <v>2612.8000000000002</v>
      </c>
      <c r="AD79" s="393">
        <v>2411</v>
      </c>
      <c r="AE79" s="393">
        <v>2535.4</v>
      </c>
      <c r="AF79" s="393">
        <v>2440.3000000000002</v>
      </c>
      <c r="AG79" s="393">
        <v>2459.3000000000002</v>
      </c>
      <c r="AH79" s="393">
        <v>2386.6999999999998</v>
      </c>
      <c r="AI79" s="393">
        <v>2327.6999999999998</v>
      </c>
      <c r="AJ79" s="393">
        <v>2381.299</v>
      </c>
      <c r="AK79" s="393">
        <v>2455.6460000000002</v>
      </c>
      <c r="AL79" s="394">
        <v>2525.1840000000002</v>
      </c>
      <c r="AM79" s="392">
        <v>5804.4</v>
      </c>
      <c r="AN79" s="393">
        <v>10721.1</v>
      </c>
      <c r="AO79" s="393">
        <v>13753.8</v>
      </c>
      <c r="AP79" s="393">
        <v>11963.7</v>
      </c>
      <c r="AQ79" s="393">
        <v>12124.4</v>
      </c>
      <c r="AR79" s="393">
        <v>12219.1</v>
      </c>
      <c r="AS79" s="393">
        <v>12581.7</v>
      </c>
      <c r="AT79" s="393">
        <v>11936.9</v>
      </c>
      <c r="AU79" s="393">
        <v>13390.7</v>
      </c>
      <c r="AV79" s="393">
        <v>12842</v>
      </c>
      <c r="AW79" s="393">
        <v>13383.3</v>
      </c>
      <c r="AX79" s="394">
        <v>12869.5</v>
      </c>
      <c r="AY79" s="392">
        <f>13459.7</f>
        <v>13459.7</v>
      </c>
      <c r="AZ79" s="393">
        <v>13559.7</v>
      </c>
      <c r="BA79" s="393">
        <v>13658.4</v>
      </c>
      <c r="BB79" s="393">
        <v>13687</v>
      </c>
      <c r="BC79" s="393">
        <v>13854</v>
      </c>
      <c r="BD79" s="393">
        <v>14071</v>
      </c>
      <c r="BE79" s="393">
        <v>14714</v>
      </c>
      <c r="BF79" s="393">
        <v>17085.099999999999</v>
      </c>
      <c r="BG79" s="393">
        <v>17174.900000000001</v>
      </c>
      <c r="BH79" s="393">
        <v>17389.2</v>
      </c>
      <c r="BI79" s="393">
        <v>17861.400000000001</v>
      </c>
      <c r="BJ79" s="394">
        <v>17882.3</v>
      </c>
      <c r="BK79" s="392">
        <v>18726.099999999999</v>
      </c>
      <c r="BL79" s="393">
        <v>20387</v>
      </c>
      <c r="BM79" s="393">
        <v>26113.1</v>
      </c>
      <c r="BN79" s="393">
        <v>26915.334999999999</v>
      </c>
      <c r="BO79" s="393">
        <v>27129.968000000001</v>
      </c>
      <c r="BP79" s="393">
        <v>27153.784</v>
      </c>
      <c r="BQ79" s="393">
        <v>27201</v>
      </c>
      <c r="BR79" s="393">
        <v>27308</v>
      </c>
      <c r="BS79" s="393">
        <v>27422</v>
      </c>
      <c r="BT79" s="393">
        <v>27469</v>
      </c>
      <c r="BU79" s="393">
        <v>27758.9</v>
      </c>
      <c r="BV79" s="393">
        <v>29209.8</v>
      </c>
      <c r="BW79" s="395">
        <v>31346</v>
      </c>
      <c r="BX79" s="393">
        <v>28849</v>
      </c>
      <c r="BY79" s="393">
        <v>28770</v>
      </c>
      <c r="BZ79" s="393">
        <v>28656.3</v>
      </c>
      <c r="CA79" s="393">
        <v>28469</v>
      </c>
      <c r="CB79" s="393">
        <v>28875.7</v>
      </c>
      <c r="CC79" s="393">
        <v>28662.517</v>
      </c>
      <c r="CD79" s="393">
        <v>28656.26</v>
      </c>
      <c r="CE79" s="393">
        <v>28909.557000000001</v>
      </c>
      <c r="CF79" s="393">
        <v>29124</v>
      </c>
      <c r="CG79" s="393">
        <v>29326</v>
      </c>
      <c r="CH79" s="394">
        <v>30423</v>
      </c>
      <c r="CI79" s="395">
        <v>32232</v>
      </c>
      <c r="CJ79" s="393">
        <v>30467</v>
      </c>
      <c r="CK79" s="393">
        <v>30696</v>
      </c>
      <c r="CL79" s="393">
        <v>30868</v>
      </c>
      <c r="CM79" s="393">
        <v>30279</v>
      </c>
      <c r="CN79" s="393">
        <v>30354</v>
      </c>
      <c r="CO79" s="393">
        <v>27373.7</v>
      </c>
      <c r="CP79" s="393">
        <v>27326.799999999999</v>
      </c>
      <c r="CQ79" s="393">
        <v>27507</v>
      </c>
      <c r="CR79" s="393">
        <v>27752.3</v>
      </c>
      <c r="CS79" s="393">
        <v>27956.9</v>
      </c>
      <c r="CT79" s="394">
        <v>29200.7</v>
      </c>
      <c r="CU79" s="393">
        <f>30490.628</f>
        <v>30490.628000000001</v>
      </c>
      <c r="CV79" s="393">
        <v>28034.761999999999</v>
      </c>
      <c r="CW79" s="393">
        <v>27849.498</v>
      </c>
      <c r="CX79" s="393">
        <v>27806.799999999999</v>
      </c>
      <c r="CY79" s="393">
        <v>27467.7</v>
      </c>
      <c r="CZ79" s="393">
        <v>27482.1</v>
      </c>
      <c r="DA79" s="393">
        <v>27515.200000000001</v>
      </c>
      <c r="DB79" s="393">
        <v>27477</v>
      </c>
      <c r="DC79" s="393">
        <v>27753.7</v>
      </c>
      <c r="DD79" s="393">
        <v>27874.7</v>
      </c>
      <c r="DE79" s="393">
        <v>28523.599999999999</v>
      </c>
      <c r="DF79" s="394">
        <v>28627.4</v>
      </c>
      <c r="DG79" s="374">
        <v>28946.9</v>
      </c>
      <c r="DH79" s="374">
        <v>13628.8</v>
      </c>
      <c r="DI79" s="374">
        <v>20241.3</v>
      </c>
      <c r="DJ79" s="374">
        <v>20515.900000000001</v>
      </c>
      <c r="DK79" s="374">
        <v>21303.1</v>
      </c>
      <c r="DL79" s="374">
        <v>21312</v>
      </c>
      <c r="DM79" s="374">
        <v>24221.200000000001</v>
      </c>
      <c r="DN79" s="374">
        <v>24281.200000000001</v>
      </c>
      <c r="DO79" s="374">
        <v>24404.2</v>
      </c>
      <c r="DP79" s="494">
        <v>24519.9</v>
      </c>
      <c r="DQ79" s="494">
        <v>24808.7</v>
      </c>
      <c r="DR79" s="494">
        <v>25229.599999999999</v>
      </c>
      <c r="DS79" s="374">
        <v>25322.9</v>
      </c>
      <c r="DT79" s="375">
        <v>25019.5</v>
      </c>
      <c r="DU79" s="374">
        <v>24973.9</v>
      </c>
      <c r="DV79" s="376">
        <v>24856.400000000001</v>
      </c>
      <c r="DW79" s="376">
        <v>24901.599999999999</v>
      </c>
      <c r="DX79" s="376">
        <v>24821.7</v>
      </c>
      <c r="DY79" s="494">
        <v>24838</v>
      </c>
      <c r="DZ79" s="495">
        <v>24971.599999999999</v>
      </c>
      <c r="EA79" s="494">
        <v>25124</v>
      </c>
      <c r="EB79" s="494">
        <v>25209.599999999999</v>
      </c>
      <c r="EC79" s="494">
        <v>25316.400000000001</v>
      </c>
      <c r="ED79" s="494">
        <v>25627.599999999999</v>
      </c>
      <c r="EE79" s="375">
        <v>25722.799999999999</v>
      </c>
      <c r="EF79" s="374">
        <v>24573.8</v>
      </c>
      <c r="EG79" s="374">
        <v>24437.8</v>
      </c>
      <c r="EH79" s="494">
        <v>24445.1</v>
      </c>
      <c r="EI79" s="494">
        <v>24415.7</v>
      </c>
      <c r="EJ79" s="494">
        <v>24296.1</v>
      </c>
      <c r="EK79" s="494">
        <v>24371.200000000001</v>
      </c>
      <c r="EL79" s="494">
        <v>24300.3</v>
      </c>
      <c r="EM79" s="494">
        <v>24553.5</v>
      </c>
      <c r="EN79" s="393">
        <v>24684.9</v>
      </c>
      <c r="EO79" s="393">
        <v>24699.5</v>
      </c>
      <c r="EP79" s="393">
        <v>25054.400000000001</v>
      </c>
      <c r="EQ79" s="393">
        <v>25499.7</v>
      </c>
      <c r="ER79" s="393">
        <v>24717.5</v>
      </c>
      <c r="ES79" s="393">
        <v>24700.9</v>
      </c>
      <c r="ET79" s="438">
        <v>24702.1</v>
      </c>
      <c r="EU79" s="388">
        <v>24521.3</v>
      </c>
      <c r="EV79" s="388">
        <v>24369.9</v>
      </c>
      <c r="EW79" s="393">
        <v>24268.7</v>
      </c>
      <c r="EX79" s="393">
        <v>24295.3</v>
      </c>
      <c r="EY79" s="393">
        <v>24411.7</v>
      </c>
      <c r="EZ79" s="387">
        <v>25012.7</v>
      </c>
      <c r="FA79" s="387">
        <v>24257.7</v>
      </c>
      <c r="FB79" s="387">
        <v>24725</v>
      </c>
      <c r="FC79" s="387">
        <v>25001.3</v>
      </c>
      <c r="FD79" s="387">
        <v>24617.1</v>
      </c>
      <c r="FE79" s="387">
        <v>24551.4</v>
      </c>
      <c r="FF79" s="393">
        <v>24516.5</v>
      </c>
      <c r="FG79" s="393">
        <v>24391.1</v>
      </c>
      <c r="FH79" s="393">
        <v>24369.3</v>
      </c>
      <c r="FI79" s="393">
        <v>24928.5</v>
      </c>
      <c r="FJ79" s="393">
        <v>24839</v>
      </c>
      <c r="FK79" s="393">
        <v>24947.8</v>
      </c>
      <c r="FL79" s="393">
        <v>24975.3</v>
      </c>
      <c r="FM79" s="393">
        <v>25063.8</v>
      </c>
      <c r="FN79" s="393">
        <v>25231.9</v>
      </c>
      <c r="FO79" s="393">
        <v>25295.9</v>
      </c>
      <c r="FP79" s="393">
        <v>24868</v>
      </c>
      <c r="FQ79" s="393">
        <v>24788.3</v>
      </c>
      <c r="FR79" s="393">
        <v>24766.799999999999</v>
      </c>
      <c r="FS79" s="393">
        <v>24615.5</v>
      </c>
      <c r="FT79" s="393">
        <v>24580</v>
      </c>
    </row>
    <row r="80" spans="2:176" s="387" customFormat="1" ht="13.8" thickTop="1" x14ac:dyDescent="0.25">
      <c r="B80" s="390" t="s">
        <v>9</v>
      </c>
      <c r="C80" s="397">
        <f t="shared" ref="C80:Q80" si="413">SUM(C78:C79)</f>
        <v>25480.23</v>
      </c>
      <c r="D80" s="398">
        <f t="shared" si="413"/>
        <v>29906.004000000001</v>
      </c>
      <c r="E80" s="398">
        <f t="shared" si="413"/>
        <v>41560.061000000002</v>
      </c>
      <c r="F80" s="398">
        <f t="shared" si="413"/>
        <v>42164.042999999998</v>
      </c>
      <c r="G80" s="398">
        <f t="shared" si="413"/>
        <v>40860.171000000002</v>
      </c>
      <c r="H80" s="398">
        <f t="shared" si="413"/>
        <v>42947.379000000001</v>
      </c>
      <c r="I80" s="398">
        <f t="shared" si="413"/>
        <v>42472.502000000008</v>
      </c>
      <c r="J80" s="398">
        <f t="shared" si="413"/>
        <v>40439.735000000001</v>
      </c>
      <c r="K80" s="398">
        <f t="shared" si="413"/>
        <v>43494.323000000004</v>
      </c>
      <c r="L80" s="398">
        <f t="shared" si="413"/>
        <v>41950.552000000003</v>
      </c>
      <c r="M80" s="398">
        <f t="shared" si="413"/>
        <v>42319.607000000004</v>
      </c>
      <c r="N80" s="399">
        <f t="shared" si="413"/>
        <v>42269.767999999996</v>
      </c>
      <c r="O80" s="397">
        <f t="shared" si="413"/>
        <v>42752</v>
      </c>
      <c r="P80" s="398">
        <f t="shared" si="413"/>
        <v>42948</v>
      </c>
      <c r="Q80" s="398">
        <f t="shared" si="413"/>
        <v>42376</v>
      </c>
      <c r="R80" s="398">
        <f t="shared" ref="R80:W80" si="414">SUM(R78:R79)</f>
        <v>42720.950000000004</v>
      </c>
      <c r="S80" s="398">
        <f t="shared" si="414"/>
        <v>42531.93299999999</v>
      </c>
      <c r="T80" s="398">
        <f t="shared" si="414"/>
        <v>42406.487999999998</v>
      </c>
      <c r="U80" s="398">
        <f t="shared" si="414"/>
        <v>33921.314000000006</v>
      </c>
      <c r="V80" s="398">
        <f t="shared" si="414"/>
        <v>58473.402000000002</v>
      </c>
      <c r="W80" s="398">
        <f t="shared" si="414"/>
        <v>34848.112000000001</v>
      </c>
      <c r="X80" s="398">
        <f>SUM(X78:X79)</f>
        <v>41267</v>
      </c>
      <c r="Y80" s="398">
        <f>SUM(Y78:Y79)</f>
        <v>42117</v>
      </c>
      <c r="Z80" s="399">
        <f>SUM(Z78:Z79)</f>
        <v>42312</v>
      </c>
      <c r="AA80" s="397">
        <f t="shared" ref="AA80:AL80" si="415">SUM(AA78:AA79)</f>
        <v>42234.5</v>
      </c>
      <c r="AB80" s="398">
        <f t="shared" si="415"/>
        <v>41744.400000000001</v>
      </c>
      <c r="AC80" s="398">
        <f t="shared" si="415"/>
        <v>42481</v>
      </c>
      <c r="AD80" s="398">
        <f t="shared" si="415"/>
        <v>41666.199999999997</v>
      </c>
      <c r="AE80" s="398">
        <f t="shared" si="415"/>
        <v>41683</v>
      </c>
      <c r="AF80" s="398">
        <f t="shared" si="415"/>
        <v>41925.800000000003</v>
      </c>
      <c r="AG80" s="398">
        <f>SUM(AG78:AG79)</f>
        <v>41011.5</v>
      </c>
      <c r="AH80" s="398">
        <f>SUM(AH78:AH79)</f>
        <v>41294.6</v>
      </c>
      <c r="AI80" s="398">
        <f>SUM(AI78:AI79)</f>
        <v>41563</v>
      </c>
      <c r="AJ80" s="398">
        <f t="shared" si="415"/>
        <v>41793.127</v>
      </c>
      <c r="AK80" s="398">
        <f t="shared" si="415"/>
        <v>41176.03</v>
      </c>
      <c r="AL80" s="399">
        <f t="shared" si="415"/>
        <v>41576.997000000003</v>
      </c>
      <c r="AM80" s="397">
        <f t="shared" ref="AM80:AR80" si="416">SUM(AM78:AM79)</f>
        <v>42124.4</v>
      </c>
      <c r="AN80" s="398">
        <f t="shared" si="416"/>
        <v>40616.1</v>
      </c>
      <c r="AO80" s="398">
        <f t="shared" si="416"/>
        <v>43540.800000000003</v>
      </c>
      <c r="AP80" s="398">
        <f t="shared" si="416"/>
        <v>41455.699999999997</v>
      </c>
      <c r="AQ80" s="398">
        <f t="shared" si="416"/>
        <v>40567.300000000003</v>
      </c>
      <c r="AR80" s="398">
        <f t="shared" si="416"/>
        <v>40649.5</v>
      </c>
      <c r="AS80" s="398">
        <f t="shared" ref="AS80:AX80" si="417">SUM(AS78:AS79)</f>
        <v>40845.4</v>
      </c>
      <c r="AT80" s="398">
        <f t="shared" si="417"/>
        <v>38644.800000000003</v>
      </c>
      <c r="AU80" s="398">
        <f t="shared" si="417"/>
        <v>42726.2</v>
      </c>
      <c r="AV80" s="398">
        <f t="shared" si="417"/>
        <v>41108.699999999997</v>
      </c>
      <c r="AW80" s="398">
        <f t="shared" si="417"/>
        <v>41273.899999999994</v>
      </c>
      <c r="AX80" s="399">
        <f t="shared" si="417"/>
        <v>41457.699999999997</v>
      </c>
      <c r="AY80" s="397">
        <f t="shared" ref="AY80:BJ80" si="418">SUM(AY78:AY79)</f>
        <v>41908.699999999997</v>
      </c>
      <c r="AZ80" s="398">
        <f t="shared" si="418"/>
        <v>41742.699999999997</v>
      </c>
      <c r="BA80" s="398">
        <f t="shared" si="418"/>
        <v>41290.400000000001</v>
      </c>
      <c r="BB80" s="398">
        <f t="shared" si="418"/>
        <v>41626</v>
      </c>
      <c r="BC80" s="398">
        <f t="shared" si="418"/>
        <v>41494</v>
      </c>
      <c r="BD80" s="398">
        <f t="shared" si="418"/>
        <v>41414</v>
      </c>
      <c r="BE80" s="398">
        <f t="shared" si="418"/>
        <v>41903</v>
      </c>
      <c r="BF80" s="398">
        <f t="shared" si="418"/>
        <v>41540</v>
      </c>
      <c r="BG80" s="398">
        <f t="shared" si="418"/>
        <v>41712.5</v>
      </c>
      <c r="BH80" s="398">
        <f t="shared" si="418"/>
        <v>41715.100000000006</v>
      </c>
      <c r="BI80" s="398">
        <f t="shared" si="418"/>
        <v>41743</v>
      </c>
      <c r="BJ80" s="399">
        <f t="shared" si="418"/>
        <v>42047.899999999994</v>
      </c>
      <c r="BK80" s="397">
        <f t="shared" ref="BK80:BP80" si="419">SUM(BK78:BK79)</f>
        <v>42954.7</v>
      </c>
      <c r="BL80" s="398">
        <f t="shared" si="419"/>
        <v>42781.9</v>
      </c>
      <c r="BM80" s="398">
        <f t="shared" si="419"/>
        <v>41042</v>
      </c>
      <c r="BN80" s="398">
        <f t="shared" si="419"/>
        <v>41771.663999999997</v>
      </c>
      <c r="BO80" s="398">
        <f t="shared" si="419"/>
        <v>41546.748</v>
      </c>
      <c r="BP80" s="398">
        <f t="shared" si="419"/>
        <v>41597.290999999997</v>
      </c>
      <c r="BQ80" s="398">
        <f t="shared" ref="BQ80:CB80" si="420">SUM(BQ78:BQ79)</f>
        <v>41430</v>
      </c>
      <c r="BR80" s="398">
        <f t="shared" si="420"/>
        <v>41249</v>
      </c>
      <c r="BS80" s="398">
        <f t="shared" si="420"/>
        <v>41172</v>
      </c>
      <c r="BT80" s="398">
        <f t="shared" si="420"/>
        <v>41169.699999999997</v>
      </c>
      <c r="BU80" s="398">
        <f t="shared" si="420"/>
        <v>41297.199999999997</v>
      </c>
      <c r="BV80" s="400">
        <f t="shared" si="420"/>
        <v>42833.4</v>
      </c>
      <c r="BW80" s="401">
        <f t="shared" si="420"/>
        <v>45269</v>
      </c>
      <c r="BX80" s="398">
        <f t="shared" si="420"/>
        <v>41547</v>
      </c>
      <c r="BY80" s="398">
        <f t="shared" si="420"/>
        <v>41232</v>
      </c>
      <c r="BZ80" s="398">
        <f t="shared" si="420"/>
        <v>41144.199999999997</v>
      </c>
      <c r="CA80" s="398">
        <f t="shared" si="420"/>
        <v>40915.300000000003</v>
      </c>
      <c r="CB80" s="398">
        <f t="shared" si="420"/>
        <v>41289.1</v>
      </c>
      <c r="CC80" s="398">
        <f t="shared" ref="CC80:CK80" si="421">SUM(CC78:CC79)</f>
        <v>40982.421999999999</v>
      </c>
      <c r="CD80" s="398">
        <f t="shared" si="421"/>
        <v>40935.815999999999</v>
      </c>
      <c r="CE80" s="398">
        <f t="shared" si="421"/>
        <v>41051.197</v>
      </c>
      <c r="CF80" s="398">
        <f t="shared" si="421"/>
        <v>41125</v>
      </c>
      <c r="CG80" s="398">
        <f t="shared" si="421"/>
        <v>41266</v>
      </c>
      <c r="CH80" s="398">
        <f t="shared" si="421"/>
        <v>42525</v>
      </c>
      <c r="CI80" s="401">
        <f t="shared" si="421"/>
        <v>45134</v>
      </c>
      <c r="CJ80" s="398">
        <f t="shared" si="421"/>
        <v>41231</v>
      </c>
      <c r="CK80" s="398">
        <f t="shared" si="421"/>
        <v>41421</v>
      </c>
      <c r="CL80" s="398">
        <f t="shared" ref="CL80:CT80" si="422">SUM(CL78:CL79)</f>
        <v>41491</v>
      </c>
      <c r="CM80" s="398">
        <f t="shared" si="422"/>
        <v>40793</v>
      </c>
      <c r="CN80" s="398">
        <f t="shared" si="422"/>
        <v>40701</v>
      </c>
      <c r="CO80" s="398">
        <f t="shared" si="422"/>
        <v>40451.699999999997</v>
      </c>
      <c r="CP80" s="398">
        <f t="shared" si="422"/>
        <v>40861.800000000003</v>
      </c>
      <c r="CQ80" s="398">
        <f t="shared" si="422"/>
        <v>40091.599999999999</v>
      </c>
      <c r="CR80" s="398">
        <f t="shared" si="422"/>
        <v>40574.800000000003</v>
      </c>
      <c r="CS80" s="398">
        <f t="shared" si="422"/>
        <v>40646.600000000006</v>
      </c>
      <c r="CT80" s="399">
        <f t="shared" si="422"/>
        <v>42222.7</v>
      </c>
      <c r="CU80" s="400">
        <f t="shared" ref="CU80:DJ80" si="423">SUM(CU78:CU79)</f>
        <v>44546.767</v>
      </c>
      <c r="CV80" s="400">
        <f t="shared" si="423"/>
        <v>40606.49</v>
      </c>
      <c r="CW80" s="400">
        <f t="shared" si="423"/>
        <v>40330.148999999998</v>
      </c>
      <c r="CX80" s="400">
        <f t="shared" si="423"/>
        <v>40236.400000000001</v>
      </c>
      <c r="CY80" s="400">
        <f t="shared" si="423"/>
        <v>39966.199999999997</v>
      </c>
      <c r="CZ80" s="400">
        <f t="shared" si="423"/>
        <v>40062.5</v>
      </c>
      <c r="DA80" s="400">
        <f t="shared" si="423"/>
        <v>39895.699999999997</v>
      </c>
      <c r="DB80" s="400">
        <f t="shared" si="423"/>
        <v>39656</v>
      </c>
      <c r="DC80" s="400">
        <f t="shared" si="423"/>
        <v>40015.800000000003</v>
      </c>
      <c r="DD80" s="400">
        <f t="shared" si="423"/>
        <v>39891.599999999999</v>
      </c>
      <c r="DE80" s="400">
        <f t="shared" si="423"/>
        <v>40163.599999999999</v>
      </c>
      <c r="DF80" s="399">
        <f t="shared" si="423"/>
        <v>40234.800000000003</v>
      </c>
      <c r="DG80" s="488">
        <f t="shared" si="423"/>
        <v>40498.199999999997</v>
      </c>
      <c r="DH80" s="488">
        <f t="shared" si="423"/>
        <v>30482.7</v>
      </c>
      <c r="DI80" s="488">
        <f t="shared" si="423"/>
        <v>38370.199999999997</v>
      </c>
      <c r="DJ80" s="488">
        <f t="shared" si="423"/>
        <v>38725.5</v>
      </c>
      <c r="DK80" s="488">
        <f t="shared" ref="DK80:FN80" si="424">SUM(DK78:DK79)</f>
        <v>39440.1</v>
      </c>
      <c r="DL80" s="488">
        <f t="shared" si="424"/>
        <v>39291.699999999997</v>
      </c>
      <c r="DM80" s="488">
        <f t="shared" si="424"/>
        <v>39181.1</v>
      </c>
      <c r="DN80" s="488">
        <f t="shared" si="424"/>
        <v>39174.1</v>
      </c>
      <c r="DO80" s="488">
        <f t="shared" si="424"/>
        <v>39140.699999999997</v>
      </c>
      <c r="DP80" s="488">
        <f t="shared" si="424"/>
        <v>39197.9</v>
      </c>
      <c r="DQ80" s="488">
        <f t="shared" si="424"/>
        <v>39422.9</v>
      </c>
      <c r="DR80" s="488">
        <f t="shared" si="424"/>
        <v>39840.5</v>
      </c>
      <c r="DS80" s="488">
        <f t="shared" si="424"/>
        <v>39883.699999999997</v>
      </c>
      <c r="DT80" s="488">
        <f t="shared" si="424"/>
        <v>39411.5</v>
      </c>
      <c r="DU80" s="488">
        <f t="shared" si="424"/>
        <v>39284.699999999997</v>
      </c>
      <c r="DV80" s="489">
        <f t="shared" si="424"/>
        <v>39068</v>
      </c>
      <c r="DW80" s="489">
        <f t="shared" si="424"/>
        <v>38877.899999999994</v>
      </c>
      <c r="DX80" s="489">
        <f t="shared" si="424"/>
        <v>38269.699999999997</v>
      </c>
      <c r="DY80" s="489">
        <f t="shared" si="424"/>
        <v>38599.5</v>
      </c>
      <c r="DZ80" s="489">
        <f t="shared" si="424"/>
        <v>38570.1</v>
      </c>
      <c r="EA80" s="489">
        <f t="shared" si="424"/>
        <v>38805</v>
      </c>
      <c r="EB80" s="489">
        <f t="shared" si="424"/>
        <v>38735.300000000003</v>
      </c>
      <c r="EC80" s="489">
        <f t="shared" si="424"/>
        <v>38817</v>
      </c>
      <c r="ED80" s="489">
        <f t="shared" si="424"/>
        <v>39103.199999999997</v>
      </c>
      <c r="EE80" s="489">
        <f t="shared" si="424"/>
        <v>39190.300000000003</v>
      </c>
      <c r="EF80" s="489">
        <f t="shared" si="424"/>
        <v>38685.300000000003</v>
      </c>
      <c r="EG80" s="489">
        <f t="shared" si="424"/>
        <v>38588.9</v>
      </c>
      <c r="EH80" s="489">
        <f t="shared" si="424"/>
        <v>38568.300000000003</v>
      </c>
      <c r="EI80" s="489">
        <f t="shared" si="424"/>
        <v>38353.9</v>
      </c>
      <c r="EJ80" s="489">
        <f t="shared" si="424"/>
        <v>38215.899999999994</v>
      </c>
      <c r="EK80" s="489">
        <f t="shared" si="424"/>
        <v>38754.199999999997</v>
      </c>
      <c r="EL80" s="489">
        <f t="shared" si="424"/>
        <v>37311.199999999997</v>
      </c>
      <c r="EM80" s="489">
        <f t="shared" si="424"/>
        <v>37057.300000000003</v>
      </c>
      <c r="EN80" s="489">
        <f t="shared" si="424"/>
        <v>37750.100000000006</v>
      </c>
      <c r="EO80" s="489">
        <f t="shared" si="424"/>
        <v>38049.4</v>
      </c>
      <c r="EP80" s="489">
        <f t="shared" si="424"/>
        <v>38387.199999999997</v>
      </c>
      <c r="EQ80" s="489">
        <f t="shared" si="424"/>
        <v>38811.4</v>
      </c>
      <c r="ER80" s="489">
        <f t="shared" si="424"/>
        <v>37912.6</v>
      </c>
      <c r="ES80" s="489">
        <f t="shared" si="424"/>
        <v>37881.300000000003</v>
      </c>
      <c r="ET80" s="489">
        <f t="shared" si="424"/>
        <v>37866</v>
      </c>
      <c r="EU80" s="489">
        <f t="shared" si="424"/>
        <v>37645.599999999999</v>
      </c>
      <c r="EV80" s="489">
        <f t="shared" si="424"/>
        <v>37520.600000000006</v>
      </c>
      <c r="EW80" s="489">
        <f t="shared" si="424"/>
        <v>37363.5</v>
      </c>
      <c r="EX80" s="489">
        <f t="shared" si="424"/>
        <v>37342.400000000001</v>
      </c>
      <c r="EY80" s="489">
        <f t="shared" si="424"/>
        <v>37417.800000000003</v>
      </c>
      <c r="EZ80" s="489">
        <f t="shared" si="424"/>
        <v>37938.9</v>
      </c>
      <c r="FA80" s="489">
        <f t="shared" si="424"/>
        <v>37157.9</v>
      </c>
      <c r="FB80" s="489">
        <f t="shared" si="424"/>
        <v>37781.1</v>
      </c>
      <c r="FC80" s="489">
        <f t="shared" si="424"/>
        <v>38050.5</v>
      </c>
      <c r="FD80" s="489">
        <f t="shared" si="424"/>
        <v>37594.300000000003</v>
      </c>
      <c r="FE80" s="489">
        <f t="shared" si="424"/>
        <v>37518.800000000003</v>
      </c>
      <c r="FF80" s="489">
        <f t="shared" si="424"/>
        <v>37457</v>
      </c>
      <c r="FG80" s="489">
        <f t="shared" si="424"/>
        <v>37286.6</v>
      </c>
      <c r="FH80" s="489">
        <f t="shared" si="424"/>
        <v>37195.199999999997</v>
      </c>
      <c r="FI80" s="489">
        <f t="shared" si="424"/>
        <v>36845</v>
      </c>
      <c r="FJ80" s="489">
        <f t="shared" si="424"/>
        <v>36765.699999999997</v>
      </c>
      <c r="FK80" s="489">
        <f t="shared" si="424"/>
        <v>36848.300000000003</v>
      </c>
      <c r="FL80" s="489">
        <f t="shared" si="424"/>
        <v>36873.699999999997</v>
      </c>
      <c r="FM80" s="489">
        <f t="shared" si="424"/>
        <v>36945.800000000003</v>
      </c>
      <c r="FN80" s="489">
        <f t="shared" si="424"/>
        <v>37071.9</v>
      </c>
      <c r="FO80" s="489">
        <f t="shared" ref="FO80:FQ80" si="425">SUM(FO78:FO79)</f>
        <v>37134</v>
      </c>
      <c r="FP80" s="489">
        <f t="shared" si="425"/>
        <v>36671.4</v>
      </c>
      <c r="FQ80" s="489">
        <f t="shared" si="425"/>
        <v>36567.5</v>
      </c>
      <c r="FR80" s="489">
        <f t="shared" ref="FR80:FT80" si="426">SUM(FR78:FR79)</f>
        <v>36520.5</v>
      </c>
      <c r="FS80" s="489">
        <f t="shared" si="426"/>
        <v>36334.1</v>
      </c>
      <c r="FT80" s="489">
        <f t="shared" si="426"/>
        <v>36361.199999999997</v>
      </c>
    </row>
    <row r="81" spans="1:176" s="409" customFormat="1" x14ac:dyDescent="0.25">
      <c r="B81" s="403" t="s">
        <v>10</v>
      </c>
      <c r="C81" s="404">
        <f t="shared" ref="C81:Q81" si="427">SUM(C78)/C80</f>
        <v>1</v>
      </c>
      <c r="D81" s="405">
        <f t="shared" si="427"/>
        <v>0.85201051935925642</v>
      </c>
      <c r="E81" s="405">
        <f t="shared" si="427"/>
        <v>0.70351176818532579</v>
      </c>
      <c r="F81" s="405">
        <f t="shared" si="427"/>
        <v>0.66372581965159272</v>
      </c>
      <c r="G81" s="405">
        <f t="shared" si="427"/>
        <v>0.64856449083387346</v>
      </c>
      <c r="H81" s="405">
        <f t="shared" si="427"/>
        <v>0.65705539329885532</v>
      </c>
      <c r="I81" s="405">
        <f t="shared" si="427"/>
        <v>0.6375083577605104</v>
      </c>
      <c r="J81" s="405">
        <f t="shared" si="427"/>
        <v>0.61789368797792577</v>
      </c>
      <c r="K81" s="405">
        <f t="shared" si="427"/>
        <v>0.60390899750296145</v>
      </c>
      <c r="L81" s="405">
        <f t="shared" si="427"/>
        <v>0.61482232701014272</v>
      </c>
      <c r="M81" s="405">
        <f t="shared" si="427"/>
        <v>0.61524810473783464</v>
      </c>
      <c r="N81" s="406">
        <f t="shared" si="427"/>
        <v>0.621223565740886</v>
      </c>
      <c r="O81" s="404">
        <f t="shared" si="427"/>
        <v>0.60188997005988021</v>
      </c>
      <c r="P81" s="405">
        <f t="shared" si="427"/>
        <v>0.59383440439601376</v>
      </c>
      <c r="Q81" s="405">
        <f t="shared" si="427"/>
        <v>0.58660562582593923</v>
      </c>
      <c r="R81" s="405">
        <f t="shared" ref="R81:W81" si="428">SUM(R78)/R80</f>
        <v>0.5904143751484926</v>
      </c>
      <c r="S81" s="405">
        <f t="shared" si="428"/>
        <v>0.58716268550503004</v>
      </c>
      <c r="T81" s="405">
        <f t="shared" si="428"/>
        <v>0.57833669225331752</v>
      </c>
      <c r="U81" s="405">
        <f t="shared" si="428"/>
        <v>0.6798517592803156</v>
      </c>
      <c r="V81" s="405">
        <f t="shared" si="428"/>
        <v>0.43701021534543172</v>
      </c>
      <c r="W81" s="405">
        <f t="shared" si="428"/>
        <v>0.91420453423703418</v>
      </c>
      <c r="X81" s="405">
        <f>SUM(X78)/X80</f>
        <v>0.74931543363946984</v>
      </c>
      <c r="Y81" s="405">
        <f>SUM(Y78)/Y80</f>
        <v>0.75242776076168771</v>
      </c>
      <c r="Z81" s="406">
        <f>SUM(Z78)/Z80</f>
        <v>0.75106352807714127</v>
      </c>
      <c r="AA81" s="404">
        <f t="shared" ref="AA81:AL81" si="429">SUM(AA78)/AA80</f>
        <v>0.75160117913080537</v>
      </c>
      <c r="AB81" s="405">
        <f t="shared" si="429"/>
        <v>0.93943379231705326</v>
      </c>
      <c r="AC81" s="405">
        <f t="shared" si="429"/>
        <v>0.93849485652409304</v>
      </c>
      <c r="AD81" s="405">
        <f t="shared" si="429"/>
        <v>0.94213535191594144</v>
      </c>
      <c r="AE81" s="405">
        <f t="shared" si="429"/>
        <v>0.93917424369647096</v>
      </c>
      <c r="AF81" s="405">
        <f t="shared" si="429"/>
        <v>0.94179478984300835</v>
      </c>
      <c r="AG81" s="405">
        <f>SUM(AG78)/AG80</f>
        <v>0.94003389293247008</v>
      </c>
      <c r="AH81" s="405">
        <f>SUM(AH78)/AH80</f>
        <v>0.94220309677294378</v>
      </c>
      <c r="AI81" s="405">
        <f>SUM(AI78)/AI80</f>
        <v>0.94399586170391947</v>
      </c>
      <c r="AJ81" s="405">
        <f t="shared" si="429"/>
        <v>0.94302175570638691</v>
      </c>
      <c r="AK81" s="405">
        <f t="shared" si="429"/>
        <v>0.94036224473316143</v>
      </c>
      <c r="AL81" s="406">
        <f t="shared" si="429"/>
        <v>0.93926487764376054</v>
      </c>
      <c r="AM81" s="404">
        <f t="shared" ref="AM81:AR81" si="430">SUM(AM78)/AM80</f>
        <v>0.8622081264065482</v>
      </c>
      <c r="AN81" s="405">
        <f t="shared" si="430"/>
        <v>0.73603817205492406</v>
      </c>
      <c r="AO81" s="405">
        <f t="shared" si="430"/>
        <v>0.68411696615588136</v>
      </c>
      <c r="AP81" s="405">
        <f t="shared" si="430"/>
        <v>0.71141001116854863</v>
      </c>
      <c r="AQ81" s="405">
        <f t="shared" si="430"/>
        <v>0.70112874162194672</v>
      </c>
      <c r="AR81" s="405">
        <f t="shared" si="430"/>
        <v>0.6994034366966384</v>
      </c>
      <c r="AS81" s="405">
        <f t="shared" ref="AS81:AX81" si="431">SUM(AS78)/AS80</f>
        <v>0.69196776136358074</v>
      </c>
      <c r="AT81" s="405">
        <f t="shared" si="431"/>
        <v>0.6911123876951103</v>
      </c>
      <c r="AU81" s="405">
        <f t="shared" si="431"/>
        <v>0.6865927697759221</v>
      </c>
      <c r="AV81" s="405">
        <f t="shared" si="431"/>
        <v>0.68760870569976673</v>
      </c>
      <c r="AW81" s="405">
        <f t="shared" si="431"/>
        <v>0.67574423546115103</v>
      </c>
      <c r="AX81" s="406">
        <f t="shared" si="431"/>
        <v>0.68957515732903663</v>
      </c>
      <c r="AY81" s="404">
        <f t="shared" ref="AY81:BJ81" si="432">SUM(AY78)/AY80</f>
        <v>0.67883279605427993</v>
      </c>
      <c r="AZ81" s="405">
        <f t="shared" si="432"/>
        <v>0.67515996809022905</v>
      </c>
      <c r="BA81" s="405">
        <f t="shared" si="432"/>
        <v>0.66921124522891517</v>
      </c>
      <c r="BB81" s="405">
        <f t="shared" si="432"/>
        <v>0.6711910824965166</v>
      </c>
      <c r="BC81" s="405">
        <f t="shared" si="432"/>
        <v>0.66612040294982411</v>
      </c>
      <c r="BD81" s="405">
        <f t="shared" si="432"/>
        <v>0.66023566909740672</v>
      </c>
      <c r="BE81" s="405">
        <f t="shared" si="432"/>
        <v>0.64885569052335157</v>
      </c>
      <c r="BF81" s="405">
        <f t="shared" si="432"/>
        <v>0.58870727010110735</v>
      </c>
      <c r="BG81" s="405">
        <f t="shared" si="432"/>
        <v>0.58825531914893614</v>
      </c>
      <c r="BH81" s="405">
        <f t="shared" si="432"/>
        <v>0.58314375370069826</v>
      </c>
      <c r="BI81" s="405">
        <f t="shared" si="432"/>
        <v>0.57211029394149915</v>
      </c>
      <c r="BJ81" s="406">
        <f t="shared" si="432"/>
        <v>0.57471597868145619</v>
      </c>
      <c r="BK81" s="404">
        <f t="shared" ref="BK81:BP81" si="433">SUM(BK78)/BK80</f>
        <v>0.56405003410569743</v>
      </c>
      <c r="BL81" s="405">
        <f t="shared" si="433"/>
        <v>0.5234666997024443</v>
      </c>
      <c r="BM81" s="405">
        <f t="shared" si="433"/>
        <v>0.36374689342624628</v>
      </c>
      <c r="BN81" s="405">
        <f t="shared" si="433"/>
        <v>0.35565566648242697</v>
      </c>
      <c r="BO81" s="405">
        <f t="shared" si="433"/>
        <v>0.34700140670456325</v>
      </c>
      <c r="BP81" s="405">
        <f t="shared" si="433"/>
        <v>0.34722229868286375</v>
      </c>
      <c r="BQ81" s="405">
        <f t="shared" ref="BQ81:CB81" si="434">SUM(BQ78)/BQ80</f>
        <v>0.34344677769732079</v>
      </c>
      <c r="BR81" s="405">
        <f t="shared" si="434"/>
        <v>0.33797182962011202</v>
      </c>
      <c r="BS81" s="405">
        <f t="shared" si="434"/>
        <v>0.3339648304673079</v>
      </c>
      <c r="BT81" s="405">
        <f t="shared" si="434"/>
        <v>0.33278600524171909</v>
      </c>
      <c r="BU81" s="405">
        <f t="shared" si="434"/>
        <v>0.32782609959028702</v>
      </c>
      <c r="BV81" s="405">
        <f t="shared" si="434"/>
        <v>0.318060205353766</v>
      </c>
      <c r="BW81" s="407">
        <f t="shared" si="434"/>
        <v>0.30756146590381939</v>
      </c>
      <c r="BX81" s="405">
        <f t="shared" si="434"/>
        <v>0.30562976869569403</v>
      </c>
      <c r="BY81" s="405">
        <f t="shared" si="434"/>
        <v>0.30224097788125726</v>
      </c>
      <c r="BZ81" s="405">
        <f t="shared" si="434"/>
        <v>0.30351544081547338</v>
      </c>
      <c r="CA81" s="405">
        <f t="shared" si="434"/>
        <v>0.30419671858693442</v>
      </c>
      <c r="CB81" s="405">
        <f t="shared" si="434"/>
        <v>0.30064593318817801</v>
      </c>
      <c r="CC81" s="405">
        <f t="shared" ref="CC81:CK81" si="435">SUM(CC78)/CC80</f>
        <v>0.30061437071727976</v>
      </c>
      <c r="CD81" s="405">
        <f t="shared" si="435"/>
        <v>0.29997095941607715</v>
      </c>
      <c r="CE81" s="405">
        <f t="shared" si="435"/>
        <v>0.29576823301888128</v>
      </c>
      <c r="CF81" s="405">
        <f t="shared" si="435"/>
        <v>0.29181762917933129</v>
      </c>
      <c r="CG81" s="405">
        <f t="shared" si="435"/>
        <v>0.28934231570784663</v>
      </c>
      <c r="CH81" s="405">
        <f t="shared" si="435"/>
        <v>0.28458553791887126</v>
      </c>
      <c r="CI81" s="407">
        <f t="shared" si="435"/>
        <v>0.28585988390127176</v>
      </c>
      <c r="CJ81" s="405">
        <f t="shared" si="435"/>
        <v>0.26106570299046833</v>
      </c>
      <c r="CK81" s="405">
        <f t="shared" si="435"/>
        <v>0.25892663141884553</v>
      </c>
      <c r="CL81" s="405">
        <f t="shared" ref="CL81:CQ81" si="436">SUM(CL78)/CL80</f>
        <v>0.25603142850256683</v>
      </c>
      <c r="CM81" s="405">
        <f t="shared" si="436"/>
        <v>0.25774029858063885</v>
      </c>
      <c r="CN81" s="405">
        <f t="shared" si="436"/>
        <v>0.25421979803936023</v>
      </c>
      <c r="CO81" s="405">
        <f t="shared" si="436"/>
        <v>0.32329914441173058</v>
      </c>
      <c r="CP81" s="405">
        <f t="shared" si="436"/>
        <v>0.33123846722366607</v>
      </c>
      <c r="CQ81" s="405">
        <f t="shared" si="436"/>
        <v>0.31389617775294576</v>
      </c>
      <c r="CR81" s="405">
        <f t="shared" ref="CR81:DJ81" si="437">SUM(CR78)/CR80</f>
        <v>0.3160212742884746</v>
      </c>
      <c r="CS81" s="405">
        <f t="shared" si="437"/>
        <v>0.3121958540197704</v>
      </c>
      <c r="CT81" s="406">
        <f t="shared" si="437"/>
        <v>0.30841229954503147</v>
      </c>
      <c r="CU81" s="405">
        <f t="shared" si="437"/>
        <v>0.31553668081007985</v>
      </c>
      <c r="CV81" s="405">
        <f t="shared" si="437"/>
        <v>0.30959898282269654</v>
      </c>
      <c r="CW81" s="405">
        <f t="shared" si="437"/>
        <v>0.30946206025670769</v>
      </c>
      <c r="CX81" s="405">
        <f t="shared" si="437"/>
        <v>0.30891431639013428</v>
      </c>
      <c r="CY81" s="405">
        <f t="shared" si="437"/>
        <v>0.31272675410722062</v>
      </c>
      <c r="CZ81" s="405">
        <f t="shared" si="437"/>
        <v>0.31401934477379095</v>
      </c>
      <c r="DA81" s="405">
        <f t="shared" si="437"/>
        <v>0.31032166373819736</v>
      </c>
      <c r="DB81" s="405">
        <f t="shared" si="437"/>
        <v>0.30711619931410128</v>
      </c>
      <c r="DC81" s="405">
        <f t="shared" si="437"/>
        <v>0.30643145957346846</v>
      </c>
      <c r="DD81" s="405">
        <f t="shared" si="437"/>
        <v>0.30123885730329192</v>
      </c>
      <c r="DE81" s="405">
        <f t="shared" si="437"/>
        <v>0.28981465804858131</v>
      </c>
      <c r="DF81" s="406">
        <f t="shared" si="437"/>
        <v>0.28849155457464681</v>
      </c>
      <c r="DG81" s="490">
        <f t="shared" si="437"/>
        <v>0.28522996083776564</v>
      </c>
      <c r="DH81" s="490">
        <f t="shared" si="437"/>
        <v>0.55290049765932814</v>
      </c>
      <c r="DI81" s="490">
        <f t="shared" si="437"/>
        <v>0.47247342990132973</v>
      </c>
      <c r="DJ81" s="490">
        <f t="shared" si="437"/>
        <v>0.47022246323481942</v>
      </c>
      <c r="DK81" s="490">
        <f t="shared" ref="DK81:FN81" si="438">SUM(DK78)/DK80</f>
        <v>0.45986191718580838</v>
      </c>
      <c r="DL81" s="490">
        <f t="shared" si="438"/>
        <v>0.45759537001453238</v>
      </c>
      <c r="DM81" s="490">
        <f t="shared" si="438"/>
        <v>0.38181419102577518</v>
      </c>
      <c r="DN81" s="490">
        <f t="shared" si="438"/>
        <v>0.38017210350716418</v>
      </c>
      <c r="DO81" s="490">
        <f t="shared" si="438"/>
        <v>0.37650067576716822</v>
      </c>
      <c r="DP81" s="490">
        <f t="shared" si="438"/>
        <v>0.37445883580497935</v>
      </c>
      <c r="DQ81" s="490">
        <f t="shared" si="438"/>
        <v>0.37070332218076296</v>
      </c>
      <c r="DR81" s="490">
        <f t="shared" si="438"/>
        <v>0.36673485523525057</v>
      </c>
      <c r="DS81" s="490">
        <f t="shared" si="438"/>
        <v>0.36508147438677957</v>
      </c>
      <c r="DT81" s="490">
        <f t="shared" si="438"/>
        <v>0.36517260190553519</v>
      </c>
      <c r="DU81" s="490">
        <f t="shared" si="438"/>
        <v>0.36428431424956792</v>
      </c>
      <c r="DV81" s="491">
        <f t="shared" si="438"/>
        <v>0.36376574178355686</v>
      </c>
      <c r="DW81" s="491">
        <f t="shared" si="438"/>
        <v>0.35949215363998571</v>
      </c>
      <c r="DX81" s="491">
        <f t="shared" si="438"/>
        <v>0.35140071649372745</v>
      </c>
      <c r="DY81" s="491">
        <f t="shared" si="438"/>
        <v>0.35652016217826654</v>
      </c>
      <c r="DZ81" s="491">
        <f t="shared" si="438"/>
        <v>0.35256584763845572</v>
      </c>
      <c r="EA81" s="491">
        <f t="shared" si="438"/>
        <v>0.35255766009534856</v>
      </c>
      <c r="EB81" s="491">
        <f t="shared" si="438"/>
        <v>0.34918278676039682</v>
      </c>
      <c r="EC81" s="491">
        <f t="shared" si="438"/>
        <v>0.34780122111446016</v>
      </c>
      <c r="ED81" s="491">
        <f t="shared" si="438"/>
        <v>0.34461629738742611</v>
      </c>
      <c r="EE81" s="491">
        <f t="shared" si="438"/>
        <v>0.34364370775421466</v>
      </c>
      <c r="EF81" s="491">
        <f t="shared" si="438"/>
        <v>0.36477680152409309</v>
      </c>
      <c r="EG81" s="491">
        <f t="shared" si="438"/>
        <v>0.36671426239151672</v>
      </c>
      <c r="EH81" s="491">
        <f t="shared" si="438"/>
        <v>0.36618673885029934</v>
      </c>
      <c r="EI81" s="491">
        <f t="shared" si="438"/>
        <v>0.36341023989737681</v>
      </c>
      <c r="EJ81" s="491">
        <f t="shared" si="438"/>
        <v>0.36424106196635436</v>
      </c>
      <c r="EK81" s="491">
        <f t="shared" si="438"/>
        <v>0.37113396741514471</v>
      </c>
      <c r="EL81" s="491">
        <f t="shared" si="438"/>
        <v>0.34871298698514119</v>
      </c>
      <c r="EM81" s="491">
        <f t="shared" si="438"/>
        <v>0.33741799861295879</v>
      </c>
      <c r="EN81" s="491">
        <f t="shared" si="438"/>
        <v>0.34609709643153258</v>
      </c>
      <c r="EO81" s="491">
        <f t="shared" si="438"/>
        <v>0.35085704373787757</v>
      </c>
      <c r="EP81" s="491">
        <f t="shared" si="438"/>
        <v>0.34732410803601199</v>
      </c>
      <c r="EQ81" s="491">
        <f t="shared" si="438"/>
        <v>0.34298427781528107</v>
      </c>
      <c r="ER81" s="491">
        <f t="shared" si="438"/>
        <v>0.34803996560510231</v>
      </c>
      <c r="ES81" s="491">
        <f t="shared" si="438"/>
        <v>0.34793948465337776</v>
      </c>
      <c r="ET81" s="491">
        <f t="shared" si="438"/>
        <v>0.34764432472402684</v>
      </c>
      <c r="EU81" s="491">
        <f t="shared" si="438"/>
        <v>0.34862772807446291</v>
      </c>
      <c r="EV81" s="491">
        <f t="shared" si="438"/>
        <v>0.35049279595742067</v>
      </c>
      <c r="EW81" s="491">
        <f t="shared" si="438"/>
        <v>0.35047037884566484</v>
      </c>
      <c r="EX81" s="491">
        <f t="shared" si="438"/>
        <v>0.34939104074724708</v>
      </c>
      <c r="EY81" s="491">
        <f t="shared" si="438"/>
        <v>0.34759125336069996</v>
      </c>
      <c r="EZ81" s="491">
        <f t="shared" si="438"/>
        <v>0.34071098529477661</v>
      </c>
      <c r="FA81" s="491">
        <f t="shared" si="438"/>
        <v>0.34717247207188784</v>
      </c>
      <c r="FB81" s="491">
        <f t="shared" si="438"/>
        <v>0.34557225702798494</v>
      </c>
      <c r="FC81" s="491">
        <f t="shared" si="438"/>
        <v>0.34294424514789557</v>
      </c>
      <c r="FD81" s="491">
        <f t="shared" si="438"/>
        <v>0.34519062730254318</v>
      </c>
      <c r="FE81" s="491">
        <f t="shared" si="438"/>
        <v>0.34562406047101718</v>
      </c>
      <c r="FF81" s="491">
        <f t="shared" si="438"/>
        <v>0.34547614598072457</v>
      </c>
      <c r="FG81" s="491">
        <f t="shared" si="438"/>
        <v>0.34584810629019541</v>
      </c>
      <c r="FH81" s="491">
        <f t="shared" si="438"/>
        <v>0.34482675183894695</v>
      </c>
      <c r="FI81" s="491">
        <f t="shared" si="438"/>
        <v>0.3234224453792916</v>
      </c>
      <c r="FJ81" s="491">
        <f t="shared" si="438"/>
        <v>0.32439746829245741</v>
      </c>
      <c r="FK81" s="491">
        <f t="shared" si="438"/>
        <v>0.3229592681344865</v>
      </c>
      <c r="FL81" s="491">
        <f t="shared" si="438"/>
        <v>0.32267985040828562</v>
      </c>
      <c r="FM81" s="491">
        <f t="shared" si="438"/>
        <v>0.3216062448234982</v>
      </c>
      <c r="FN81" s="491">
        <f t="shared" si="438"/>
        <v>0.31937936820071267</v>
      </c>
      <c r="FO81" s="491">
        <f t="shared" ref="FO81:FQ81" si="439">SUM(FO78)/FO80</f>
        <v>0.31879409705391287</v>
      </c>
      <c r="FP81" s="491">
        <f t="shared" si="439"/>
        <v>0.32186935868278821</v>
      </c>
      <c r="FQ81" s="491">
        <f t="shared" si="439"/>
        <v>0.32212210296027893</v>
      </c>
      <c r="FR81" s="491">
        <f t="shared" ref="FR81:FT81" si="440">SUM(FR78)/FR80</f>
        <v>0.32183841951780506</v>
      </c>
      <c r="FS81" s="491">
        <f t="shared" si="440"/>
        <v>0.32252346968825429</v>
      </c>
      <c r="FT81" s="491">
        <f t="shared" si="440"/>
        <v>0.32400470831545719</v>
      </c>
    </row>
    <row r="82" spans="1:176" s="409" customFormat="1" ht="13.8" thickBot="1" x14ac:dyDescent="0.3">
      <c r="B82" s="410" t="s">
        <v>11</v>
      </c>
      <c r="C82" s="411">
        <f t="shared" ref="C82:Q82" si="441">SUM(C79/C80)</f>
        <v>0</v>
      </c>
      <c r="D82" s="412">
        <f t="shared" si="441"/>
        <v>0.1479894806407436</v>
      </c>
      <c r="E82" s="412">
        <f t="shared" si="441"/>
        <v>0.29648823181467426</v>
      </c>
      <c r="F82" s="412">
        <f t="shared" si="441"/>
        <v>0.33627418034840734</v>
      </c>
      <c r="G82" s="412">
        <f t="shared" si="441"/>
        <v>0.35143550916612659</v>
      </c>
      <c r="H82" s="412">
        <f t="shared" si="441"/>
        <v>0.34294460670114468</v>
      </c>
      <c r="I82" s="412">
        <f t="shared" si="441"/>
        <v>0.36249164223948954</v>
      </c>
      <c r="J82" s="412">
        <f t="shared" si="441"/>
        <v>0.38210631202207429</v>
      </c>
      <c r="K82" s="412">
        <f t="shared" si="441"/>
        <v>0.39609100249703849</v>
      </c>
      <c r="L82" s="412">
        <f t="shared" si="441"/>
        <v>0.38517767298985728</v>
      </c>
      <c r="M82" s="412">
        <f t="shared" si="441"/>
        <v>0.38475189526216541</v>
      </c>
      <c r="N82" s="413">
        <f t="shared" si="441"/>
        <v>0.37877643425911395</v>
      </c>
      <c r="O82" s="411">
        <f t="shared" si="441"/>
        <v>0.39811002994011974</v>
      </c>
      <c r="P82" s="412">
        <f t="shared" si="441"/>
        <v>0.40616559560398624</v>
      </c>
      <c r="Q82" s="412">
        <f t="shared" si="441"/>
        <v>0.41339437417406077</v>
      </c>
      <c r="R82" s="412">
        <f t="shared" ref="R82:W82" si="442">SUM(R79/R80)</f>
        <v>0.4095856248515074</v>
      </c>
      <c r="S82" s="412">
        <f t="shared" si="442"/>
        <v>0.41283731449497002</v>
      </c>
      <c r="T82" s="412">
        <f t="shared" si="442"/>
        <v>0.42166330774668254</v>
      </c>
      <c r="U82" s="412">
        <f t="shared" si="442"/>
        <v>0.3201482407196844</v>
      </c>
      <c r="V82" s="412">
        <f t="shared" si="442"/>
        <v>0.56298978465456817</v>
      </c>
      <c r="W82" s="412">
        <f t="shared" si="442"/>
        <v>8.5795465762965858E-2</v>
      </c>
      <c r="X82" s="412">
        <f>SUM(X79/X80)</f>
        <v>0.25068456636053021</v>
      </c>
      <c r="Y82" s="412">
        <f>SUM(Y79/Y80)</f>
        <v>0.24757223923831231</v>
      </c>
      <c r="Z82" s="413">
        <f>SUM(Z79/Z80)</f>
        <v>0.24893647192285875</v>
      </c>
      <c r="AA82" s="411">
        <f t="shared" ref="AA82:AL82" si="443">SUM(AA79/AA80)</f>
        <v>0.24839882086919463</v>
      </c>
      <c r="AB82" s="412">
        <f t="shared" si="443"/>
        <v>6.0566207682946696E-2</v>
      </c>
      <c r="AC82" s="412">
        <f t="shared" si="443"/>
        <v>6.1505143475906882E-2</v>
      </c>
      <c r="AD82" s="412">
        <f t="shared" si="443"/>
        <v>5.7864648084058543E-2</v>
      </c>
      <c r="AE82" s="412">
        <f t="shared" si="443"/>
        <v>6.0825756303529016E-2</v>
      </c>
      <c r="AF82" s="412">
        <f t="shared" si="443"/>
        <v>5.8205210156991635E-2</v>
      </c>
      <c r="AG82" s="412">
        <f>SUM(AG79/AG80)</f>
        <v>5.996610706752984E-2</v>
      </c>
      <c r="AH82" s="412">
        <f>SUM(AH79/AH80)</f>
        <v>5.7796903227056322E-2</v>
      </c>
      <c r="AI82" s="412">
        <f>SUM(AI79/AI80)</f>
        <v>5.6004138296080641E-2</v>
      </c>
      <c r="AJ82" s="412">
        <f t="shared" si="443"/>
        <v>5.6978244293613159E-2</v>
      </c>
      <c r="AK82" s="412">
        <f t="shared" si="443"/>
        <v>5.9637755266838503E-2</v>
      </c>
      <c r="AL82" s="413">
        <f t="shared" si="443"/>
        <v>6.0735122356239436E-2</v>
      </c>
      <c r="AM82" s="411">
        <f t="shared" ref="AM82:AR82" si="444">SUM(AM79/AM80)</f>
        <v>0.13779187359345177</v>
      </c>
      <c r="AN82" s="412">
        <f t="shared" si="444"/>
        <v>0.263961827945076</v>
      </c>
      <c r="AO82" s="412">
        <f t="shared" si="444"/>
        <v>0.31588303384411859</v>
      </c>
      <c r="AP82" s="412">
        <f t="shared" si="444"/>
        <v>0.28858998883145143</v>
      </c>
      <c r="AQ82" s="412">
        <f t="shared" si="444"/>
        <v>0.29887125837805323</v>
      </c>
      <c r="AR82" s="412">
        <f t="shared" si="444"/>
        <v>0.30059656330336165</v>
      </c>
      <c r="AS82" s="412">
        <f t="shared" ref="AS82:AX82" si="445">SUM(AS79/AS80)</f>
        <v>0.30803223863641926</v>
      </c>
      <c r="AT82" s="412">
        <f t="shared" si="445"/>
        <v>0.30888761230488965</v>
      </c>
      <c r="AU82" s="412">
        <f t="shared" si="445"/>
        <v>0.31340723022407802</v>
      </c>
      <c r="AV82" s="412">
        <f t="shared" si="445"/>
        <v>0.31239129430023332</v>
      </c>
      <c r="AW82" s="412">
        <f t="shared" si="445"/>
        <v>0.32425576453884902</v>
      </c>
      <c r="AX82" s="413">
        <f t="shared" si="445"/>
        <v>0.31042484267096343</v>
      </c>
      <c r="AY82" s="411">
        <f t="shared" ref="AY82:BJ82" si="446">SUM(AY79/AY80)</f>
        <v>0.32116720394572013</v>
      </c>
      <c r="AZ82" s="412">
        <f t="shared" si="446"/>
        <v>0.32484003190977107</v>
      </c>
      <c r="BA82" s="412">
        <f t="shared" si="446"/>
        <v>0.33078875477108477</v>
      </c>
      <c r="BB82" s="412">
        <f t="shared" si="446"/>
        <v>0.3288089175034834</v>
      </c>
      <c r="BC82" s="412">
        <f t="shared" si="446"/>
        <v>0.33387959705017595</v>
      </c>
      <c r="BD82" s="412">
        <f t="shared" si="446"/>
        <v>0.33976433090259334</v>
      </c>
      <c r="BE82" s="412">
        <f t="shared" si="446"/>
        <v>0.35114430947664843</v>
      </c>
      <c r="BF82" s="412">
        <f t="shared" si="446"/>
        <v>0.4112927298988926</v>
      </c>
      <c r="BG82" s="412">
        <f t="shared" si="446"/>
        <v>0.41174468085106386</v>
      </c>
      <c r="BH82" s="412">
        <f t="shared" si="446"/>
        <v>0.41685624629930162</v>
      </c>
      <c r="BI82" s="412">
        <f t="shared" si="446"/>
        <v>0.42788970605850085</v>
      </c>
      <c r="BJ82" s="413">
        <f t="shared" si="446"/>
        <v>0.42528402131854387</v>
      </c>
      <c r="BK82" s="411">
        <f t="shared" ref="BK82:BP82" si="447">SUM(BK79/BK80)</f>
        <v>0.43594996589430257</v>
      </c>
      <c r="BL82" s="412">
        <f t="shared" si="447"/>
        <v>0.47653330029755575</v>
      </c>
      <c r="BM82" s="412">
        <f t="shared" si="447"/>
        <v>0.63625310657375367</v>
      </c>
      <c r="BN82" s="412">
        <f t="shared" si="447"/>
        <v>0.64434433351757303</v>
      </c>
      <c r="BO82" s="412">
        <f t="shared" si="447"/>
        <v>0.65299859329543675</v>
      </c>
      <c r="BP82" s="412">
        <f t="shared" si="447"/>
        <v>0.65277770131713631</v>
      </c>
      <c r="BQ82" s="412">
        <f t="shared" ref="BQ82:CB82" si="448">SUM(BQ79/BQ80)</f>
        <v>0.65655322230267921</v>
      </c>
      <c r="BR82" s="412">
        <f t="shared" si="448"/>
        <v>0.66202817037988804</v>
      </c>
      <c r="BS82" s="412">
        <f t="shared" si="448"/>
        <v>0.66603516953269215</v>
      </c>
      <c r="BT82" s="412">
        <f t="shared" si="448"/>
        <v>0.66721399475828103</v>
      </c>
      <c r="BU82" s="412">
        <f t="shared" si="448"/>
        <v>0.67217390040971314</v>
      </c>
      <c r="BV82" s="412">
        <f t="shared" si="448"/>
        <v>0.681939794646234</v>
      </c>
      <c r="BW82" s="414">
        <f t="shared" si="448"/>
        <v>0.69243853409618061</v>
      </c>
      <c r="BX82" s="412">
        <f t="shared" si="448"/>
        <v>0.69437023130430597</v>
      </c>
      <c r="BY82" s="412">
        <f t="shared" si="448"/>
        <v>0.69775902211874274</v>
      </c>
      <c r="BZ82" s="412">
        <f t="shared" si="448"/>
        <v>0.69648455918452667</v>
      </c>
      <c r="CA82" s="412">
        <f t="shared" si="448"/>
        <v>0.69580328141306547</v>
      </c>
      <c r="CB82" s="412">
        <f t="shared" si="448"/>
        <v>0.69935406681182199</v>
      </c>
      <c r="CC82" s="412">
        <f t="shared" ref="CC82:CK82" si="449">SUM(CC79/CC80)</f>
        <v>0.6993856292827203</v>
      </c>
      <c r="CD82" s="412">
        <f t="shared" si="449"/>
        <v>0.7000290405839229</v>
      </c>
      <c r="CE82" s="412">
        <f t="shared" si="449"/>
        <v>0.70423176698111878</v>
      </c>
      <c r="CF82" s="412">
        <f t="shared" si="449"/>
        <v>0.70818237082066871</v>
      </c>
      <c r="CG82" s="412">
        <f t="shared" si="449"/>
        <v>0.71065768429215337</v>
      </c>
      <c r="CH82" s="412">
        <f t="shared" si="449"/>
        <v>0.7154144620811288</v>
      </c>
      <c r="CI82" s="414">
        <f t="shared" si="449"/>
        <v>0.71414011609872818</v>
      </c>
      <c r="CJ82" s="412">
        <f t="shared" si="449"/>
        <v>0.73893429700953162</v>
      </c>
      <c r="CK82" s="412">
        <f t="shared" si="449"/>
        <v>0.74107336858115447</v>
      </c>
      <c r="CL82" s="412">
        <f t="shared" ref="CL82:CQ82" si="450">SUM(CL79/CL80)</f>
        <v>0.74396857149743323</v>
      </c>
      <c r="CM82" s="412">
        <f t="shared" si="450"/>
        <v>0.74225970141936115</v>
      </c>
      <c r="CN82" s="412">
        <f t="shared" si="450"/>
        <v>0.74578020196063977</v>
      </c>
      <c r="CO82" s="412">
        <f t="shared" si="450"/>
        <v>0.67670085558826953</v>
      </c>
      <c r="CP82" s="412">
        <f t="shared" si="450"/>
        <v>0.66876153277633377</v>
      </c>
      <c r="CQ82" s="412">
        <f t="shared" si="450"/>
        <v>0.68610382224705424</v>
      </c>
      <c r="CR82" s="412">
        <f t="shared" ref="CR82:DJ82" si="451">SUM(CR79/CR80)</f>
        <v>0.68397872571152529</v>
      </c>
      <c r="CS82" s="412">
        <f t="shared" si="451"/>
        <v>0.68780414598022954</v>
      </c>
      <c r="CT82" s="413">
        <f t="shared" si="451"/>
        <v>0.69158770045496865</v>
      </c>
      <c r="CU82" s="412">
        <f t="shared" si="451"/>
        <v>0.68446331918992009</v>
      </c>
      <c r="CV82" s="412">
        <f t="shared" si="451"/>
        <v>0.6904010171773034</v>
      </c>
      <c r="CW82" s="412">
        <f t="shared" si="451"/>
        <v>0.69053793974329236</v>
      </c>
      <c r="CX82" s="412">
        <f t="shared" si="451"/>
        <v>0.69108568360986566</v>
      </c>
      <c r="CY82" s="412">
        <f t="shared" si="451"/>
        <v>0.68727324589277949</v>
      </c>
      <c r="CZ82" s="412">
        <f t="shared" si="451"/>
        <v>0.68598065522620899</v>
      </c>
      <c r="DA82" s="412">
        <f t="shared" si="451"/>
        <v>0.68967833626180275</v>
      </c>
      <c r="DB82" s="412">
        <f t="shared" si="451"/>
        <v>0.69288380068589872</v>
      </c>
      <c r="DC82" s="412">
        <f t="shared" si="451"/>
        <v>0.69356854042653149</v>
      </c>
      <c r="DD82" s="412">
        <f t="shared" si="451"/>
        <v>0.69876114269670808</v>
      </c>
      <c r="DE82" s="412">
        <f t="shared" si="451"/>
        <v>0.71018534195141869</v>
      </c>
      <c r="DF82" s="413">
        <f t="shared" si="451"/>
        <v>0.71150844542535319</v>
      </c>
      <c r="DG82" s="492">
        <f t="shared" si="451"/>
        <v>0.71477003916223447</v>
      </c>
      <c r="DH82" s="492">
        <f t="shared" si="451"/>
        <v>0.44709950234067186</v>
      </c>
      <c r="DI82" s="492">
        <f t="shared" si="451"/>
        <v>0.52752657009867032</v>
      </c>
      <c r="DJ82" s="492">
        <f t="shared" si="451"/>
        <v>0.52977753676518058</v>
      </c>
      <c r="DK82" s="492">
        <f t="shared" ref="DK82:FN82" si="452">SUM(DK79/DK80)</f>
        <v>0.54013808281419162</v>
      </c>
      <c r="DL82" s="492">
        <f t="shared" si="452"/>
        <v>0.54240462998546768</v>
      </c>
      <c r="DM82" s="492">
        <f t="shared" si="452"/>
        <v>0.61818580897422482</v>
      </c>
      <c r="DN82" s="492">
        <f t="shared" si="452"/>
        <v>0.61982789649283587</v>
      </c>
      <c r="DO82" s="492">
        <f t="shared" si="452"/>
        <v>0.62349932423283183</v>
      </c>
      <c r="DP82" s="492">
        <f t="shared" si="452"/>
        <v>0.6255411641950207</v>
      </c>
      <c r="DQ82" s="492">
        <f t="shared" si="452"/>
        <v>0.62929667781923704</v>
      </c>
      <c r="DR82" s="492">
        <f t="shared" si="452"/>
        <v>0.63326514476474938</v>
      </c>
      <c r="DS82" s="492">
        <f t="shared" si="452"/>
        <v>0.63491852561322049</v>
      </c>
      <c r="DT82" s="492">
        <f t="shared" si="452"/>
        <v>0.63482739809446487</v>
      </c>
      <c r="DU82" s="492">
        <f t="shared" si="452"/>
        <v>0.63571568575043214</v>
      </c>
      <c r="DV82" s="493">
        <f t="shared" si="452"/>
        <v>0.63623425821644319</v>
      </c>
      <c r="DW82" s="493">
        <f t="shared" si="452"/>
        <v>0.64050784636001434</v>
      </c>
      <c r="DX82" s="493">
        <f t="shared" si="452"/>
        <v>0.64859928350627261</v>
      </c>
      <c r="DY82" s="493">
        <f t="shared" si="452"/>
        <v>0.64347983782173346</v>
      </c>
      <c r="DZ82" s="493">
        <f t="shared" si="452"/>
        <v>0.64743415236154434</v>
      </c>
      <c r="EA82" s="493">
        <f t="shared" si="452"/>
        <v>0.6474423399046515</v>
      </c>
      <c r="EB82" s="493">
        <f t="shared" si="452"/>
        <v>0.65081721323960307</v>
      </c>
      <c r="EC82" s="493">
        <f t="shared" si="452"/>
        <v>0.6521987788855399</v>
      </c>
      <c r="ED82" s="493">
        <f t="shared" si="452"/>
        <v>0.65538370261257395</v>
      </c>
      <c r="EE82" s="493">
        <f t="shared" si="452"/>
        <v>0.65635629224578529</v>
      </c>
      <c r="EF82" s="493">
        <f t="shared" si="452"/>
        <v>0.6352231984759068</v>
      </c>
      <c r="EG82" s="493">
        <f t="shared" si="452"/>
        <v>0.63328573760848328</v>
      </c>
      <c r="EH82" s="493">
        <f t="shared" si="452"/>
        <v>0.6338132611497006</v>
      </c>
      <c r="EI82" s="493">
        <f t="shared" si="452"/>
        <v>0.63658976010262325</v>
      </c>
      <c r="EJ82" s="493">
        <f t="shared" si="452"/>
        <v>0.63575893803364569</v>
      </c>
      <c r="EK82" s="493">
        <f t="shared" si="452"/>
        <v>0.62886603258485541</v>
      </c>
      <c r="EL82" s="493">
        <f t="shared" si="452"/>
        <v>0.65128701301485881</v>
      </c>
      <c r="EM82" s="493">
        <f t="shared" si="452"/>
        <v>0.66258200138704115</v>
      </c>
      <c r="EN82" s="493">
        <f t="shared" si="452"/>
        <v>0.65390290356846725</v>
      </c>
      <c r="EO82" s="493">
        <f t="shared" si="452"/>
        <v>0.64914295626212237</v>
      </c>
      <c r="EP82" s="493">
        <f t="shared" si="452"/>
        <v>0.65267589196398812</v>
      </c>
      <c r="EQ82" s="493">
        <f t="shared" si="452"/>
        <v>0.65701572218471893</v>
      </c>
      <c r="ER82" s="493">
        <f t="shared" si="452"/>
        <v>0.6519600343948978</v>
      </c>
      <c r="ES82" s="493">
        <f t="shared" si="452"/>
        <v>0.65206051534662224</v>
      </c>
      <c r="ET82" s="493">
        <f t="shared" si="452"/>
        <v>0.65235567527597316</v>
      </c>
      <c r="EU82" s="493">
        <f t="shared" si="452"/>
        <v>0.65137227192553715</v>
      </c>
      <c r="EV82" s="493">
        <f t="shared" si="452"/>
        <v>0.64950720404257922</v>
      </c>
      <c r="EW82" s="493">
        <f t="shared" si="452"/>
        <v>0.6495296211543351</v>
      </c>
      <c r="EX82" s="493">
        <f t="shared" si="452"/>
        <v>0.65060895925275286</v>
      </c>
      <c r="EY82" s="493">
        <f t="shared" si="452"/>
        <v>0.65240874663929993</v>
      </c>
      <c r="EZ82" s="493">
        <f t="shared" si="452"/>
        <v>0.65928901470522339</v>
      </c>
      <c r="FA82" s="493">
        <f t="shared" si="452"/>
        <v>0.65282752792811216</v>
      </c>
      <c r="FB82" s="493">
        <f t="shared" si="452"/>
        <v>0.65442774297201511</v>
      </c>
      <c r="FC82" s="493">
        <f t="shared" si="452"/>
        <v>0.65705575485210443</v>
      </c>
      <c r="FD82" s="493">
        <f t="shared" si="452"/>
        <v>0.65480937269745676</v>
      </c>
      <c r="FE82" s="493">
        <f t="shared" si="452"/>
        <v>0.65437593952898276</v>
      </c>
      <c r="FF82" s="493">
        <f t="shared" si="452"/>
        <v>0.65452385401927549</v>
      </c>
      <c r="FG82" s="493">
        <f t="shared" si="452"/>
        <v>0.65415189370980453</v>
      </c>
      <c r="FH82" s="493">
        <f t="shared" si="452"/>
        <v>0.65517324816105305</v>
      </c>
      <c r="FI82" s="493">
        <f t="shared" si="452"/>
        <v>0.67657755462070834</v>
      </c>
      <c r="FJ82" s="493">
        <f t="shared" si="452"/>
        <v>0.6756025317075427</v>
      </c>
      <c r="FK82" s="493">
        <f t="shared" si="452"/>
        <v>0.67704073186551339</v>
      </c>
      <c r="FL82" s="493">
        <f t="shared" si="452"/>
        <v>0.67732014959171449</v>
      </c>
      <c r="FM82" s="493">
        <f t="shared" si="452"/>
        <v>0.67839375517650169</v>
      </c>
      <c r="FN82" s="493">
        <f t="shared" si="452"/>
        <v>0.68062063179928733</v>
      </c>
      <c r="FO82" s="493">
        <f t="shared" ref="FO82:FQ82" si="453">SUM(FO79/FO80)</f>
        <v>0.68120590294608718</v>
      </c>
      <c r="FP82" s="493">
        <f t="shared" si="453"/>
        <v>0.67813064131721179</v>
      </c>
      <c r="FQ82" s="493">
        <f t="shared" si="453"/>
        <v>0.67787789703972101</v>
      </c>
      <c r="FR82" s="493">
        <f t="shared" ref="FR82:FT82" si="454">SUM(FR79/FR80)</f>
        <v>0.67816158048219488</v>
      </c>
      <c r="FS82" s="493">
        <f t="shared" si="454"/>
        <v>0.67747653031174571</v>
      </c>
      <c r="FT82" s="493">
        <f t="shared" si="454"/>
        <v>0.67599529168454286</v>
      </c>
    </row>
    <row r="83" spans="1:176" s="374" customFormat="1" x14ac:dyDescent="0.25">
      <c r="A83" s="372"/>
      <c r="B83" s="381"/>
      <c r="N83" s="377"/>
      <c r="Z83" s="377"/>
      <c r="AL83" s="377"/>
      <c r="AX83" s="377"/>
      <c r="BJ83" s="377"/>
      <c r="BV83" s="382"/>
      <c r="BW83" s="373"/>
      <c r="CH83" s="377"/>
      <c r="CI83" s="373"/>
      <c r="CT83" s="377"/>
      <c r="CU83" s="371"/>
      <c r="CV83" s="371"/>
      <c r="CW83" s="371"/>
      <c r="CX83" s="371"/>
      <c r="CY83" s="371"/>
      <c r="CZ83" s="371"/>
      <c r="DA83" s="371"/>
      <c r="DB83" s="371"/>
      <c r="DC83" s="371"/>
      <c r="DD83" s="371"/>
      <c r="DE83" s="371"/>
      <c r="DF83" s="372"/>
      <c r="DT83" s="375"/>
      <c r="DV83" s="376"/>
      <c r="DW83" s="376"/>
      <c r="DX83" s="376"/>
      <c r="DZ83" s="375"/>
      <c r="EE83" s="375"/>
      <c r="ET83" s="375"/>
      <c r="EU83" s="375"/>
      <c r="EV83" s="375"/>
    </row>
    <row r="84" spans="1:176" s="68" customForma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103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103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103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103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103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T84" s="297"/>
      <c r="DV84" s="351"/>
      <c r="DW84" s="351"/>
      <c r="DX84" s="351"/>
      <c r="DZ84" s="297"/>
      <c r="EE84" s="297"/>
      <c r="ET84" s="297"/>
      <c r="EU84" s="297"/>
      <c r="EV84" s="297"/>
    </row>
    <row r="85" spans="1:176" s="68" customFormat="1" x14ac:dyDescent="0.25">
      <c r="B85" s="87" t="s">
        <v>1</v>
      </c>
      <c r="C85" s="103">
        <f>SUM(C51,C61,C71,C78)</f>
        <v>4552273.9940000009</v>
      </c>
      <c r="D85" s="69">
        <f t="shared" ref="D85:N85" si="455">SUM(D51,D61,D71,D78)</f>
        <v>4552273.9940000009</v>
      </c>
      <c r="E85" s="69">
        <f t="shared" si="455"/>
        <v>5911288.3679999998</v>
      </c>
      <c r="F85" s="69">
        <f t="shared" si="455"/>
        <v>5459013.8050000006</v>
      </c>
      <c r="G85" s="69">
        <f t="shared" si="455"/>
        <v>5929034.0750000002</v>
      </c>
      <c r="H85" s="69">
        <f t="shared" si="455"/>
        <v>7266784.7889999999</v>
      </c>
      <c r="I85" s="69">
        <f t="shared" si="455"/>
        <v>9089006.4230000004</v>
      </c>
      <c r="J85" s="69">
        <f t="shared" si="455"/>
        <v>7519115.6330000004</v>
      </c>
      <c r="K85" s="69">
        <f t="shared" si="455"/>
        <v>10411962.310999999</v>
      </c>
      <c r="L85" s="69">
        <f t="shared" si="455"/>
        <v>6792843.3110000007</v>
      </c>
      <c r="M85" s="69">
        <f t="shared" si="455"/>
        <v>5375677.7379999999</v>
      </c>
      <c r="N85" s="89">
        <f t="shared" si="455"/>
        <v>5947687.5920000002</v>
      </c>
      <c r="O85" s="103">
        <f t="shared" ref="O85:Q86" si="456">SUM(O51,O61,O71,O78)</f>
        <v>6483679</v>
      </c>
      <c r="P85" s="69">
        <f t="shared" si="456"/>
        <v>6297742</v>
      </c>
      <c r="Q85" s="69">
        <f t="shared" si="456"/>
        <v>5380618</v>
      </c>
      <c r="R85" s="69">
        <f t="shared" ref="R85:T86" si="457">SUM(R51,R61,R71,R78)</f>
        <v>4875951.3420000002</v>
      </c>
      <c r="S85" s="69">
        <f t="shared" si="457"/>
        <v>5540070.8050000006</v>
      </c>
      <c r="T85" s="69">
        <f t="shared" si="457"/>
        <v>6461644.3609999996</v>
      </c>
      <c r="U85" s="69">
        <f t="shared" ref="U85:W86" si="458">SUM(U51,U61,U71,U78)</f>
        <v>7179091.5149999997</v>
      </c>
      <c r="V85" s="69">
        <f t="shared" si="458"/>
        <v>7977966.6639999999</v>
      </c>
      <c r="W85" s="69">
        <f t="shared" si="458"/>
        <v>7013547.1210000003</v>
      </c>
      <c r="X85" s="69">
        <f t="shared" ref="X85:Z86" si="459">SUM(X51,X61,X71,X78)</f>
        <v>5541940</v>
      </c>
      <c r="Y85" s="69">
        <f t="shared" si="459"/>
        <v>4777435</v>
      </c>
      <c r="Z85" s="89">
        <f t="shared" si="459"/>
        <v>4907417</v>
      </c>
      <c r="AA85" s="103">
        <f t="shared" ref="AA85:AL85" si="460">SUM(AA51,AA61,AA71,AA78)</f>
        <v>5289783.8</v>
      </c>
      <c r="AB85" s="69">
        <f t="shared" si="460"/>
        <v>5410328.0999999996</v>
      </c>
      <c r="AC85" s="69">
        <f t="shared" si="460"/>
        <v>4908167.8</v>
      </c>
      <c r="AD85" s="69">
        <f t="shared" si="460"/>
        <v>4583683.3000000007</v>
      </c>
      <c r="AE85" s="69">
        <f t="shared" si="460"/>
        <v>4794894.2</v>
      </c>
      <c r="AF85" s="69">
        <f t="shared" si="460"/>
        <v>5950192.7000000002</v>
      </c>
      <c r="AG85" s="69">
        <f t="shared" ref="AG85:AI86" si="461">SUM(AG51,AG61,AG71,AG78)</f>
        <v>6233708.2999999998</v>
      </c>
      <c r="AH85" s="69">
        <f t="shared" si="461"/>
        <v>6281712.2999999998</v>
      </c>
      <c r="AI85" s="69">
        <f t="shared" si="461"/>
        <v>5895016.1999999993</v>
      </c>
      <c r="AJ85" s="69">
        <f t="shared" si="460"/>
        <v>4934579.5580000002</v>
      </c>
      <c r="AK85" s="69">
        <f t="shared" si="460"/>
        <v>4132595.4180000001</v>
      </c>
      <c r="AL85" s="89">
        <f t="shared" si="460"/>
        <v>4270335.3439999996</v>
      </c>
      <c r="AM85" s="103">
        <f t="shared" ref="AM85:AP86" si="462">SUM(AM51,AM61,AM71,AM78)</f>
        <v>4791808</v>
      </c>
      <c r="AN85" s="69">
        <f t="shared" si="462"/>
        <v>4250595</v>
      </c>
      <c r="AO85" s="69">
        <f t="shared" si="462"/>
        <v>3896689</v>
      </c>
      <c r="AP85" s="69">
        <f t="shared" si="462"/>
        <v>3569025.7</v>
      </c>
      <c r="AQ85" s="69">
        <f t="shared" ref="AQ85:AU86" si="463">SUM(AQ51,AQ61,AQ71,AQ78)</f>
        <v>3707095.3000000003</v>
      </c>
      <c r="AR85" s="69">
        <f t="shared" si="463"/>
        <v>4911563.0000000009</v>
      </c>
      <c r="AS85" s="69">
        <f t="shared" si="463"/>
        <v>5584213.6000000006</v>
      </c>
      <c r="AT85" s="69">
        <f t="shared" si="463"/>
        <v>5319947.5999999996</v>
      </c>
      <c r="AU85" s="69">
        <f t="shared" si="463"/>
        <v>5696049.6000000006</v>
      </c>
      <c r="AV85" s="69">
        <f t="shared" ref="AV85:AX86" si="464">SUM(AV51,AV61,AV71,AV78)</f>
        <v>4395716.9000000004</v>
      </c>
      <c r="AW85" s="69">
        <f t="shared" si="464"/>
        <v>3266625.3</v>
      </c>
      <c r="AX85" s="89">
        <f t="shared" si="464"/>
        <v>3561479.7</v>
      </c>
      <c r="AY85" s="103">
        <f t="shared" ref="AY85:BJ85" si="465">SUM(AY51,AY61,AY71,AY78)</f>
        <v>3687588</v>
      </c>
      <c r="AZ85" s="69">
        <f t="shared" si="465"/>
        <v>3314990</v>
      </c>
      <c r="BA85" s="69">
        <f t="shared" si="465"/>
        <v>3300890</v>
      </c>
      <c r="BB85" s="69">
        <f t="shared" si="465"/>
        <v>3302585</v>
      </c>
      <c r="BC85" s="69">
        <f t="shared" si="465"/>
        <v>3445374</v>
      </c>
      <c r="BD85" s="69">
        <f t="shared" si="465"/>
        <v>4439926</v>
      </c>
      <c r="BE85" s="69">
        <f t="shared" si="465"/>
        <v>4861060</v>
      </c>
      <c r="BF85" s="69">
        <f t="shared" si="465"/>
        <v>5333219.0999999996</v>
      </c>
      <c r="BG85" s="69">
        <f t="shared" si="465"/>
        <v>4974482.7</v>
      </c>
      <c r="BH85" s="69">
        <f t="shared" si="465"/>
        <v>3556574.3</v>
      </c>
      <c r="BI85" s="69">
        <f t="shared" si="465"/>
        <v>2923255.5000000005</v>
      </c>
      <c r="BJ85" s="89">
        <f t="shared" si="465"/>
        <v>3192478</v>
      </c>
      <c r="BK85" s="103">
        <f t="shared" ref="BK85:BM86" si="466">SUM(BK51,BK61,BK71,BK78)</f>
        <v>3597596.6999999997</v>
      </c>
      <c r="BL85" s="69">
        <f t="shared" si="466"/>
        <v>3725686.5</v>
      </c>
      <c r="BM85" s="69">
        <f t="shared" si="466"/>
        <v>3093713.6999999997</v>
      </c>
      <c r="BN85" s="69">
        <f t="shared" ref="BN85:BP86" si="467">SUM(BN51,BN61,BN71,BN78)</f>
        <v>2790581.8309999998</v>
      </c>
      <c r="BO85" s="69">
        <f t="shared" si="467"/>
        <v>2838987.1709999996</v>
      </c>
      <c r="BP85" s="69">
        <f t="shared" si="467"/>
        <v>3497160.5440000002</v>
      </c>
      <c r="BQ85" s="69">
        <f t="shared" ref="BQ85:BS86" si="468">SUM(BQ51,BQ61,BQ71,BQ78)</f>
        <v>3882474</v>
      </c>
      <c r="BR85" s="69">
        <f t="shared" si="468"/>
        <v>4154818</v>
      </c>
      <c r="BS85" s="69">
        <f t="shared" si="468"/>
        <v>4460685</v>
      </c>
      <c r="BT85" s="69">
        <f t="shared" ref="BT85:CB86" si="469">SUM(BT51,BT61,BT71,BT78)</f>
        <v>3761515.3</v>
      </c>
      <c r="BU85" s="69">
        <f t="shared" si="469"/>
        <v>2862403</v>
      </c>
      <c r="BV85" s="69">
        <f t="shared" si="469"/>
        <v>3146015.5</v>
      </c>
      <c r="BW85" s="201">
        <f t="shared" si="469"/>
        <v>3652184</v>
      </c>
      <c r="BX85" s="69">
        <f t="shared" si="469"/>
        <v>3401113</v>
      </c>
      <c r="BY85" s="69">
        <f t="shared" si="469"/>
        <v>2991872</v>
      </c>
      <c r="BZ85" s="69">
        <f t="shared" si="469"/>
        <v>2774197.4999999995</v>
      </c>
      <c r="CA85" s="69">
        <f t="shared" si="469"/>
        <v>2748021.8</v>
      </c>
      <c r="CB85" s="69">
        <f t="shared" si="469"/>
        <v>4207563.4470000006</v>
      </c>
      <c r="CC85" s="69">
        <f t="shared" ref="CC85:CK85" si="470">SUM(CC51,CC61,CC71,CC78)</f>
        <v>4375530.2340000002</v>
      </c>
      <c r="CD85" s="69">
        <f t="shared" si="470"/>
        <v>4513275.0630000001</v>
      </c>
      <c r="CE85" s="69">
        <f t="shared" si="470"/>
        <v>4003034.6919999998</v>
      </c>
      <c r="CF85" s="69">
        <f t="shared" si="470"/>
        <v>3142159</v>
      </c>
      <c r="CG85" s="69">
        <f t="shared" si="470"/>
        <v>2526251</v>
      </c>
      <c r="CH85" s="69">
        <f t="shared" si="470"/>
        <v>2891184</v>
      </c>
      <c r="CI85" s="201">
        <f t="shared" si="470"/>
        <v>3497866</v>
      </c>
      <c r="CJ85" s="69">
        <f t="shared" si="470"/>
        <v>3043618</v>
      </c>
      <c r="CK85" s="69">
        <f t="shared" si="470"/>
        <v>2675571</v>
      </c>
      <c r="CL85" s="69">
        <f t="shared" ref="CL85:CT85" si="471">SUM(CL51,CL61,CL71,CL78)</f>
        <v>2659379</v>
      </c>
      <c r="CM85" s="69">
        <f t="shared" si="471"/>
        <v>2726250</v>
      </c>
      <c r="CN85" s="69">
        <f t="shared" si="471"/>
        <v>3452209</v>
      </c>
      <c r="CO85" s="69">
        <f t="shared" si="471"/>
        <v>4527713.5999999996</v>
      </c>
      <c r="CP85" s="69">
        <f t="shared" si="471"/>
        <v>4334766.2</v>
      </c>
      <c r="CQ85" s="69">
        <f t="shared" si="471"/>
        <v>4054235.1000000006</v>
      </c>
      <c r="CR85" s="69">
        <f t="shared" si="471"/>
        <v>2940667.6</v>
      </c>
      <c r="CS85" s="69">
        <f t="shared" si="471"/>
        <v>2435637.4</v>
      </c>
      <c r="CT85" s="89">
        <f t="shared" si="471"/>
        <v>3026820.2</v>
      </c>
      <c r="CU85" s="69">
        <f t="shared" ref="CU85:DO85" si="472">SUM(CU51,CU61,CU71,CU78)</f>
        <v>3916015.5079999999</v>
      </c>
      <c r="CV85" s="69">
        <f t="shared" si="472"/>
        <v>3388321.8870000001</v>
      </c>
      <c r="CW85" s="69">
        <f t="shared" si="472"/>
        <v>3119234.5780000002</v>
      </c>
      <c r="CX85" s="69">
        <f t="shared" si="472"/>
        <v>2661555.2000000002</v>
      </c>
      <c r="CY85" s="69">
        <f t="shared" si="472"/>
        <v>2628325</v>
      </c>
      <c r="CZ85" s="69">
        <f t="shared" si="472"/>
        <v>3722201.8999999994</v>
      </c>
      <c r="DA85" s="69">
        <f t="shared" si="472"/>
        <v>4188638.6999999997</v>
      </c>
      <c r="DB85" s="69">
        <f t="shared" si="472"/>
        <v>4371877.2</v>
      </c>
      <c r="DC85" s="69">
        <f t="shared" si="472"/>
        <v>4244445.5999999996</v>
      </c>
      <c r="DD85" s="69">
        <f t="shared" si="472"/>
        <v>3136453.7</v>
      </c>
      <c r="DE85" s="69">
        <f t="shared" si="472"/>
        <v>2476114.1000000006</v>
      </c>
      <c r="DF85" s="89">
        <f t="shared" si="472"/>
        <v>2860138.7</v>
      </c>
      <c r="DG85" s="69">
        <f t="shared" si="472"/>
        <v>3371066.1999999993</v>
      </c>
      <c r="DH85" s="69">
        <f t="shared" si="472"/>
        <v>3510208.3</v>
      </c>
      <c r="DI85" s="69">
        <f t="shared" si="472"/>
        <v>2485202.1</v>
      </c>
      <c r="DJ85" s="69">
        <f t="shared" si="472"/>
        <v>2220990.1</v>
      </c>
      <c r="DK85" s="69">
        <f t="shared" si="472"/>
        <v>2526762.5</v>
      </c>
      <c r="DL85" s="69">
        <f t="shared" si="472"/>
        <v>3381468.0000000005</v>
      </c>
      <c r="DM85" s="69">
        <f t="shared" si="472"/>
        <v>4122601.5</v>
      </c>
      <c r="DN85" s="69">
        <f t="shared" si="472"/>
        <v>4297820.17</v>
      </c>
      <c r="DO85" s="69">
        <f t="shared" si="472"/>
        <v>3861989.6</v>
      </c>
      <c r="DP85" s="68">
        <v>2666605</v>
      </c>
      <c r="DQ85" s="68">
        <v>2128638</v>
      </c>
      <c r="DR85" s="68">
        <v>2534060</v>
      </c>
      <c r="DS85" s="68">
        <v>2702118.5</v>
      </c>
      <c r="DT85" s="297">
        <v>2312201.1</v>
      </c>
      <c r="DU85" s="68">
        <v>2048179.6</v>
      </c>
      <c r="DV85" s="351">
        <v>2075889.7</v>
      </c>
      <c r="DW85" s="351">
        <v>2313550.1</v>
      </c>
      <c r="DX85" s="351">
        <v>2906958.7</v>
      </c>
      <c r="DY85" s="68">
        <v>3329209.3</v>
      </c>
      <c r="DZ85" s="297">
        <v>3496465.1</v>
      </c>
      <c r="EA85" s="68">
        <v>3137745.5</v>
      </c>
      <c r="EB85" s="68">
        <v>2368478</v>
      </c>
      <c r="EC85" s="68">
        <v>1994917.9</v>
      </c>
      <c r="ED85" s="68">
        <v>2088994.3</v>
      </c>
      <c r="EE85" s="359">
        <f t="shared" ref="EE85:ET86" si="473">SUM(EE51,EE61,EE71,EE78)</f>
        <v>2615010.7999999998</v>
      </c>
      <c r="EF85" s="359">
        <f t="shared" si="473"/>
        <v>2178859.7000000002</v>
      </c>
      <c r="EG85" s="359">
        <f t="shared" si="473"/>
        <v>2025660.9000000001</v>
      </c>
      <c r="EH85" s="359">
        <f t="shared" si="473"/>
        <v>1984020.7</v>
      </c>
      <c r="EI85" s="359">
        <f t="shared" si="473"/>
        <v>1957361.5999999999</v>
      </c>
      <c r="EJ85" s="359">
        <f t="shared" si="473"/>
        <v>2518994.6999999997</v>
      </c>
      <c r="EK85" s="359">
        <f t="shared" si="473"/>
        <v>2993016.2</v>
      </c>
      <c r="EL85" s="359">
        <f t="shared" si="473"/>
        <v>3103816.1999999997</v>
      </c>
      <c r="EM85" s="359">
        <f t="shared" si="473"/>
        <v>3171043.3</v>
      </c>
      <c r="EN85" s="359">
        <f t="shared" si="473"/>
        <v>2394399.0000000005</v>
      </c>
      <c r="EO85" s="359">
        <f t="shared" si="473"/>
        <v>1792311.5999999999</v>
      </c>
      <c r="EP85" s="359">
        <f t="shared" si="473"/>
        <v>2414268.9999999995</v>
      </c>
      <c r="EQ85" s="359">
        <f t="shared" si="473"/>
        <v>2666021.9000000004</v>
      </c>
      <c r="ER85" s="359">
        <f t="shared" si="473"/>
        <v>2433908.1999999997</v>
      </c>
      <c r="ES85" s="359">
        <f t="shared" si="473"/>
        <v>2169266.4</v>
      </c>
      <c r="ET85" s="359">
        <f t="shared" si="473"/>
        <v>1937810.8</v>
      </c>
      <c r="EU85" s="359">
        <f t="shared" ref="EU85:FJ86" si="474">SUM(EU51,EU61,EU71,EU78)</f>
        <v>2004941.1</v>
      </c>
      <c r="EV85" s="359">
        <f t="shared" si="474"/>
        <v>2503850.7000000002</v>
      </c>
      <c r="EW85" s="359">
        <f t="shared" si="474"/>
        <v>2806654.7999999993</v>
      </c>
      <c r="EX85" s="359">
        <f t="shared" si="474"/>
        <v>2901998.6</v>
      </c>
      <c r="EY85" s="359">
        <f t="shared" si="474"/>
        <v>3075043.8</v>
      </c>
      <c r="EZ85" s="359">
        <f t="shared" si="474"/>
        <v>2297132.0000000005</v>
      </c>
      <c r="FA85" s="359">
        <f t="shared" si="474"/>
        <v>1958315</v>
      </c>
      <c r="FB85" s="359">
        <f t="shared" si="474"/>
        <v>2103781.5</v>
      </c>
      <c r="FC85" s="359">
        <f t="shared" si="474"/>
        <v>2467903.6000000006</v>
      </c>
      <c r="FD85" s="359">
        <f t="shared" si="474"/>
        <v>2392199.1</v>
      </c>
      <c r="FE85" s="359">
        <f t="shared" si="474"/>
        <v>2371033.4</v>
      </c>
      <c r="FF85" s="359">
        <f t="shared" si="474"/>
        <v>1951659.1</v>
      </c>
      <c r="FG85" s="359">
        <f t="shared" si="474"/>
        <v>1920686.4</v>
      </c>
      <c r="FH85" s="359">
        <f t="shared" si="474"/>
        <v>2357687.9</v>
      </c>
      <c r="FI85" s="359">
        <f t="shared" si="474"/>
        <v>2940277</v>
      </c>
      <c r="FJ85" s="359">
        <f t="shared" si="474"/>
        <v>3274363.9</v>
      </c>
      <c r="FK85" s="359">
        <f>SUM(FK51,FK61,FK71,FK78)</f>
        <v>3063896.9</v>
      </c>
      <c r="FL85" s="359">
        <f t="shared" ref="FL85:FO85" si="475">SUM(FL51,FL61,FL71,FL78)</f>
        <v>2522861.7999999998</v>
      </c>
      <c r="FM85" s="359">
        <f t="shared" si="475"/>
        <v>1908789.2</v>
      </c>
      <c r="FN85" s="359">
        <f t="shared" si="475"/>
        <v>2036159.8</v>
      </c>
      <c r="FO85" s="359">
        <f t="shared" si="475"/>
        <v>2319237.5</v>
      </c>
      <c r="FP85" s="359">
        <f t="shared" ref="FP85:FQ85" si="476">SUM(FP51,FP61,FP71,FP78)</f>
        <v>2200306.7000000002</v>
      </c>
      <c r="FQ85" s="359">
        <f t="shared" si="476"/>
        <v>1815197.4</v>
      </c>
      <c r="FR85" s="359">
        <f t="shared" ref="FR85:FT85" si="477">SUM(FR51,FR61,FR71,FR78)</f>
        <v>1801265.3</v>
      </c>
      <c r="FS85" s="359">
        <f t="shared" si="477"/>
        <v>1868883.1</v>
      </c>
      <c r="FT85" s="359">
        <f t="shared" si="477"/>
        <v>2266218.9000000004</v>
      </c>
    </row>
    <row r="86" spans="1:176" s="68" customFormat="1" ht="13.8" thickBot="1" x14ac:dyDescent="0.3">
      <c r="B86" s="90" t="s">
        <v>8</v>
      </c>
      <c r="C86" s="104">
        <f>SUM(C52,C62,C72,C79)</f>
        <v>1117.9459999999999</v>
      </c>
      <c r="D86" s="92">
        <f t="shared" ref="D86:N86" si="478">SUM(D52,D62,D72,D79)</f>
        <v>248606.09</v>
      </c>
      <c r="E86" s="92">
        <f t="shared" si="478"/>
        <v>737250.38799999992</v>
      </c>
      <c r="F86" s="92">
        <f t="shared" si="478"/>
        <v>932896.36499999999</v>
      </c>
      <c r="G86" s="92">
        <f t="shared" si="478"/>
        <v>800284.69599999988</v>
      </c>
      <c r="H86" s="92">
        <f t="shared" si="478"/>
        <v>2102304.2570000002</v>
      </c>
      <c r="I86" s="92">
        <f t="shared" si="478"/>
        <v>2566093.4969999995</v>
      </c>
      <c r="J86" s="92">
        <f t="shared" si="478"/>
        <v>1839535.2830000001</v>
      </c>
      <c r="K86" s="92">
        <f t="shared" si="478"/>
        <v>2923833.7399999993</v>
      </c>
      <c r="L86" s="92">
        <f t="shared" si="478"/>
        <v>2505739.1700000009</v>
      </c>
      <c r="M86" s="92">
        <f t="shared" si="478"/>
        <v>1533371.2179999999</v>
      </c>
      <c r="N86" s="93">
        <f t="shared" si="478"/>
        <v>1987876.608</v>
      </c>
      <c r="O86" s="104">
        <f t="shared" si="456"/>
        <v>1939000</v>
      </c>
      <c r="P86" s="92">
        <f t="shared" si="456"/>
        <v>2001684</v>
      </c>
      <c r="Q86" s="92">
        <f t="shared" si="456"/>
        <v>2038008</v>
      </c>
      <c r="R86" s="92">
        <f t="shared" si="457"/>
        <v>2004100.3110000005</v>
      </c>
      <c r="S86" s="92">
        <f t="shared" si="457"/>
        <v>2253628.014</v>
      </c>
      <c r="T86" s="92">
        <f t="shared" si="457"/>
        <v>2515430.0260000005</v>
      </c>
      <c r="U86" s="92">
        <f t="shared" si="458"/>
        <v>2839759.7550000004</v>
      </c>
      <c r="V86" s="92">
        <f t="shared" si="458"/>
        <v>3282675.4969999995</v>
      </c>
      <c r="W86" s="92">
        <f t="shared" si="458"/>
        <v>3059772.9590000012</v>
      </c>
      <c r="X86" s="92">
        <f t="shared" si="459"/>
        <v>2797903</v>
      </c>
      <c r="Y86" s="92">
        <f t="shared" si="459"/>
        <v>2602768</v>
      </c>
      <c r="Z86" s="93">
        <f t="shared" si="459"/>
        <v>2666367</v>
      </c>
      <c r="AA86" s="104">
        <f t="shared" ref="AA86:AL86" si="479">SUM(AA52,AA62,AA72,AA79)</f>
        <v>2697698.1</v>
      </c>
      <c r="AB86" s="92">
        <f t="shared" si="479"/>
        <v>2721687.4</v>
      </c>
      <c r="AC86" s="92">
        <f t="shared" si="479"/>
        <v>2583649.5</v>
      </c>
      <c r="AD86" s="92">
        <f t="shared" si="479"/>
        <v>2739141.7</v>
      </c>
      <c r="AE86" s="92">
        <f t="shared" si="479"/>
        <v>2919470.3</v>
      </c>
      <c r="AF86" s="92">
        <f t="shared" si="479"/>
        <v>3386340.8</v>
      </c>
      <c r="AG86" s="92">
        <f t="shared" si="461"/>
        <v>3710467.8</v>
      </c>
      <c r="AH86" s="92">
        <f t="shared" si="461"/>
        <v>3892952.9000000004</v>
      </c>
      <c r="AI86" s="92">
        <f t="shared" si="461"/>
        <v>3923241.4800000004</v>
      </c>
      <c r="AJ86" s="92">
        <f t="shared" si="479"/>
        <v>3636254.818</v>
      </c>
      <c r="AK86" s="92">
        <f t="shared" si="479"/>
        <v>3345508.0749999997</v>
      </c>
      <c r="AL86" s="93">
        <f t="shared" si="479"/>
        <v>3388963.7779999999</v>
      </c>
      <c r="AM86" s="104">
        <f t="shared" si="462"/>
        <v>3596947.4</v>
      </c>
      <c r="AN86" s="92">
        <f t="shared" si="462"/>
        <v>3531320.1</v>
      </c>
      <c r="AO86" s="92">
        <f t="shared" si="462"/>
        <v>3638395.8</v>
      </c>
      <c r="AP86" s="92">
        <f t="shared" si="462"/>
        <v>3702485.9000000004</v>
      </c>
      <c r="AQ86" s="92">
        <f t="shared" si="463"/>
        <v>3861701.3</v>
      </c>
      <c r="AR86" s="92">
        <f t="shared" si="463"/>
        <v>4823470.9000000004</v>
      </c>
      <c r="AS86" s="92">
        <f t="shared" si="463"/>
        <v>5245176.1000000006</v>
      </c>
      <c r="AT86" s="92">
        <f t="shared" si="463"/>
        <v>5283251.2</v>
      </c>
      <c r="AU86" s="92">
        <f t="shared" si="463"/>
        <v>5791540.4000000004</v>
      </c>
      <c r="AV86" s="92">
        <f t="shared" si="464"/>
        <v>4993562.5999999996</v>
      </c>
      <c r="AW86" s="92">
        <f t="shared" si="464"/>
        <v>4261066.7</v>
      </c>
      <c r="AX86" s="93">
        <f t="shared" si="464"/>
        <v>4352113.8000000007</v>
      </c>
      <c r="AY86" s="104">
        <f t="shared" ref="AY86:BJ86" si="480">SUM(AY52,AY62,AY72,AY79)</f>
        <v>4407851.0000000009</v>
      </c>
      <c r="AZ86" s="92">
        <f t="shared" si="480"/>
        <v>4059167.8</v>
      </c>
      <c r="BA86" s="92">
        <f t="shared" si="480"/>
        <v>4365875.4000000004</v>
      </c>
      <c r="BB86" s="92">
        <f t="shared" si="480"/>
        <v>4583144</v>
      </c>
      <c r="BC86" s="92">
        <f t="shared" si="480"/>
        <v>4732175</v>
      </c>
      <c r="BD86" s="92">
        <f t="shared" si="480"/>
        <v>5572667</v>
      </c>
      <c r="BE86" s="92">
        <f t="shared" si="480"/>
        <v>5862891.2000000011</v>
      </c>
      <c r="BF86" s="92">
        <f t="shared" si="480"/>
        <v>6286111.2999999998</v>
      </c>
      <c r="BG86" s="92">
        <f t="shared" si="480"/>
        <v>6288398.7000000002</v>
      </c>
      <c r="BH86" s="92">
        <f t="shared" si="480"/>
        <v>5110503.3000000007</v>
      </c>
      <c r="BI86" s="92">
        <f t="shared" si="480"/>
        <v>4525223.7000000011</v>
      </c>
      <c r="BJ86" s="93">
        <f t="shared" si="480"/>
        <v>4651406.3999999994</v>
      </c>
      <c r="BK86" s="104">
        <f t="shared" si="466"/>
        <v>4921445.5</v>
      </c>
      <c r="BL86" s="92">
        <f t="shared" si="466"/>
        <v>5102715.2</v>
      </c>
      <c r="BM86" s="92">
        <f t="shared" si="466"/>
        <v>4592871.3</v>
      </c>
      <c r="BN86" s="92">
        <f t="shared" si="467"/>
        <v>4592502.199</v>
      </c>
      <c r="BO86" s="92">
        <f t="shared" si="467"/>
        <v>4754775.8870000001</v>
      </c>
      <c r="BP86" s="92">
        <f t="shared" si="467"/>
        <v>5366829.6409999998</v>
      </c>
      <c r="BQ86" s="92">
        <f t="shared" si="468"/>
        <v>5804644</v>
      </c>
      <c r="BR86" s="92">
        <f t="shared" si="468"/>
        <v>6056561</v>
      </c>
      <c r="BS86" s="92">
        <f t="shared" si="468"/>
        <v>6493526</v>
      </c>
      <c r="BT86" s="92">
        <f t="shared" si="469"/>
        <v>5859856.8999999994</v>
      </c>
      <c r="BU86" s="92">
        <f t="shared" si="469"/>
        <v>4950918.5</v>
      </c>
      <c r="BV86" s="92">
        <f t="shared" si="469"/>
        <v>5203186.8999999994</v>
      </c>
      <c r="BW86" s="210">
        <f t="shared" si="469"/>
        <v>5571776</v>
      </c>
      <c r="BX86" s="92">
        <f t="shared" si="469"/>
        <v>5198235</v>
      </c>
      <c r="BY86" s="92">
        <f t="shared" si="469"/>
        <v>4839772.7</v>
      </c>
      <c r="BZ86" s="92">
        <f t="shared" si="469"/>
        <v>4737925.8999999994</v>
      </c>
      <c r="CA86" s="92">
        <f t="shared" si="469"/>
        <v>4864827.3</v>
      </c>
      <c r="CB86" s="92">
        <f t="shared" si="469"/>
        <v>6260109.4000000004</v>
      </c>
      <c r="CC86" s="92">
        <f t="shared" ref="CC86:CK86" si="481">SUM(CC52,CC62,CC72,CC79)</f>
        <v>6537153.0269999998</v>
      </c>
      <c r="CD86" s="92">
        <f t="shared" si="481"/>
        <v>6776723.6970000006</v>
      </c>
      <c r="CE86" s="92">
        <f t="shared" si="481"/>
        <v>6405954.1449999996</v>
      </c>
      <c r="CF86" s="92">
        <f t="shared" si="481"/>
        <v>5442816</v>
      </c>
      <c r="CG86" s="92">
        <f t="shared" si="481"/>
        <v>4804465</v>
      </c>
      <c r="CH86" s="92">
        <f t="shared" si="481"/>
        <v>5162858</v>
      </c>
      <c r="CI86" s="210">
        <f t="shared" si="481"/>
        <v>5629887</v>
      </c>
      <c r="CJ86" s="92">
        <f t="shared" si="481"/>
        <v>4916499</v>
      </c>
      <c r="CK86" s="92">
        <f t="shared" si="481"/>
        <v>4645352</v>
      </c>
      <c r="CL86" s="92">
        <f>SUM(CL52,CL62,CL72,CL79)</f>
        <v>4740526</v>
      </c>
      <c r="CM86" s="92">
        <f>SUM(CM52,CM62,CM72,CM79)</f>
        <v>4804020</v>
      </c>
      <c r="CN86" s="92">
        <f>SUM(CN52,CN62,CN72,CN79)</f>
        <v>5561412</v>
      </c>
      <c r="CO86" s="92">
        <f t="shared" ref="CO86:CT86" si="482">SUM(CO52,CO62,CO72,CO79)</f>
        <v>6532659.2000000002</v>
      </c>
      <c r="CP86" s="92">
        <f t="shared" si="482"/>
        <v>6324571.7999999998</v>
      </c>
      <c r="CQ86" s="92">
        <f t="shared" si="482"/>
        <v>6207359.7999999998</v>
      </c>
      <c r="CR86" s="92">
        <f t="shared" si="482"/>
        <v>5127998.9999999991</v>
      </c>
      <c r="CS86" s="92">
        <f t="shared" si="482"/>
        <v>4479260.5</v>
      </c>
      <c r="CT86" s="93">
        <f t="shared" si="482"/>
        <v>5176737.1000000006</v>
      </c>
      <c r="CU86" s="92">
        <f t="shared" ref="CU86:DO86" si="483">SUM(CU52,CU62,CU72,CU79)</f>
        <v>5948004.1289999997</v>
      </c>
      <c r="CV86" s="92">
        <f t="shared" si="483"/>
        <v>5256097.2029999997</v>
      </c>
      <c r="CW86" s="92">
        <f t="shared" si="483"/>
        <v>4984372.8130000001</v>
      </c>
      <c r="CX86" s="92">
        <f t="shared" si="483"/>
        <v>4691198.2509999992</v>
      </c>
      <c r="CY86" s="92">
        <f t="shared" si="483"/>
        <v>4796397.5190000003</v>
      </c>
      <c r="CZ86" s="92">
        <f t="shared" si="483"/>
        <v>6164045.3420000002</v>
      </c>
      <c r="DA86" s="92">
        <f t="shared" si="483"/>
        <v>6724731.0000000009</v>
      </c>
      <c r="DB86" s="92">
        <f t="shared" si="483"/>
        <v>6936776.0999999996</v>
      </c>
      <c r="DC86" s="92">
        <f t="shared" si="483"/>
        <v>7012433.7999999998</v>
      </c>
      <c r="DD86" s="92">
        <f t="shared" si="483"/>
        <v>5713863.2999999998</v>
      </c>
      <c r="DE86" s="92">
        <f t="shared" si="483"/>
        <v>4918623.4000000004</v>
      </c>
      <c r="DF86" s="93">
        <f t="shared" si="483"/>
        <v>5463413.0000000009</v>
      </c>
      <c r="DG86" s="92">
        <f t="shared" si="483"/>
        <v>6063347.8000000007</v>
      </c>
      <c r="DH86" s="92">
        <f t="shared" si="483"/>
        <v>6297599.3999999994</v>
      </c>
      <c r="DI86" s="92">
        <f t="shared" si="483"/>
        <v>4989566.5</v>
      </c>
      <c r="DJ86" s="92">
        <f t="shared" si="483"/>
        <v>4754920.8000000007</v>
      </c>
      <c r="DK86" s="92">
        <f t="shared" si="483"/>
        <v>5679953.8999999994</v>
      </c>
      <c r="DL86" s="92">
        <f t="shared" si="483"/>
        <v>6882959.7000000002</v>
      </c>
      <c r="DM86" s="92">
        <f t="shared" si="483"/>
        <v>7973801.4000000004</v>
      </c>
      <c r="DN86" s="92">
        <f t="shared" si="483"/>
        <v>8313834.3999999994</v>
      </c>
      <c r="DO86" s="92">
        <f t="shared" si="483"/>
        <v>7892499.4500000002</v>
      </c>
      <c r="DP86" s="92">
        <v>6334185.2000000002</v>
      </c>
      <c r="DQ86" s="92">
        <v>5452401.0999999996</v>
      </c>
      <c r="DR86" s="92">
        <v>6094193.7000000002</v>
      </c>
      <c r="DS86" s="92">
        <v>6380364.0999999996</v>
      </c>
      <c r="DT86" s="276">
        <v>5843559.4000000004</v>
      </c>
      <c r="DU86" s="92">
        <v>5483882.5</v>
      </c>
      <c r="DV86" s="352">
        <v>5812175.4000000004</v>
      </c>
      <c r="DW86" s="352">
        <v>6158357.5999999996</v>
      </c>
      <c r="DX86" s="352">
        <v>7335932.4000000004</v>
      </c>
      <c r="DY86" s="92">
        <v>7999982.4000000004</v>
      </c>
      <c r="DZ86" s="276">
        <v>8268411.7000000002</v>
      </c>
      <c r="EA86" s="92">
        <v>7861274.2999999998</v>
      </c>
      <c r="EB86" s="92">
        <v>6526670.7999999998</v>
      </c>
      <c r="EC86" s="92">
        <v>5931831.4000000004</v>
      </c>
      <c r="ED86" s="92">
        <v>5993404</v>
      </c>
      <c r="EE86" s="365">
        <f t="shared" si="473"/>
        <v>6719009.7999999998</v>
      </c>
      <c r="EF86" s="365">
        <f t="shared" si="473"/>
        <v>6114502.9999999991</v>
      </c>
      <c r="EG86" s="365">
        <f t="shared" si="473"/>
        <v>5842831.5</v>
      </c>
      <c r="EH86" s="365">
        <f t="shared" si="473"/>
        <v>6020973.2000000002</v>
      </c>
      <c r="EI86" s="365">
        <f t="shared" si="473"/>
        <v>5981668.7000000002</v>
      </c>
      <c r="EJ86" s="365">
        <f t="shared" si="473"/>
        <v>7286025.7000000002</v>
      </c>
      <c r="EK86" s="365">
        <f t="shared" si="473"/>
        <v>8134655.8000000007</v>
      </c>
      <c r="EL86" s="365">
        <f t="shared" si="473"/>
        <v>8297758</v>
      </c>
      <c r="EM86" s="365">
        <f t="shared" si="473"/>
        <v>8558423</v>
      </c>
      <c r="EN86" s="365">
        <f t="shared" si="473"/>
        <v>7181134.0000000009</v>
      </c>
      <c r="EO86" s="365">
        <f t="shared" si="473"/>
        <v>5988643.7000000002</v>
      </c>
      <c r="EP86" s="365">
        <f t="shared" si="473"/>
        <v>7049751.4000000004</v>
      </c>
      <c r="EQ86" s="365">
        <f t="shared" si="473"/>
        <v>7462975.6000000006</v>
      </c>
      <c r="ER86" s="365">
        <f t="shared" si="473"/>
        <v>6899021</v>
      </c>
      <c r="ES86" s="365">
        <f t="shared" si="473"/>
        <v>6463592.4000000004</v>
      </c>
      <c r="ET86" s="365">
        <f t="shared" si="473"/>
        <v>6349360.2999999989</v>
      </c>
      <c r="EU86" s="365">
        <f t="shared" si="474"/>
        <v>6482489.2999999998</v>
      </c>
      <c r="EV86" s="365">
        <f t="shared" si="474"/>
        <v>7548126.2999999998</v>
      </c>
      <c r="EW86" s="365">
        <f t="shared" si="474"/>
        <v>7999963.7999999998</v>
      </c>
      <c r="EX86" s="365">
        <f t="shared" si="474"/>
        <v>8158774.1000000006</v>
      </c>
      <c r="EY86" s="365">
        <f t="shared" si="474"/>
        <v>8687547.7799999993</v>
      </c>
      <c r="EZ86" s="365">
        <f t="shared" si="474"/>
        <v>7115120.3999999994</v>
      </c>
      <c r="FA86" s="365">
        <f t="shared" si="474"/>
        <v>6354344.2000000002</v>
      </c>
      <c r="FB86" s="365">
        <f t="shared" si="474"/>
        <v>6525789</v>
      </c>
      <c r="FC86" s="365">
        <f t="shared" si="474"/>
        <v>7200853.0599999996</v>
      </c>
      <c r="FD86" s="365">
        <f t="shared" si="474"/>
        <v>6974377.5</v>
      </c>
      <c r="FE86" s="365">
        <f t="shared" si="474"/>
        <v>6856327.7999999998</v>
      </c>
      <c r="FF86" s="365">
        <f t="shared" si="474"/>
        <v>6284750.3999999994</v>
      </c>
      <c r="FG86" s="365">
        <f t="shared" si="474"/>
        <v>6267333.8999999994</v>
      </c>
      <c r="FH86" s="365">
        <f t="shared" si="474"/>
        <v>7198378.2000000002</v>
      </c>
      <c r="FI86" s="365">
        <f t="shared" si="474"/>
        <v>8394630.3000000007</v>
      </c>
      <c r="FJ86" s="365">
        <f t="shared" si="474"/>
        <v>9027249.0999999996</v>
      </c>
      <c r="FK86" s="365">
        <f>SUM(FK52,FK62,FK72,FK79)</f>
        <v>8722343.9000000004</v>
      </c>
      <c r="FL86" s="365">
        <f t="shared" ref="FL86:FO86" si="484">SUM(FL52,FL62,FL72,FL79)</f>
        <v>7655031.2999999998</v>
      </c>
      <c r="FM86" s="365">
        <f t="shared" si="484"/>
        <v>6309765.2999999998</v>
      </c>
      <c r="FN86" s="365">
        <f t="shared" si="484"/>
        <v>6488024.0999999996</v>
      </c>
      <c r="FO86" s="365">
        <f t="shared" si="484"/>
        <v>7046662.5</v>
      </c>
      <c r="FP86" s="365">
        <f t="shared" ref="FP86:FQ86" si="485">SUM(FP52,FP62,FP72,FP79)</f>
        <v>6803427.5999999996</v>
      </c>
      <c r="FQ86" s="365">
        <f t="shared" si="485"/>
        <v>6010212.0999999996</v>
      </c>
      <c r="FR86" s="365">
        <f t="shared" ref="FR86:FT86" si="486">SUM(FR52,FR62,FR72,FR79)</f>
        <v>6191222.6000000006</v>
      </c>
      <c r="FS86" s="365">
        <f t="shared" si="486"/>
        <v>6304629.5999999996</v>
      </c>
      <c r="FT86" s="365">
        <f t="shared" si="486"/>
        <v>7246556.2000000002</v>
      </c>
    </row>
    <row r="87" spans="1:176" s="68" customFormat="1" ht="13.8" thickTop="1" x14ac:dyDescent="0.25">
      <c r="B87" s="87" t="s">
        <v>9</v>
      </c>
      <c r="C87" s="105">
        <f t="shared" ref="C87:Q87" si="487">SUM(C85:C86)</f>
        <v>4553391.9400000013</v>
      </c>
      <c r="D87" s="94">
        <f t="shared" si="487"/>
        <v>4800880.0840000007</v>
      </c>
      <c r="E87" s="94">
        <f t="shared" si="487"/>
        <v>6648538.7560000001</v>
      </c>
      <c r="F87" s="94">
        <f t="shared" si="487"/>
        <v>6391910.1700000009</v>
      </c>
      <c r="G87" s="94">
        <f t="shared" si="487"/>
        <v>6729318.7709999997</v>
      </c>
      <c r="H87" s="94">
        <f t="shared" si="487"/>
        <v>9369089.0460000001</v>
      </c>
      <c r="I87" s="94">
        <f t="shared" si="487"/>
        <v>11655099.92</v>
      </c>
      <c r="J87" s="94">
        <f t="shared" si="487"/>
        <v>9358650.9160000011</v>
      </c>
      <c r="K87" s="94">
        <f t="shared" si="487"/>
        <v>13335796.050999999</v>
      </c>
      <c r="L87" s="94">
        <f t="shared" si="487"/>
        <v>9298582.4810000025</v>
      </c>
      <c r="M87" s="94">
        <f t="shared" si="487"/>
        <v>6909048.9560000002</v>
      </c>
      <c r="N87" s="107">
        <f t="shared" si="487"/>
        <v>7935564.2000000002</v>
      </c>
      <c r="O87" s="105">
        <f t="shared" si="487"/>
        <v>8422679</v>
      </c>
      <c r="P87" s="94">
        <f t="shared" si="487"/>
        <v>8299426</v>
      </c>
      <c r="Q87" s="94">
        <f t="shared" si="487"/>
        <v>7418626</v>
      </c>
      <c r="R87" s="94">
        <f t="shared" ref="R87:W87" si="488">SUM(R85:R86)</f>
        <v>6880051.6530000009</v>
      </c>
      <c r="S87" s="94">
        <f t="shared" si="488"/>
        <v>7793698.8190000001</v>
      </c>
      <c r="T87" s="94">
        <f t="shared" si="488"/>
        <v>8977074.3870000001</v>
      </c>
      <c r="U87" s="94">
        <f t="shared" si="488"/>
        <v>10018851.27</v>
      </c>
      <c r="V87" s="94">
        <f t="shared" si="488"/>
        <v>11260642.160999998</v>
      </c>
      <c r="W87" s="94">
        <f t="shared" si="488"/>
        <v>10073320.080000002</v>
      </c>
      <c r="X87" s="94">
        <f>SUM(X85:X86)</f>
        <v>8339843</v>
      </c>
      <c r="Y87" s="94">
        <f>SUM(Y85:Y86)</f>
        <v>7380203</v>
      </c>
      <c r="Z87" s="107">
        <f>SUM(Z85:Z86)</f>
        <v>7573784</v>
      </c>
      <c r="AA87" s="105">
        <f t="shared" ref="AA87:AL87" si="489">SUM(AA85:AA86)</f>
        <v>7987481.9000000004</v>
      </c>
      <c r="AB87" s="94">
        <f t="shared" si="489"/>
        <v>8132015.5</v>
      </c>
      <c r="AC87" s="94">
        <f t="shared" si="489"/>
        <v>7491817.2999999998</v>
      </c>
      <c r="AD87" s="94">
        <f t="shared" si="489"/>
        <v>7322825.0000000009</v>
      </c>
      <c r="AE87" s="94">
        <f t="shared" si="489"/>
        <v>7714364.5</v>
      </c>
      <c r="AF87" s="94">
        <f t="shared" si="489"/>
        <v>9336533.5</v>
      </c>
      <c r="AG87" s="94">
        <f>SUM(AG85:AG86)</f>
        <v>9944176.0999999996</v>
      </c>
      <c r="AH87" s="94">
        <f>SUM(AH85:AH86)</f>
        <v>10174665.199999999</v>
      </c>
      <c r="AI87" s="94">
        <f>SUM(AI85:AI86)</f>
        <v>9818257.6799999997</v>
      </c>
      <c r="AJ87" s="94">
        <f t="shared" si="489"/>
        <v>8570834.3760000002</v>
      </c>
      <c r="AK87" s="94">
        <f t="shared" si="489"/>
        <v>7478103.4929999998</v>
      </c>
      <c r="AL87" s="107">
        <f t="shared" si="489"/>
        <v>7659299.1219999995</v>
      </c>
      <c r="AM87" s="105">
        <f t="shared" ref="AM87:AR87" si="490">SUM(AM85:AM86)</f>
        <v>8388755.4000000004</v>
      </c>
      <c r="AN87" s="94">
        <f t="shared" si="490"/>
        <v>7781915.0999999996</v>
      </c>
      <c r="AO87" s="94">
        <f t="shared" si="490"/>
        <v>7535084.7999999998</v>
      </c>
      <c r="AP87" s="94">
        <f t="shared" si="490"/>
        <v>7271511.6000000006</v>
      </c>
      <c r="AQ87" s="94">
        <f t="shared" si="490"/>
        <v>7568796.5999999996</v>
      </c>
      <c r="AR87" s="94">
        <f t="shared" si="490"/>
        <v>9735033.9000000022</v>
      </c>
      <c r="AS87" s="94">
        <f t="shared" ref="AS87:AX87" si="491">SUM(AS85:AS86)</f>
        <v>10829389.700000001</v>
      </c>
      <c r="AT87" s="94">
        <f t="shared" si="491"/>
        <v>10603198.800000001</v>
      </c>
      <c r="AU87" s="94">
        <f t="shared" si="491"/>
        <v>11487590</v>
      </c>
      <c r="AV87" s="94">
        <f t="shared" si="491"/>
        <v>9389279.5</v>
      </c>
      <c r="AW87" s="94">
        <f t="shared" si="491"/>
        <v>7527692</v>
      </c>
      <c r="AX87" s="107">
        <f t="shared" si="491"/>
        <v>7913593.5000000009</v>
      </c>
      <c r="AY87" s="105">
        <f t="shared" ref="AY87:BJ87" si="492">SUM(AY85:AY86)</f>
        <v>8095439.0000000009</v>
      </c>
      <c r="AZ87" s="94">
        <f t="shared" si="492"/>
        <v>7374157.7999999998</v>
      </c>
      <c r="BA87" s="94">
        <f t="shared" si="492"/>
        <v>7666765.4000000004</v>
      </c>
      <c r="BB87" s="94">
        <f t="shared" si="492"/>
        <v>7885729</v>
      </c>
      <c r="BC87" s="94">
        <f t="shared" si="492"/>
        <v>8177549</v>
      </c>
      <c r="BD87" s="94">
        <f t="shared" si="492"/>
        <v>10012593</v>
      </c>
      <c r="BE87" s="94">
        <f t="shared" si="492"/>
        <v>10723951.200000001</v>
      </c>
      <c r="BF87" s="94">
        <f t="shared" si="492"/>
        <v>11619330.399999999</v>
      </c>
      <c r="BG87" s="94">
        <f t="shared" si="492"/>
        <v>11262881.4</v>
      </c>
      <c r="BH87" s="94">
        <f t="shared" si="492"/>
        <v>8667077.6000000015</v>
      </c>
      <c r="BI87" s="94">
        <f t="shared" si="492"/>
        <v>7448479.2000000011</v>
      </c>
      <c r="BJ87" s="107">
        <f t="shared" si="492"/>
        <v>7843884.3999999994</v>
      </c>
      <c r="BK87" s="105">
        <f t="shared" ref="BK87:BP87" si="493">SUM(BK85:BK86)</f>
        <v>8519042.1999999993</v>
      </c>
      <c r="BL87" s="94">
        <f t="shared" si="493"/>
        <v>8828401.6999999993</v>
      </c>
      <c r="BM87" s="94">
        <f t="shared" si="493"/>
        <v>7686585</v>
      </c>
      <c r="BN87" s="94">
        <f t="shared" si="493"/>
        <v>7383084.0299999993</v>
      </c>
      <c r="BO87" s="94">
        <f t="shared" si="493"/>
        <v>7593763.0580000002</v>
      </c>
      <c r="BP87" s="94">
        <f t="shared" si="493"/>
        <v>8863990.1850000005</v>
      </c>
      <c r="BQ87" s="94">
        <f t="shared" ref="BQ87:CB87" si="494">SUM(BQ85:BQ86)</f>
        <v>9687118</v>
      </c>
      <c r="BR87" s="94">
        <f t="shared" si="494"/>
        <v>10211379</v>
      </c>
      <c r="BS87" s="94">
        <f t="shared" si="494"/>
        <v>10954211</v>
      </c>
      <c r="BT87" s="94">
        <f t="shared" si="494"/>
        <v>9621372.1999999993</v>
      </c>
      <c r="BU87" s="94">
        <f t="shared" si="494"/>
        <v>7813321.5</v>
      </c>
      <c r="BV87" s="95">
        <f t="shared" si="494"/>
        <v>8349202.3999999994</v>
      </c>
      <c r="BW87" s="115">
        <f t="shared" si="494"/>
        <v>9223960</v>
      </c>
      <c r="BX87" s="94">
        <f t="shared" si="494"/>
        <v>8599348</v>
      </c>
      <c r="BY87" s="94">
        <f t="shared" si="494"/>
        <v>7831644.7000000002</v>
      </c>
      <c r="BZ87" s="94">
        <f t="shared" si="494"/>
        <v>7512123.3999999985</v>
      </c>
      <c r="CA87" s="94">
        <f t="shared" si="494"/>
        <v>7612849.0999999996</v>
      </c>
      <c r="CB87" s="94">
        <f t="shared" si="494"/>
        <v>10467672.847000001</v>
      </c>
      <c r="CC87" s="94">
        <f t="shared" ref="CC87:CK87" si="495">SUM(CC85:CC86)</f>
        <v>10912683.261</v>
      </c>
      <c r="CD87" s="94">
        <f t="shared" si="495"/>
        <v>11289998.760000002</v>
      </c>
      <c r="CE87" s="94">
        <f t="shared" si="495"/>
        <v>10408988.836999999</v>
      </c>
      <c r="CF87" s="94">
        <f t="shared" si="495"/>
        <v>8584975</v>
      </c>
      <c r="CG87" s="94">
        <f t="shared" si="495"/>
        <v>7330716</v>
      </c>
      <c r="CH87" s="94">
        <f t="shared" si="495"/>
        <v>8054042</v>
      </c>
      <c r="CI87" s="115">
        <f t="shared" si="495"/>
        <v>9127753</v>
      </c>
      <c r="CJ87" s="94">
        <f t="shared" si="495"/>
        <v>7960117</v>
      </c>
      <c r="CK87" s="94">
        <f t="shared" si="495"/>
        <v>7320923</v>
      </c>
      <c r="CL87" s="94">
        <f t="shared" ref="CL87:CT87" si="496">SUM(CL85:CL86)</f>
        <v>7399905</v>
      </c>
      <c r="CM87" s="94">
        <f t="shared" si="496"/>
        <v>7530270</v>
      </c>
      <c r="CN87" s="94">
        <f t="shared" si="496"/>
        <v>9013621</v>
      </c>
      <c r="CO87" s="94">
        <f t="shared" si="496"/>
        <v>11060372.800000001</v>
      </c>
      <c r="CP87" s="94">
        <f t="shared" si="496"/>
        <v>10659338</v>
      </c>
      <c r="CQ87" s="94">
        <f t="shared" si="496"/>
        <v>10261594.9</v>
      </c>
      <c r="CR87" s="94">
        <f t="shared" si="496"/>
        <v>8068666.5999999996</v>
      </c>
      <c r="CS87" s="94">
        <f t="shared" si="496"/>
        <v>6914897.9000000004</v>
      </c>
      <c r="CT87" s="96">
        <f t="shared" si="496"/>
        <v>8203557.3000000007</v>
      </c>
      <c r="CU87" s="94">
        <f t="shared" ref="CU87:DJ87" si="497">SUM(CU85:CU86)</f>
        <v>9864019.6370000001</v>
      </c>
      <c r="CV87" s="94">
        <f t="shared" si="497"/>
        <v>8644419.0899999999</v>
      </c>
      <c r="CW87" s="94">
        <f t="shared" si="497"/>
        <v>8103607.3910000008</v>
      </c>
      <c r="CX87" s="94">
        <f t="shared" si="497"/>
        <v>7352753.4509999994</v>
      </c>
      <c r="CY87" s="94">
        <f t="shared" si="497"/>
        <v>7424722.5190000003</v>
      </c>
      <c r="CZ87" s="94">
        <f t="shared" si="497"/>
        <v>9886247.2419999987</v>
      </c>
      <c r="DA87" s="94">
        <f t="shared" si="497"/>
        <v>10913369.700000001</v>
      </c>
      <c r="DB87" s="94">
        <f t="shared" si="497"/>
        <v>11308653.300000001</v>
      </c>
      <c r="DC87" s="94">
        <f t="shared" si="497"/>
        <v>11256879.399999999</v>
      </c>
      <c r="DD87" s="94">
        <f t="shared" si="497"/>
        <v>8850317</v>
      </c>
      <c r="DE87" s="94">
        <f t="shared" si="497"/>
        <v>7394737.5000000009</v>
      </c>
      <c r="DF87" s="96">
        <f t="shared" si="497"/>
        <v>8323551.7000000011</v>
      </c>
      <c r="DG87" s="94">
        <f t="shared" si="497"/>
        <v>9434414</v>
      </c>
      <c r="DH87" s="94">
        <f t="shared" si="497"/>
        <v>9807807.6999999993</v>
      </c>
      <c r="DI87" s="94">
        <f t="shared" si="497"/>
        <v>7474768.5999999996</v>
      </c>
      <c r="DJ87" s="94">
        <f t="shared" si="497"/>
        <v>6975910.9000000004</v>
      </c>
      <c r="DK87" s="94">
        <f t="shared" ref="DK87:FO87" si="498">SUM(DK85:DK86)</f>
        <v>8206716.3999999994</v>
      </c>
      <c r="DL87" s="94">
        <f t="shared" si="498"/>
        <v>10264427.700000001</v>
      </c>
      <c r="DM87" s="94">
        <f t="shared" si="498"/>
        <v>12096402.9</v>
      </c>
      <c r="DN87" s="94">
        <f t="shared" si="498"/>
        <v>12611654.57</v>
      </c>
      <c r="DO87" s="94">
        <f t="shared" si="498"/>
        <v>11754489.050000001</v>
      </c>
      <c r="DP87" s="94">
        <f t="shared" si="498"/>
        <v>9000790.1999999993</v>
      </c>
      <c r="DQ87" s="94">
        <f t="shared" si="498"/>
        <v>7581039.0999999996</v>
      </c>
      <c r="DR87" s="94">
        <f t="shared" si="498"/>
        <v>8628253.6999999993</v>
      </c>
      <c r="DS87" s="94">
        <f t="shared" si="498"/>
        <v>9082482.5999999996</v>
      </c>
      <c r="DT87" s="94">
        <f t="shared" si="498"/>
        <v>8155760.5</v>
      </c>
      <c r="DU87" s="94">
        <f t="shared" si="498"/>
        <v>7532062.0999999996</v>
      </c>
      <c r="DV87" s="358">
        <f t="shared" si="498"/>
        <v>7888065.1000000006</v>
      </c>
      <c r="DW87" s="358">
        <f t="shared" si="498"/>
        <v>8471907.6999999993</v>
      </c>
      <c r="DX87" s="358">
        <f t="shared" si="498"/>
        <v>10242891.100000001</v>
      </c>
      <c r="DY87" s="358">
        <f t="shared" si="498"/>
        <v>11329191.699999999</v>
      </c>
      <c r="DZ87" s="358">
        <f t="shared" si="498"/>
        <v>11764876.800000001</v>
      </c>
      <c r="EA87" s="358">
        <f t="shared" si="498"/>
        <v>10999019.800000001</v>
      </c>
      <c r="EB87" s="358">
        <f t="shared" si="498"/>
        <v>8895148.8000000007</v>
      </c>
      <c r="EC87" s="358">
        <f t="shared" si="498"/>
        <v>7926749.3000000007</v>
      </c>
      <c r="ED87" s="358">
        <f t="shared" si="498"/>
        <v>8082398.2999999998</v>
      </c>
      <c r="EE87" s="358">
        <f t="shared" si="498"/>
        <v>9334020.5999999996</v>
      </c>
      <c r="EF87" s="358">
        <f t="shared" si="498"/>
        <v>8293362.6999999993</v>
      </c>
      <c r="EG87" s="358">
        <f t="shared" si="498"/>
        <v>7868492.4000000004</v>
      </c>
      <c r="EH87" s="358">
        <f t="shared" si="498"/>
        <v>8004993.9000000004</v>
      </c>
      <c r="EI87" s="358">
        <f t="shared" si="498"/>
        <v>7939030.2999999998</v>
      </c>
      <c r="EJ87" s="358">
        <f t="shared" si="498"/>
        <v>9805020.4000000004</v>
      </c>
      <c r="EK87" s="358">
        <f t="shared" si="498"/>
        <v>11127672</v>
      </c>
      <c r="EL87" s="358">
        <f t="shared" si="498"/>
        <v>11401574.199999999</v>
      </c>
      <c r="EM87" s="358">
        <f t="shared" si="498"/>
        <v>11729466.300000001</v>
      </c>
      <c r="EN87" s="358">
        <f t="shared" si="498"/>
        <v>9575533.0000000019</v>
      </c>
      <c r="EO87" s="358">
        <f t="shared" si="498"/>
        <v>7780955.2999999998</v>
      </c>
      <c r="EP87" s="358">
        <f t="shared" si="498"/>
        <v>9464020.4000000004</v>
      </c>
      <c r="EQ87" s="358">
        <f t="shared" si="498"/>
        <v>10128997.5</v>
      </c>
      <c r="ER87" s="358">
        <f t="shared" si="498"/>
        <v>9332929.1999999993</v>
      </c>
      <c r="ES87" s="358">
        <f t="shared" si="498"/>
        <v>8632858.8000000007</v>
      </c>
      <c r="ET87" s="358">
        <f t="shared" si="498"/>
        <v>8287171.0999999987</v>
      </c>
      <c r="EU87" s="358">
        <f t="shared" si="498"/>
        <v>8487430.4000000004</v>
      </c>
      <c r="EV87" s="358">
        <f t="shared" si="498"/>
        <v>10051977</v>
      </c>
      <c r="EW87" s="358">
        <f t="shared" si="498"/>
        <v>10806618.6</v>
      </c>
      <c r="EX87" s="358">
        <f t="shared" si="498"/>
        <v>11060772.700000001</v>
      </c>
      <c r="EY87" s="358">
        <f t="shared" si="498"/>
        <v>11762591.579999998</v>
      </c>
      <c r="EZ87" s="358">
        <f t="shared" si="498"/>
        <v>9412252.4000000004</v>
      </c>
      <c r="FA87" s="358">
        <f t="shared" si="498"/>
        <v>8312659.2000000002</v>
      </c>
      <c r="FB87" s="358">
        <f t="shared" si="498"/>
        <v>8629570.5</v>
      </c>
      <c r="FC87" s="358">
        <f t="shared" si="498"/>
        <v>9668756.6600000001</v>
      </c>
      <c r="FD87" s="358">
        <f t="shared" si="498"/>
        <v>9366576.5999999996</v>
      </c>
      <c r="FE87" s="358">
        <f t="shared" si="498"/>
        <v>9227361.1999999993</v>
      </c>
      <c r="FF87" s="358">
        <f t="shared" si="498"/>
        <v>8236409.5</v>
      </c>
      <c r="FG87" s="358">
        <f t="shared" si="498"/>
        <v>8188020.2999999989</v>
      </c>
      <c r="FH87" s="358">
        <f t="shared" si="498"/>
        <v>9556066.0999999996</v>
      </c>
      <c r="FI87" s="358">
        <f t="shared" si="498"/>
        <v>11334907.300000001</v>
      </c>
      <c r="FJ87" s="358">
        <f t="shared" si="498"/>
        <v>12301613</v>
      </c>
      <c r="FK87" s="358">
        <f t="shared" si="498"/>
        <v>11786240.800000001</v>
      </c>
      <c r="FL87" s="358">
        <f t="shared" si="498"/>
        <v>10177893.1</v>
      </c>
      <c r="FM87" s="358">
        <f t="shared" si="498"/>
        <v>8218554.5</v>
      </c>
      <c r="FN87" s="358">
        <f t="shared" si="498"/>
        <v>8524183.9000000004</v>
      </c>
      <c r="FO87" s="358">
        <f t="shared" si="498"/>
        <v>9365900</v>
      </c>
      <c r="FP87" s="358">
        <f t="shared" ref="FP87:FQ87" si="499">SUM(FP85:FP86)</f>
        <v>9003734.3000000007</v>
      </c>
      <c r="FQ87" s="358">
        <f t="shared" si="499"/>
        <v>7825409.5</v>
      </c>
      <c r="FR87" s="358">
        <f t="shared" ref="FR87:FT87" si="500">SUM(FR85:FR86)</f>
        <v>7992487.9000000004</v>
      </c>
      <c r="FS87" s="358">
        <f t="shared" si="500"/>
        <v>8173512.6999999993</v>
      </c>
      <c r="FT87" s="358">
        <f t="shared" si="500"/>
        <v>9512775.1000000015</v>
      </c>
    </row>
    <row r="88" spans="1:176" x14ac:dyDescent="0.25">
      <c r="B88" s="3" t="s">
        <v>10</v>
      </c>
      <c r="C88" s="26">
        <f t="shared" ref="C88:Q88" si="501">SUM(C85)/C87</f>
        <v>0.99975448061253425</v>
      </c>
      <c r="D88" s="14">
        <f t="shared" si="501"/>
        <v>0.9482165591203715</v>
      </c>
      <c r="E88" s="14">
        <f t="shared" si="501"/>
        <v>0.88911091368239892</v>
      </c>
      <c r="F88" s="14">
        <f t="shared" si="501"/>
        <v>0.85405045750197084</v>
      </c>
      <c r="G88" s="14">
        <f t="shared" si="501"/>
        <v>0.88107493147020666</v>
      </c>
      <c r="H88" s="14">
        <f t="shared" si="501"/>
        <v>0.7756127360218068</v>
      </c>
      <c r="I88" s="14">
        <f t="shared" si="501"/>
        <v>0.77983084532835134</v>
      </c>
      <c r="J88" s="14">
        <f t="shared" si="501"/>
        <v>0.80344012192451342</v>
      </c>
      <c r="K88" s="14">
        <f t="shared" si="501"/>
        <v>0.78075296526593529</v>
      </c>
      <c r="L88" s="14">
        <f t="shared" si="501"/>
        <v>0.73052460682904807</v>
      </c>
      <c r="M88" s="14">
        <f t="shared" si="501"/>
        <v>0.77806334449716408</v>
      </c>
      <c r="N88" s="23">
        <f t="shared" si="501"/>
        <v>0.74949775997023627</v>
      </c>
      <c r="O88" s="26">
        <f t="shared" si="501"/>
        <v>0.76978821109055684</v>
      </c>
      <c r="P88" s="14">
        <f t="shared" si="501"/>
        <v>0.75881657357990784</v>
      </c>
      <c r="Q88" s="14">
        <f t="shared" si="501"/>
        <v>0.72528497864698938</v>
      </c>
      <c r="R88" s="14">
        <f t="shared" ref="R88:W88" si="502">SUM(R85)/R87</f>
        <v>0.70870853707528114</v>
      </c>
      <c r="S88" s="14">
        <f t="shared" si="502"/>
        <v>0.71083973523509092</v>
      </c>
      <c r="T88" s="14">
        <f t="shared" si="502"/>
        <v>0.71979400887635747</v>
      </c>
      <c r="U88" s="14">
        <f t="shared" si="502"/>
        <v>0.71655834801108886</v>
      </c>
      <c r="V88" s="14">
        <f t="shared" si="502"/>
        <v>0.7084823893641532</v>
      </c>
      <c r="W88" s="14">
        <f t="shared" si="502"/>
        <v>0.69624980297459171</v>
      </c>
      <c r="X88" s="14">
        <f>SUM(X85)/X87</f>
        <v>0.66451370847149038</v>
      </c>
      <c r="Y88" s="14">
        <f>SUM(Y85)/Y87</f>
        <v>0.64733110999792287</v>
      </c>
      <c r="Z88" s="23">
        <f>SUM(Z85)/Z87</f>
        <v>0.64794784218826418</v>
      </c>
      <c r="AA88" s="26">
        <f t="shared" ref="AA88:AL88" si="503">SUM(AA85)/AA87</f>
        <v>0.66225925344506875</v>
      </c>
      <c r="AB88" s="14">
        <f t="shared" si="503"/>
        <v>0.66531207423301142</v>
      </c>
      <c r="AC88" s="14">
        <f t="shared" si="503"/>
        <v>0.65513714542932056</v>
      </c>
      <c r="AD88" s="14">
        <f t="shared" si="503"/>
        <v>0.62594467299163914</v>
      </c>
      <c r="AE88" s="14">
        <f t="shared" si="503"/>
        <v>0.62155401135116184</v>
      </c>
      <c r="AF88" s="14">
        <f t="shared" si="503"/>
        <v>0.63730213146024706</v>
      </c>
      <c r="AG88" s="14">
        <f>SUM(AG85)/AG87</f>
        <v>0.62687026429469606</v>
      </c>
      <c r="AH88" s="14">
        <f>SUM(AH85)/AH87</f>
        <v>0.6173876168426653</v>
      </c>
      <c r="AI88" s="14">
        <f>SUM(AI85)/AI87</f>
        <v>0.60041367747031871</v>
      </c>
      <c r="AJ88" s="14">
        <f t="shared" si="503"/>
        <v>0.5757408604018508</v>
      </c>
      <c r="AK88" s="14">
        <f t="shared" si="503"/>
        <v>0.55262613333292099</v>
      </c>
      <c r="AL88" s="23">
        <f t="shared" si="503"/>
        <v>0.55753604552852709</v>
      </c>
      <c r="AM88" s="26">
        <f t="shared" ref="AM88:AR88" si="504">SUM(AM85)/AM87</f>
        <v>0.57121799021580721</v>
      </c>
      <c r="AN88" s="14">
        <f t="shared" si="504"/>
        <v>0.54621451729793358</v>
      </c>
      <c r="AO88" s="14">
        <f t="shared" si="504"/>
        <v>0.51713936915481029</v>
      </c>
      <c r="AP88" s="14">
        <f t="shared" si="504"/>
        <v>0.490823077281483</v>
      </c>
      <c r="AQ88" s="14">
        <f t="shared" si="504"/>
        <v>0.48978661944753549</v>
      </c>
      <c r="AR88" s="14">
        <f t="shared" si="504"/>
        <v>0.50452448861015264</v>
      </c>
      <c r="AS88" s="14">
        <f t="shared" ref="AS88:AX88" si="505">SUM(AS85)/AS87</f>
        <v>0.51565358295306341</v>
      </c>
      <c r="AT88" s="14">
        <f t="shared" si="505"/>
        <v>0.50173044006304957</v>
      </c>
      <c r="AU88" s="14">
        <f t="shared" si="505"/>
        <v>0.49584374094131151</v>
      </c>
      <c r="AV88" s="14">
        <f t="shared" si="505"/>
        <v>0.46816338782970518</v>
      </c>
      <c r="AW88" s="14">
        <f t="shared" si="505"/>
        <v>0.43394778904344117</v>
      </c>
      <c r="AX88" s="23">
        <f t="shared" si="505"/>
        <v>0.45004582305118401</v>
      </c>
      <c r="AY88" s="26">
        <f t="shared" ref="AY88:BJ88" si="506">SUM(AY85)/AY87</f>
        <v>0.45551427167816344</v>
      </c>
      <c r="AZ88" s="14">
        <f t="shared" si="506"/>
        <v>0.44954150560759631</v>
      </c>
      <c r="BA88" s="14">
        <f t="shared" si="506"/>
        <v>0.43054532489020725</v>
      </c>
      <c r="BB88" s="14">
        <f t="shared" si="506"/>
        <v>0.41880528737419204</v>
      </c>
      <c r="BC88" s="14">
        <f t="shared" si="506"/>
        <v>0.42132110733913058</v>
      </c>
      <c r="BD88" s="14">
        <f t="shared" si="506"/>
        <v>0.44343418333292883</v>
      </c>
      <c r="BE88" s="14">
        <f t="shared" si="506"/>
        <v>0.45329001497134747</v>
      </c>
      <c r="BF88" s="14">
        <f t="shared" si="506"/>
        <v>0.45899539099086123</v>
      </c>
      <c r="BG88" s="14">
        <f t="shared" si="506"/>
        <v>0.44167052136409785</v>
      </c>
      <c r="BH88" s="14">
        <f t="shared" si="506"/>
        <v>0.41035450057583417</v>
      </c>
      <c r="BI88" s="14">
        <f t="shared" si="506"/>
        <v>0.39246340380463168</v>
      </c>
      <c r="BJ88" s="23">
        <f t="shared" si="506"/>
        <v>0.40700217356594398</v>
      </c>
      <c r="BK88" s="26">
        <f t="shared" ref="BK88:BP88" si="507">SUM(BK85)/BK87</f>
        <v>0.42230060792514917</v>
      </c>
      <c r="BL88" s="14">
        <f t="shared" si="507"/>
        <v>0.42201143837847799</v>
      </c>
      <c r="BM88" s="14">
        <f t="shared" si="507"/>
        <v>0.40248220763837256</v>
      </c>
      <c r="BN88" s="14">
        <f t="shared" si="507"/>
        <v>0.37796966953930228</v>
      </c>
      <c r="BO88" s="14">
        <f t="shared" si="507"/>
        <v>0.37385775001356375</v>
      </c>
      <c r="BP88" s="14">
        <f t="shared" si="507"/>
        <v>0.39453569679240341</v>
      </c>
      <c r="BQ88" s="14">
        <f t="shared" ref="BQ88:CB88" si="508">SUM(BQ85)/BQ87</f>
        <v>0.40078731362619924</v>
      </c>
      <c r="BR88" s="14">
        <f t="shared" si="508"/>
        <v>0.4068811861747566</v>
      </c>
      <c r="BS88" s="14">
        <f t="shared" si="508"/>
        <v>0.40721189321622525</v>
      </c>
      <c r="BT88" s="14">
        <f t="shared" si="508"/>
        <v>0.39095414061624184</v>
      </c>
      <c r="BU88" s="14">
        <f t="shared" si="508"/>
        <v>0.36634906166346798</v>
      </c>
      <c r="BV88" s="14">
        <f t="shared" si="508"/>
        <v>0.37680431606257386</v>
      </c>
      <c r="BW88" s="177">
        <f t="shared" si="508"/>
        <v>0.39594534234753836</v>
      </c>
      <c r="BX88" s="14">
        <f t="shared" si="508"/>
        <v>0.39550824085733011</v>
      </c>
      <c r="BY88" s="14">
        <f t="shared" si="508"/>
        <v>0.38202345926137327</v>
      </c>
      <c r="BZ88" s="14">
        <f t="shared" si="508"/>
        <v>0.36929605016871797</v>
      </c>
      <c r="CA88" s="14">
        <f t="shared" si="508"/>
        <v>0.36097153167005502</v>
      </c>
      <c r="CB88" s="14">
        <f t="shared" si="508"/>
        <v>0.40195786671016126</v>
      </c>
      <c r="CC88" s="14">
        <f t="shared" ref="CC88:CK88" si="509">SUM(CC85)/CC87</f>
        <v>0.4009582363338054</v>
      </c>
      <c r="CD88" s="14">
        <f t="shared" si="509"/>
        <v>0.39975868544736665</v>
      </c>
      <c r="CE88" s="14">
        <f t="shared" si="509"/>
        <v>0.38457478960595409</v>
      </c>
      <c r="CF88" s="14">
        <f t="shared" si="509"/>
        <v>0.36600677346177479</v>
      </c>
      <c r="CG88" s="14">
        <f t="shared" si="509"/>
        <v>0.34461176780003483</v>
      </c>
      <c r="CH88" s="14">
        <f t="shared" si="509"/>
        <v>0.35897304732207752</v>
      </c>
      <c r="CI88" s="177">
        <f t="shared" si="509"/>
        <v>0.38321216623631249</v>
      </c>
      <c r="CJ88" s="14">
        <f t="shared" si="509"/>
        <v>0.38235845025895976</v>
      </c>
      <c r="CK88" s="14">
        <f t="shared" si="509"/>
        <v>0.36546908087955576</v>
      </c>
      <c r="CL88" s="14">
        <f t="shared" ref="CL88:CQ88" si="510">SUM(CL85)/CL87</f>
        <v>0.35938015420468233</v>
      </c>
      <c r="CM88" s="14">
        <f t="shared" si="510"/>
        <v>0.36203881135736171</v>
      </c>
      <c r="CN88" s="14">
        <f t="shared" si="510"/>
        <v>0.38299912987244528</v>
      </c>
      <c r="CO88" s="14">
        <f t="shared" si="510"/>
        <v>0.40936356141630231</v>
      </c>
      <c r="CP88" s="14">
        <f t="shared" si="510"/>
        <v>0.40666373465218947</v>
      </c>
      <c r="CQ88" s="14">
        <f t="shared" si="510"/>
        <v>0.39508820407634687</v>
      </c>
      <c r="CR88" s="14">
        <f t="shared" ref="CR88:DJ88" si="511">SUM(CR85)/CR87</f>
        <v>0.36445521246348189</v>
      </c>
      <c r="CS88" s="14">
        <f t="shared" si="511"/>
        <v>0.35223042121851139</v>
      </c>
      <c r="CT88" s="23">
        <f t="shared" si="511"/>
        <v>0.36896435159903129</v>
      </c>
      <c r="CU88" s="14">
        <f t="shared" si="511"/>
        <v>0.39699997081423083</v>
      </c>
      <c r="CV88" s="14">
        <f t="shared" si="511"/>
        <v>0.39196640650146919</v>
      </c>
      <c r="CW88" s="14">
        <f t="shared" si="511"/>
        <v>0.38491926218738992</v>
      </c>
      <c r="CX88" s="14">
        <f t="shared" si="511"/>
        <v>0.36198074880887238</v>
      </c>
      <c r="CY88" s="14">
        <f t="shared" si="511"/>
        <v>0.35399639424558538</v>
      </c>
      <c r="CZ88" s="14">
        <f t="shared" si="511"/>
        <v>0.37650301564246474</v>
      </c>
      <c r="DA88" s="14">
        <f t="shared" si="511"/>
        <v>0.38380800936304754</v>
      </c>
      <c r="DB88" s="14">
        <f t="shared" si="511"/>
        <v>0.38659574080319536</v>
      </c>
      <c r="DC88" s="14">
        <f t="shared" si="511"/>
        <v>0.37705348428979352</v>
      </c>
      <c r="DD88" s="14">
        <f t="shared" si="511"/>
        <v>0.35438885409415283</v>
      </c>
      <c r="DE88" s="14">
        <f t="shared" si="511"/>
        <v>0.3348481403160018</v>
      </c>
      <c r="DF88" s="23">
        <f t="shared" si="511"/>
        <v>0.34361998376246039</v>
      </c>
      <c r="DG88" s="14">
        <f t="shared" si="511"/>
        <v>0.3573159074850859</v>
      </c>
      <c r="DH88" s="14">
        <f t="shared" si="511"/>
        <v>0.35789938051089643</v>
      </c>
      <c r="DI88" s="14">
        <f t="shared" si="511"/>
        <v>0.33247880074842723</v>
      </c>
      <c r="DJ88" s="14">
        <f t="shared" si="511"/>
        <v>0.3183799408905868</v>
      </c>
      <c r="DK88" s="14">
        <f t="shared" ref="DK88:FO88" si="512">SUM(DK85)/DK87</f>
        <v>0.30788958419472129</v>
      </c>
      <c r="DL88" s="14">
        <f t="shared" si="512"/>
        <v>0.32943560993663584</v>
      </c>
      <c r="DM88" s="14">
        <f t="shared" si="512"/>
        <v>0.34081218475287395</v>
      </c>
      <c r="DN88" s="14">
        <f t="shared" si="512"/>
        <v>0.34078162751328828</v>
      </c>
      <c r="DO88" s="14">
        <f t="shared" si="512"/>
        <v>0.32855444278116025</v>
      </c>
      <c r="DP88" s="14">
        <f t="shared" si="512"/>
        <v>0.29626343251506965</v>
      </c>
      <c r="DQ88" s="14">
        <f t="shared" si="512"/>
        <v>0.28078446396616003</v>
      </c>
      <c r="DR88" s="14">
        <f t="shared" si="512"/>
        <v>0.29369326495348652</v>
      </c>
      <c r="DS88" s="14">
        <f t="shared" si="512"/>
        <v>0.29750880007190988</v>
      </c>
      <c r="DT88" s="14">
        <f t="shared" si="512"/>
        <v>0.28350527213250071</v>
      </c>
      <c r="DU88" s="14">
        <f t="shared" si="512"/>
        <v>0.27192813505879088</v>
      </c>
      <c r="DV88" s="280">
        <f t="shared" si="512"/>
        <v>0.26316842897252457</v>
      </c>
      <c r="DW88" s="280">
        <f t="shared" si="512"/>
        <v>0.27308490388770412</v>
      </c>
      <c r="DX88" s="280">
        <f t="shared" si="512"/>
        <v>0.28380255843977487</v>
      </c>
      <c r="DY88" s="280">
        <f t="shared" si="512"/>
        <v>0.29386114986473394</v>
      </c>
      <c r="DZ88" s="280">
        <f t="shared" si="512"/>
        <v>0.29719521584790415</v>
      </c>
      <c r="EA88" s="280">
        <f t="shared" si="512"/>
        <v>0.28527501150602524</v>
      </c>
      <c r="EB88" s="280">
        <f t="shared" si="512"/>
        <v>0.26626625964930456</v>
      </c>
      <c r="EC88" s="280">
        <f t="shared" si="512"/>
        <v>0.25166910476151927</v>
      </c>
      <c r="ED88" s="280">
        <f t="shared" si="512"/>
        <v>0.25846218194913756</v>
      </c>
      <c r="EE88" s="280">
        <f t="shared" si="512"/>
        <v>0.28015909885607065</v>
      </c>
      <c r="EF88" s="280">
        <f t="shared" si="512"/>
        <v>0.26272331005130167</v>
      </c>
      <c r="EG88" s="280">
        <f t="shared" si="512"/>
        <v>0.25743951916379815</v>
      </c>
      <c r="EH88" s="280">
        <f t="shared" si="512"/>
        <v>0.24784787156427437</v>
      </c>
      <c r="EI88" s="280">
        <f t="shared" si="512"/>
        <v>0.24654920387443285</v>
      </c>
      <c r="EJ88" s="280">
        <f t="shared" si="512"/>
        <v>0.25690866487131425</v>
      </c>
      <c r="EK88" s="280">
        <f t="shared" si="512"/>
        <v>0.26897056275562403</v>
      </c>
      <c r="EL88" s="280">
        <f t="shared" si="512"/>
        <v>0.27222698774349946</v>
      </c>
      <c r="EM88" s="280">
        <f t="shared" si="512"/>
        <v>0.2703484727178081</v>
      </c>
      <c r="EN88" s="280">
        <f t="shared" si="512"/>
        <v>0.25005386123153667</v>
      </c>
      <c r="EO88" s="280">
        <f t="shared" si="512"/>
        <v>0.23034595764867072</v>
      </c>
      <c r="EP88" s="280">
        <f t="shared" si="512"/>
        <v>0.25509972484843751</v>
      </c>
      <c r="EQ88" s="280">
        <f t="shared" si="512"/>
        <v>0.26320688695993855</v>
      </c>
      <c r="ER88" s="280">
        <f t="shared" si="512"/>
        <v>0.26078717065591794</v>
      </c>
      <c r="ES88" s="280">
        <f t="shared" si="512"/>
        <v>0.2512801900570874</v>
      </c>
      <c r="ET88" s="280">
        <f t="shared" si="512"/>
        <v>0.23383260422848037</v>
      </c>
      <c r="EU88" s="280">
        <f t="shared" si="512"/>
        <v>0.23622474712723418</v>
      </c>
      <c r="EV88" s="280">
        <f t="shared" si="512"/>
        <v>0.24909037296842204</v>
      </c>
      <c r="EW88" s="280">
        <f t="shared" si="512"/>
        <v>0.25971628164984001</v>
      </c>
      <c r="EX88" s="280">
        <f t="shared" si="512"/>
        <v>0.26236852331302313</v>
      </c>
      <c r="EY88" s="280">
        <f t="shared" si="512"/>
        <v>0.26142570530362663</v>
      </c>
      <c r="EZ88" s="280">
        <f t="shared" si="512"/>
        <v>0.24405762854383298</v>
      </c>
      <c r="FA88" s="280">
        <f t="shared" si="512"/>
        <v>0.23558225507428476</v>
      </c>
      <c r="FB88" s="280">
        <f t="shared" si="512"/>
        <v>0.24378750947106811</v>
      </c>
      <c r="FC88" s="280">
        <f t="shared" si="512"/>
        <v>0.25524518682012215</v>
      </c>
      <c r="FD88" s="280">
        <f t="shared" si="512"/>
        <v>0.25539737752211411</v>
      </c>
      <c r="FE88" s="280">
        <f t="shared" si="512"/>
        <v>0.2569568209814958</v>
      </c>
      <c r="FF88" s="280">
        <f t="shared" si="512"/>
        <v>0.2369550834013292</v>
      </c>
      <c r="FG88" s="280">
        <f t="shared" si="512"/>
        <v>0.23457274525809374</v>
      </c>
      <c r="FH88" s="280">
        <f t="shared" si="512"/>
        <v>0.24672159812707867</v>
      </c>
      <c r="FI88" s="280">
        <f t="shared" si="512"/>
        <v>0.25940018053786817</v>
      </c>
      <c r="FJ88" s="280">
        <f t="shared" si="512"/>
        <v>0.26617354163230461</v>
      </c>
      <c r="FK88" s="280">
        <f t="shared" si="512"/>
        <v>0.25995539646534283</v>
      </c>
      <c r="FL88" s="280">
        <f t="shared" si="512"/>
        <v>0.24787662586080805</v>
      </c>
      <c r="FM88" s="280">
        <f t="shared" si="512"/>
        <v>0.23225364022347239</v>
      </c>
      <c r="FN88" s="280">
        <f t="shared" si="512"/>
        <v>0.23886859127945373</v>
      </c>
      <c r="FO88" s="280">
        <f t="shared" si="512"/>
        <v>0.24762569534161158</v>
      </c>
      <c r="FP88" s="280">
        <f t="shared" ref="FP88:FQ88" si="513">SUM(FP85)/FP87</f>
        <v>0.24437712472257206</v>
      </c>
      <c r="FQ88" s="280">
        <f t="shared" si="513"/>
        <v>0.23196196953015685</v>
      </c>
      <c r="FR88" s="280">
        <f t="shared" ref="FR88:FT88" si="514">SUM(FR85)/FR87</f>
        <v>0.22536978754762957</v>
      </c>
      <c r="FS88" s="280">
        <f t="shared" si="514"/>
        <v>0.22865115264334271</v>
      </c>
      <c r="FT88" s="280">
        <f t="shared" si="514"/>
        <v>0.23822900007380601</v>
      </c>
    </row>
    <row r="89" spans="1:176" ht="13.8" thickBot="1" x14ac:dyDescent="0.3">
      <c r="B89" s="4" t="s">
        <v>11</v>
      </c>
      <c r="C89" s="27">
        <f t="shared" ref="C89:Q89" si="515">SUM(C86/C87)</f>
        <v>2.4551938746568771E-4</v>
      </c>
      <c r="D89" s="15">
        <f t="shared" si="515"/>
        <v>5.1783440879628509E-2</v>
      </c>
      <c r="E89" s="15">
        <f t="shared" si="515"/>
        <v>0.11088908631760105</v>
      </c>
      <c r="F89" s="15">
        <f t="shared" si="515"/>
        <v>0.14594954249802916</v>
      </c>
      <c r="G89" s="15">
        <f t="shared" si="515"/>
        <v>0.11892506852979337</v>
      </c>
      <c r="H89" s="15">
        <f t="shared" si="515"/>
        <v>0.2243872639781932</v>
      </c>
      <c r="I89" s="15">
        <f t="shared" si="515"/>
        <v>0.22016915467164863</v>
      </c>
      <c r="J89" s="15">
        <f t="shared" si="515"/>
        <v>0.19655987807548647</v>
      </c>
      <c r="K89" s="15">
        <f t="shared" si="515"/>
        <v>0.21924703473406468</v>
      </c>
      <c r="L89" s="15">
        <f t="shared" si="515"/>
        <v>0.26947539317095187</v>
      </c>
      <c r="M89" s="15">
        <f t="shared" si="515"/>
        <v>0.22193665550283587</v>
      </c>
      <c r="N89" s="24">
        <f t="shared" si="515"/>
        <v>0.25050224002976373</v>
      </c>
      <c r="O89" s="27">
        <f t="shared" si="515"/>
        <v>0.23021178890944319</v>
      </c>
      <c r="P89" s="15">
        <f t="shared" si="515"/>
        <v>0.24118342642009219</v>
      </c>
      <c r="Q89" s="15">
        <f t="shared" si="515"/>
        <v>0.27471502135301062</v>
      </c>
      <c r="R89" s="15">
        <f t="shared" ref="R89:W89" si="516">SUM(R86/R87)</f>
        <v>0.29129146292471886</v>
      </c>
      <c r="S89" s="15">
        <f t="shared" si="516"/>
        <v>0.28916026476490919</v>
      </c>
      <c r="T89" s="15">
        <f t="shared" si="516"/>
        <v>0.28020599112364253</v>
      </c>
      <c r="U89" s="15">
        <f t="shared" si="516"/>
        <v>0.28344165198891114</v>
      </c>
      <c r="V89" s="15">
        <f t="shared" si="516"/>
        <v>0.29151761063584691</v>
      </c>
      <c r="W89" s="15">
        <f t="shared" si="516"/>
        <v>0.30375019702540818</v>
      </c>
      <c r="X89" s="15">
        <f>SUM(X86/X87)</f>
        <v>0.33548629152850962</v>
      </c>
      <c r="Y89" s="15">
        <f>SUM(Y86/Y87)</f>
        <v>0.35266889000207718</v>
      </c>
      <c r="Z89" s="24">
        <f>SUM(Z86/Z87)</f>
        <v>0.35205215781173588</v>
      </c>
      <c r="AA89" s="27">
        <f t="shared" ref="AA89:AL89" si="517">SUM(AA86/AA87)</f>
        <v>0.33774074655493114</v>
      </c>
      <c r="AB89" s="15">
        <f t="shared" si="517"/>
        <v>0.33468792576698853</v>
      </c>
      <c r="AC89" s="15">
        <f t="shared" si="517"/>
        <v>0.34486285457067939</v>
      </c>
      <c r="AD89" s="15">
        <f t="shared" si="517"/>
        <v>0.37405532700836081</v>
      </c>
      <c r="AE89" s="15">
        <f t="shared" si="517"/>
        <v>0.37844598864883811</v>
      </c>
      <c r="AF89" s="15">
        <f t="shared" si="517"/>
        <v>0.362697868539753</v>
      </c>
      <c r="AG89" s="15">
        <f>SUM(AG86/AG87)</f>
        <v>0.37312973570530394</v>
      </c>
      <c r="AH89" s="15">
        <f>SUM(AH86/AH87)</f>
        <v>0.38261238315733481</v>
      </c>
      <c r="AI89" s="15">
        <f>SUM(AI86/AI87)</f>
        <v>0.39958632252968129</v>
      </c>
      <c r="AJ89" s="15">
        <f t="shared" si="517"/>
        <v>0.4242591395981492</v>
      </c>
      <c r="AK89" s="15">
        <f t="shared" si="517"/>
        <v>0.44737386666707901</v>
      </c>
      <c r="AL89" s="24">
        <f t="shared" si="517"/>
        <v>0.44246395447147285</v>
      </c>
      <c r="AM89" s="27">
        <f t="shared" ref="AM89:AR89" si="518">SUM(AM86/AM87)</f>
        <v>0.42878200978419273</v>
      </c>
      <c r="AN89" s="15">
        <f t="shared" si="518"/>
        <v>0.45378548270206653</v>
      </c>
      <c r="AO89" s="15">
        <f t="shared" si="518"/>
        <v>0.48286063084518965</v>
      </c>
      <c r="AP89" s="15">
        <f t="shared" si="518"/>
        <v>0.509176922718517</v>
      </c>
      <c r="AQ89" s="15">
        <f t="shared" si="518"/>
        <v>0.51021338055246457</v>
      </c>
      <c r="AR89" s="15">
        <f t="shared" si="518"/>
        <v>0.49547551138984725</v>
      </c>
      <c r="AS89" s="15">
        <f t="shared" ref="AS89:AX89" si="519">SUM(AS86/AS87)</f>
        <v>0.48434641704693665</v>
      </c>
      <c r="AT89" s="15">
        <f t="shared" si="519"/>
        <v>0.49826955993695032</v>
      </c>
      <c r="AU89" s="15">
        <f t="shared" si="519"/>
        <v>0.50415625905868855</v>
      </c>
      <c r="AV89" s="15">
        <f t="shared" si="519"/>
        <v>0.53183661217029476</v>
      </c>
      <c r="AW89" s="15">
        <f t="shared" si="519"/>
        <v>0.56605221095655878</v>
      </c>
      <c r="AX89" s="24">
        <f t="shared" si="519"/>
        <v>0.54995417694881599</v>
      </c>
      <c r="AY89" s="27">
        <f t="shared" ref="AY89:BJ89" si="520">SUM(AY86/AY87)</f>
        <v>0.54448572832183662</v>
      </c>
      <c r="AZ89" s="15">
        <f t="shared" si="520"/>
        <v>0.55045849439240369</v>
      </c>
      <c r="BA89" s="15">
        <f t="shared" si="520"/>
        <v>0.56945467510979275</v>
      </c>
      <c r="BB89" s="15">
        <f t="shared" si="520"/>
        <v>0.58119471262580791</v>
      </c>
      <c r="BC89" s="15">
        <f t="shared" si="520"/>
        <v>0.57867889266086936</v>
      </c>
      <c r="BD89" s="15">
        <f t="shared" si="520"/>
        <v>0.55656581666707117</v>
      </c>
      <c r="BE89" s="15">
        <f t="shared" si="520"/>
        <v>0.54670998502865253</v>
      </c>
      <c r="BF89" s="15">
        <f t="shared" si="520"/>
        <v>0.54100460900913883</v>
      </c>
      <c r="BG89" s="15">
        <f t="shared" si="520"/>
        <v>0.55832947863590221</v>
      </c>
      <c r="BH89" s="15">
        <f t="shared" si="520"/>
        <v>0.58964549942416578</v>
      </c>
      <c r="BI89" s="15">
        <f t="shared" si="520"/>
        <v>0.60753659619536837</v>
      </c>
      <c r="BJ89" s="24">
        <f t="shared" si="520"/>
        <v>0.59299782643405607</v>
      </c>
      <c r="BK89" s="27">
        <f t="shared" ref="BK89:BP89" si="521">SUM(BK86/BK87)</f>
        <v>0.57769939207485088</v>
      </c>
      <c r="BL89" s="15">
        <f t="shared" si="521"/>
        <v>0.57798856162152212</v>
      </c>
      <c r="BM89" s="15">
        <f t="shared" si="521"/>
        <v>0.59751779236162739</v>
      </c>
      <c r="BN89" s="15">
        <f t="shared" si="521"/>
        <v>0.62203033046069778</v>
      </c>
      <c r="BO89" s="15">
        <f t="shared" si="521"/>
        <v>0.62614224998643619</v>
      </c>
      <c r="BP89" s="15">
        <f t="shared" si="521"/>
        <v>0.60546430320759648</v>
      </c>
      <c r="BQ89" s="15">
        <f t="shared" ref="BQ89:CB89" si="522">SUM(BQ86/BQ87)</f>
        <v>0.59921268637380076</v>
      </c>
      <c r="BR89" s="15">
        <f t="shared" si="522"/>
        <v>0.59311881382524334</v>
      </c>
      <c r="BS89" s="15">
        <f t="shared" si="522"/>
        <v>0.5927881067837748</v>
      </c>
      <c r="BT89" s="15">
        <f t="shared" si="522"/>
        <v>0.60904585938375821</v>
      </c>
      <c r="BU89" s="15">
        <f t="shared" si="522"/>
        <v>0.63365093833653208</v>
      </c>
      <c r="BV89" s="15">
        <f t="shared" si="522"/>
        <v>0.62319568393742619</v>
      </c>
      <c r="BW89" s="178">
        <f t="shared" si="522"/>
        <v>0.60405465765246158</v>
      </c>
      <c r="BX89" s="15">
        <f t="shared" si="522"/>
        <v>0.60449175914266984</v>
      </c>
      <c r="BY89" s="15">
        <f t="shared" si="522"/>
        <v>0.61797654073862673</v>
      </c>
      <c r="BZ89" s="15">
        <f t="shared" si="522"/>
        <v>0.63070394983128208</v>
      </c>
      <c r="CA89" s="15">
        <f t="shared" si="522"/>
        <v>0.63902846832994498</v>
      </c>
      <c r="CB89" s="15">
        <f t="shared" si="522"/>
        <v>0.5980421332898388</v>
      </c>
      <c r="CC89" s="15">
        <f t="shared" ref="CC89:DJ89" si="523">SUM(CC86/CC87)</f>
        <v>0.59904176366619455</v>
      </c>
      <c r="CD89" s="15">
        <f t="shared" si="523"/>
        <v>0.6002413145526333</v>
      </c>
      <c r="CE89" s="15">
        <f t="shared" si="523"/>
        <v>0.61542521039404585</v>
      </c>
      <c r="CF89" s="15">
        <f t="shared" si="523"/>
        <v>0.63399322653822521</v>
      </c>
      <c r="CG89" s="15">
        <f t="shared" si="523"/>
        <v>0.65538823219996523</v>
      </c>
      <c r="CH89" s="15">
        <f t="shared" si="523"/>
        <v>0.64102695267792242</v>
      </c>
      <c r="CI89" s="178">
        <f t="shared" si="523"/>
        <v>0.61678783376368751</v>
      </c>
      <c r="CJ89" s="15">
        <f t="shared" si="523"/>
        <v>0.61764154974104024</v>
      </c>
      <c r="CK89" s="15">
        <f t="shared" si="523"/>
        <v>0.63453091912044424</v>
      </c>
      <c r="CL89" s="15">
        <f t="shared" si="523"/>
        <v>0.64061984579531761</v>
      </c>
      <c r="CM89" s="15">
        <f t="shared" si="523"/>
        <v>0.63796118864263829</v>
      </c>
      <c r="CN89" s="15">
        <f t="shared" si="523"/>
        <v>0.61700087012755478</v>
      </c>
      <c r="CO89" s="15">
        <f t="shared" si="523"/>
        <v>0.59063643858369763</v>
      </c>
      <c r="CP89" s="15">
        <f t="shared" si="523"/>
        <v>0.59333626534781048</v>
      </c>
      <c r="CQ89" s="15">
        <f t="shared" si="523"/>
        <v>0.60491179592365307</v>
      </c>
      <c r="CR89" s="15">
        <f t="shared" si="523"/>
        <v>0.635544787536518</v>
      </c>
      <c r="CS89" s="15">
        <f t="shared" si="523"/>
        <v>0.64776957878148855</v>
      </c>
      <c r="CT89" s="24">
        <f t="shared" si="523"/>
        <v>0.63103564840096871</v>
      </c>
      <c r="CU89" s="15">
        <f t="shared" si="523"/>
        <v>0.60300002918576912</v>
      </c>
      <c r="CV89" s="15">
        <f t="shared" si="523"/>
        <v>0.60803359349853081</v>
      </c>
      <c r="CW89" s="15">
        <f t="shared" si="523"/>
        <v>0.61508073781260997</v>
      </c>
      <c r="CX89" s="15">
        <f t="shared" si="523"/>
        <v>0.63801925119112768</v>
      </c>
      <c r="CY89" s="15">
        <f t="shared" si="523"/>
        <v>0.64600360575441462</v>
      </c>
      <c r="CZ89" s="15">
        <f t="shared" si="523"/>
        <v>0.62349698435753531</v>
      </c>
      <c r="DA89" s="15">
        <f t="shared" si="523"/>
        <v>0.6161919906369524</v>
      </c>
      <c r="DB89" s="15">
        <f t="shared" si="523"/>
        <v>0.61340425919680452</v>
      </c>
      <c r="DC89" s="15">
        <f t="shared" si="523"/>
        <v>0.62294651571020654</v>
      </c>
      <c r="DD89" s="15">
        <f t="shared" si="523"/>
        <v>0.64561114590584723</v>
      </c>
      <c r="DE89" s="15">
        <f t="shared" si="523"/>
        <v>0.66515185968399826</v>
      </c>
      <c r="DF89" s="24">
        <f t="shared" si="523"/>
        <v>0.65638001623753961</v>
      </c>
      <c r="DG89" s="15">
        <f t="shared" si="523"/>
        <v>0.6426840925149141</v>
      </c>
      <c r="DH89" s="15">
        <f t="shared" si="523"/>
        <v>0.64210061948910357</v>
      </c>
      <c r="DI89" s="15">
        <f t="shared" si="523"/>
        <v>0.66752119925157283</v>
      </c>
      <c r="DJ89" s="15">
        <f t="shared" si="523"/>
        <v>0.68162005910941326</v>
      </c>
      <c r="DK89" s="15">
        <f t="shared" ref="DK89:FO89" si="524">SUM(DK86/DK87)</f>
        <v>0.69211041580527866</v>
      </c>
      <c r="DL89" s="15">
        <f t="shared" si="524"/>
        <v>0.6705643900633641</v>
      </c>
      <c r="DM89" s="15">
        <f t="shared" si="524"/>
        <v>0.65918781524712611</v>
      </c>
      <c r="DN89" s="15">
        <f t="shared" si="524"/>
        <v>0.65921837248671167</v>
      </c>
      <c r="DO89" s="15">
        <f t="shared" si="524"/>
        <v>0.67144555721883969</v>
      </c>
      <c r="DP89" s="15">
        <f t="shared" si="524"/>
        <v>0.70373656748493041</v>
      </c>
      <c r="DQ89" s="15">
        <f t="shared" si="524"/>
        <v>0.71921553603384003</v>
      </c>
      <c r="DR89" s="15">
        <f t="shared" si="524"/>
        <v>0.70630673504651365</v>
      </c>
      <c r="DS89" s="15">
        <f t="shared" si="524"/>
        <v>0.70249119992809017</v>
      </c>
      <c r="DT89" s="15">
        <f t="shared" si="524"/>
        <v>0.71649472786749935</v>
      </c>
      <c r="DU89" s="15">
        <f t="shared" si="524"/>
        <v>0.72807186494120912</v>
      </c>
      <c r="DV89" s="361">
        <f t="shared" si="524"/>
        <v>0.73683157102747543</v>
      </c>
      <c r="DW89" s="361">
        <f t="shared" si="524"/>
        <v>0.72691509611229599</v>
      </c>
      <c r="DX89" s="361">
        <f t="shared" si="524"/>
        <v>0.71619744156022502</v>
      </c>
      <c r="DY89" s="361">
        <f t="shared" si="524"/>
        <v>0.70613885013526612</v>
      </c>
      <c r="DZ89" s="361">
        <f t="shared" si="524"/>
        <v>0.7028047841520958</v>
      </c>
      <c r="EA89" s="361">
        <f t="shared" si="524"/>
        <v>0.71472498849397459</v>
      </c>
      <c r="EB89" s="361">
        <f t="shared" si="524"/>
        <v>0.73373374035069538</v>
      </c>
      <c r="EC89" s="361">
        <f t="shared" si="524"/>
        <v>0.74833089523848062</v>
      </c>
      <c r="ED89" s="361">
        <f t="shared" si="524"/>
        <v>0.7415378180508625</v>
      </c>
      <c r="EE89" s="361">
        <f t="shared" si="524"/>
        <v>0.7198409011439294</v>
      </c>
      <c r="EF89" s="361">
        <f t="shared" si="524"/>
        <v>0.73727668994869833</v>
      </c>
      <c r="EG89" s="361">
        <f t="shared" si="524"/>
        <v>0.74256048083620185</v>
      </c>
      <c r="EH89" s="361">
        <f t="shared" si="524"/>
        <v>0.75215212843572554</v>
      </c>
      <c r="EI89" s="361">
        <f t="shared" si="524"/>
        <v>0.7534507961255672</v>
      </c>
      <c r="EJ89" s="361">
        <f t="shared" si="524"/>
        <v>0.74309133512868575</v>
      </c>
      <c r="EK89" s="361">
        <f t="shared" si="524"/>
        <v>0.73102943724437608</v>
      </c>
      <c r="EL89" s="361">
        <f t="shared" si="524"/>
        <v>0.7277730122565006</v>
      </c>
      <c r="EM89" s="361">
        <f t="shared" si="524"/>
        <v>0.72965152728219185</v>
      </c>
      <c r="EN89" s="361">
        <f t="shared" si="524"/>
        <v>0.74994613876846328</v>
      </c>
      <c r="EO89" s="361">
        <f t="shared" si="524"/>
        <v>0.76965404235132928</v>
      </c>
      <c r="EP89" s="361">
        <f t="shared" si="524"/>
        <v>0.74490027515156243</v>
      </c>
      <c r="EQ89" s="361">
        <f t="shared" si="524"/>
        <v>0.73679311304006156</v>
      </c>
      <c r="ER89" s="361">
        <f t="shared" si="524"/>
        <v>0.73921282934408206</v>
      </c>
      <c r="ES89" s="361">
        <f t="shared" si="524"/>
        <v>0.74871980994291254</v>
      </c>
      <c r="ET89" s="361">
        <f t="shared" si="524"/>
        <v>0.7661673957715196</v>
      </c>
      <c r="EU89" s="361">
        <f t="shared" si="524"/>
        <v>0.76377525287276582</v>
      </c>
      <c r="EV89" s="361">
        <f t="shared" si="524"/>
        <v>0.75090962703157793</v>
      </c>
      <c r="EW89" s="361">
        <f t="shared" si="524"/>
        <v>0.74028371835015994</v>
      </c>
      <c r="EX89" s="361">
        <f t="shared" si="524"/>
        <v>0.73763147668697682</v>
      </c>
      <c r="EY89" s="361">
        <f t="shared" si="524"/>
        <v>0.73857429469637337</v>
      </c>
      <c r="EZ89" s="361">
        <f t="shared" si="524"/>
        <v>0.75594237145616694</v>
      </c>
      <c r="FA89" s="361">
        <f t="shared" si="524"/>
        <v>0.76441774492571524</v>
      </c>
      <c r="FB89" s="361">
        <f t="shared" si="524"/>
        <v>0.75621249052893191</v>
      </c>
      <c r="FC89" s="361">
        <f t="shared" si="524"/>
        <v>0.74475481317987779</v>
      </c>
      <c r="FD89" s="361">
        <f t="shared" si="524"/>
        <v>0.74460262247788589</v>
      </c>
      <c r="FE89" s="361">
        <f t="shared" si="524"/>
        <v>0.74304317901850425</v>
      </c>
      <c r="FF89" s="361">
        <f t="shared" si="524"/>
        <v>0.7630449165986708</v>
      </c>
      <c r="FG89" s="361">
        <f t="shared" si="524"/>
        <v>0.76542725474190632</v>
      </c>
      <c r="FH89" s="361">
        <f t="shared" si="524"/>
        <v>0.75327840187292139</v>
      </c>
      <c r="FI89" s="361">
        <f t="shared" si="524"/>
        <v>0.74059981946213183</v>
      </c>
      <c r="FJ89" s="361">
        <f t="shared" si="524"/>
        <v>0.73382645836769533</v>
      </c>
      <c r="FK89" s="361">
        <f t="shared" si="524"/>
        <v>0.74004460353465706</v>
      </c>
      <c r="FL89" s="361">
        <f t="shared" si="524"/>
        <v>0.75212337413919195</v>
      </c>
      <c r="FM89" s="361">
        <f t="shared" si="524"/>
        <v>0.76774635977652761</v>
      </c>
      <c r="FN89" s="361">
        <f t="shared" si="524"/>
        <v>0.76113140872054619</v>
      </c>
      <c r="FO89" s="361">
        <f t="shared" si="524"/>
        <v>0.75237430465838839</v>
      </c>
      <c r="FP89" s="361">
        <f t="shared" ref="FP89:FQ89" si="525">SUM(FP86/FP87)</f>
        <v>0.75562287527742789</v>
      </c>
      <c r="FQ89" s="361">
        <f t="shared" si="525"/>
        <v>0.76803803046984309</v>
      </c>
      <c r="FR89" s="361">
        <f t="shared" ref="FR89:FT89" si="526">SUM(FR86/FR87)</f>
        <v>0.77463021245237051</v>
      </c>
      <c r="FS89" s="361">
        <f t="shared" si="526"/>
        <v>0.77134884735665732</v>
      </c>
      <c r="FT89" s="361">
        <f t="shared" si="526"/>
        <v>0.7617709999261939</v>
      </c>
    </row>
    <row r="97" spans="140:144" x14ac:dyDescent="0.25">
      <c r="EN97" s="345"/>
    </row>
    <row r="98" spans="140:144" x14ac:dyDescent="0.25">
      <c r="EJ98" s="345"/>
    </row>
  </sheetData>
  <sheetProtection algorithmName="SHA-512" hashValue="omrdsKL1vZt22GkPmV1rkh6VzbE00l/ZPxLkzSxigKJ2Xc6F+MRs/ahtoUX9CIrI0xtSgtENeZvDBrJ+GB8c/w==" saltValue="NiwilUKyZ9TNRMXwwXy+oQ==" spinCount="100000" sheet="1" objects="1" scenarios="1"/>
  <mergeCells count="90">
    <mergeCell ref="EQ4:FB4"/>
    <mergeCell ref="EQ2:FB2"/>
    <mergeCell ref="EQ45:FB45"/>
    <mergeCell ref="EQ46:FB46"/>
    <mergeCell ref="EQ47:FB47"/>
    <mergeCell ref="EQ3:FB3"/>
    <mergeCell ref="DG47:DR47"/>
    <mergeCell ref="CU47:DF47"/>
    <mergeCell ref="CU2:DF2"/>
    <mergeCell ref="CU3:DF3"/>
    <mergeCell ref="CU4:DF4"/>
    <mergeCell ref="CU45:DF45"/>
    <mergeCell ref="CU46:DF46"/>
    <mergeCell ref="DG46:DR46"/>
    <mergeCell ref="DG45:DR45"/>
    <mergeCell ref="BK2:BV2"/>
    <mergeCell ref="BK3:BV3"/>
    <mergeCell ref="CI2:CT2"/>
    <mergeCell ref="CI3:CT3"/>
    <mergeCell ref="CI4:CT4"/>
    <mergeCell ref="BW2:CH2"/>
    <mergeCell ref="BW3:CH3"/>
    <mergeCell ref="AY4:BJ4"/>
    <mergeCell ref="AY47:BJ47"/>
    <mergeCell ref="AY45:BJ45"/>
    <mergeCell ref="AY46:BJ46"/>
    <mergeCell ref="BK4:BV4"/>
    <mergeCell ref="C2:N2"/>
    <mergeCell ref="O2:Z2"/>
    <mergeCell ref="AA2:AL2"/>
    <mergeCell ref="BK45:BV45"/>
    <mergeCell ref="BK46:BV46"/>
    <mergeCell ref="O4:Z4"/>
    <mergeCell ref="AA4:AL4"/>
    <mergeCell ref="AM4:AX4"/>
    <mergeCell ref="C4:N4"/>
    <mergeCell ref="AM2:AX2"/>
    <mergeCell ref="C46:N46"/>
    <mergeCell ref="O46:Z46"/>
    <mergeCell ref="AA46:AL46"/>
    <mergeCell ref="AM46:AX46"/>
    <mergeCell ref="AY2:BJ2"/>
    <mergeCell ref="AY3:BJ3"/>
    <mergeCell ref="C3:N3"/>
    <mergeCell ref="O3:Z3"/>
    <mergeCell ref="AA3:AL3"/>
    <mergeCell ref="AM3:AX3"/>
    <mergeCell ref="C45:N45"/>
    <mergeCell ref="O45:Z45"/>
    <mergeCell ref="AA45:AL45"/>
    <mergeCell ref="AM45:AX45"/>
    <mergeCell ref="BW47:CH47"/>
    <mergeCell ref="CI47:CT47"/>
    <mergeCell ref="C47:N47"/>
    <mergeCell ref="O47:Z47"/>
    <mergeCell ref="AA47:AL47"/>
    <mergeCell ref="AM47:AX47"/>
    <mergeCell ref="BK47:BV47"/>
    <mergeCell ref="BW45:CH45"/>
    <mergeCell ref="BW46:CH46"/>
    <mergeCell ref="DG4:DR4"/>
    <mergeCell ref="DG3:DR3"/>
    <mergeCell ref="DG2:DR2"/>
    <mergeCell ref="BW4:CH4"/>
    <mergeCell ref="CI45:CT45"/>
    <mergeCell ref="CI46:CT46"/>
    <mergeCell ref="EE2:EP2"/>
    <mergeCell ref="EE3:EP3"/>
    <mergeCell ref="EE4:EP4"/>
    <mergeCell ref="DS47:ED47"/>
    <mergeCell ref="DS4:ED4"/>
    <mergeCell ref="DS2:ED2"/>
    <mergeCell ref="DS3:ED3"/>
    <mergeCell ref="DS45:ED45"/>
    <mergeCell ref="DS46:ED46"/>
    <mergeCell ref="EE45:EP45"/>
    <mergeCell ref="EE46:EP46"/>
    <mergeCell ref="EE47:EP47"/>
    <mergeCell ref="FC47:FN47"/>
    <mergeCell ref="FC45:FN45"/>
    <mergeCell ref="FC2:FN2"/>
    <mergeCell ref="FC3:FN3"/>
    <mergeCell ref="FC4:FN4"/>
    <mergeCell ref="FC46:FN46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87" orientation="landscape" r:id="rId1"/>
  <headerFooter alignWithMargins="0"/>
  <colBreaks count="1" manualBreakCount="1">
    <brk id="62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S10"/>
  <sheetViews>
    <sheetView zoomScale="97" zoomScaleNormal="97" workbookViewId="0">
      <pane ySplit="1" topLeftCell="A11" activePane="bottomLeft" state="frozenSplit"/>
      <selection activeCell="EB37" sqref="EB37"/>
      <selection pane="bottomLeft" activeCell="R25" sqref="R25"/>
    </sheetView>
  </sheetViews>
  <sheetFormatPr defaultColWidth="9.109375" defaultRowHeight="13.2" x14ac:dyDescent="0.25"/>
  <cols>
    <col min="1" max="1" width="13.6640625" style="2" bestFit="1" customWidth="1"/>
    <col min="2" max="2" width="11.33203125" style="2" bestFit="1" customWidth="1"/>
    <col min="3" max="10" width="9.109375" style="2"/>
    <col min="11" max="11" width="10.5546875" style="2" customWidth="1"/>
    <col min="12" max="12" width="10.88671875" style="2" customWidth="1"/>
    <col min="13" max="16384" width="9.109375" style="2"/>
  </cols>
  <sheetData>
    <row r="1" spans="1:175" ht="17.399999999999999" x14ac:dyDescent="0.3">
      <c r="A1" s="607" t="s">
        <v>62</v>
      </c>
      <c r="B1" s="607"/>
      <c r="C1" s="607"/>
      <c r="D1" s="607"/>
      <c r="E1" s="607"/>
      <c r="F1" s="607"/>
      <c r="G1" s="607"/>
      <c r="H1" s="607"/>
    </row>
    <row r="4" spans="1:175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</row>
    <row r="5" spans="1:175" x14ac:dyDescent="0.25">
      <c r="A5" s="44" t="s">
        <v>61</v>
      </c>
      <c r="B5" s="45">
        <f>TOTAL!C28</f>
        <v>4.8700109849871845E-2</v>
      </c>
      <c r="C5" s="45">
        <f>TOTAL!D28</f>
        <v>9.8209629758386929E-2</v>
      </c>
      <c r="D5" s="45">
        <f>TOTAL!E28</f>
        <v>0.10803246571508536</v>
      </c>
      <c r="E5" s="45">
        <f>TOTAL!F28</f>
        <v>0.11949256581639613</v>
      </c>
      <c r="F5" s="45">
        <f>TOTAL!G28</f>
        <v>0.12793117802136811</v>
      </c>
      <c r="G5" s="45">
        <f>TOTAL!H28</f>
        <v>0.14798036995092487</v>
      </c>
      <c r="H5" s="45">
        <f>TOTAL!I28</f>
        <v>0.14456654456654458</v>
      </c>
      <c r="I5" s="45">
        <f>TOTAL!J28</f>
        <v>0.16166751398068124</v>
      </c>
      <c r="J5" s="45">
        <f>TOTAL!K28</f>
        <v>0.16800101664760453</v>
      </c>
      <c r="K5" s="45">
        <f>TOTAL!L28</f>
        <v>0.17970216493555249</v>
      </c>
      <c r="L5" s="45">
        <f>TOTAL!M28</f>
        <v>0.18344688367398435</v>
      </c>
      <c r="M5" s="45">
        <f>TOTAL!N28</f>
        <v>0.18477710233029382</v>
      </c>
      <c r="N5" s="45">
        <f>TOTAL!O28</f>
        <v>0.25762156714537665</v>
      </c>
      <c r="O5" s="45">
        <f>TOTAL!P28</f>
        <v>0.2803203661327231</v>
      </c>
      <c r="P5" s="45">
        <f>TOTAL!Q28</f>
        <v>0.28273771940901626</v>
      </c>
      <c r="Q5" s="45">
        <f>TOTAL!R28</f>
        <v>0.28643469490670703</v>
      </c>
      <c r="R5" s="45">
        <f>TOTAL!S28</f>
        <v>0.29662836216694027</v>
      </c>
      <c r="S5" s="45">
        <f>TOTAL!T28</f>
        <v>0.31537484116899617</v>
      </c>
      <c r="T5" s="45">
        <f>TOTAL!U28</f>
        <v>0.32270714737507905</v>
      </c>
      <c r="U5" s="45">
        <f>TOTAL!V28</f>
        <v>0.32374191912789962</v>
      </c>
      <c r="V5" s="45">
        <f>TOTAL!W28</f>
        <v>0.33367359959168047</v>
      </c>
      <c r="W5" s="45">
        <f>TOTAL!X28</f>
        <v>0.34078000757288907</v>
      </c>
      <c r="X5" s="45">
        <f>TOTAL!Y28</f>
        <v>0.33884189980481455</v>
      </c>
      <c r="Y5" s="45">
        <f>TOTAL!Z28</f>
        <v>0.35016015374759768</v>
      </c>
      <c r="Z5" s="45">
        <f>TOTAL!AA28</f>
        <v>0.36464497041420119</v>
      </c>
      <c r="AA5" s="45">
        <f>TOTAL!AB28</f>
        <v>0.36521197007481299</v>
      </c>
      <c r="AB5" s="45">
        <f>TOTAL!AC28</f>
        <v>0.37844671884406983</v>
      </c>
      <c r="AC5" s="45">
        <f>TOTAL!AD28</f>
        <v>0.38454946131243878</v>
      </c>
      <c r="AD5" s="45">
        <f>TOTAL!AE28</f>
        <v>0.39244865330217688</v>
      </c>
      <c r="AE5" s="45">
        <f>TOTAL!AF28</f>
        <v>0.40490648530483364</v>
      </c>
      <c r="AF5" s="45">
        <f>TOTAL!AG28</f>
        <v>0.41461342395921835</v>
      </c>
      <c r="AG5" s="45">
        <f>TOTAL!AH28</f>
        <v>0.42033200048467223</v>
      </c>
      <c r="AH5" s="45">
        <f>TOTAL!AI28</f>
        <v>0.42057917436845349</v>
      </c>
      <c r="AI5" s="45">
        <f>TOTAL!AJ28</f>
        <v>0.43529125030465515</v>
      </c>
      <c r="AJ5" s="45">
        <f>TOTAL!AK28</f>
        <v>0.43723951949007112</v>
      </c>
      <c r="AK5" s="45">
        <f>TOTAL!AL28</f>
        <v>0.44683731233079005</v>
      </c>
      <c r="AL5" s="45">
        <f>TOTAL!AM28</f>
        <v>0.4661393969352447</v>
      </c>
      <c r="AM5" s="45">
        <f>TOTAL!AN28</f>
        <v>0.46768492804847261</v>
      </c>
      <c r="AN5" s="45">
        <f>TOTAL!AO28</f>
        <v>0.48690773067331672</v>
      </c>
      <c r="AO5" s="45">
        <f>TOTAL!AP28</f>
        <v>0.49133165829145731</v>
      </c>
      <c r="AP5" s="45">
        <f>TOTAL!AQ28</f>
        <v>0.49817953546767108</v>
      </c>
      <c r="AQ5" s="45">
        <f>TOTAL!AR28</f>
        <v>0.53839452395768517</v>
      </c>
      <c r="AR5" s="45">
        <f>TOTAL!AS28</f>
        <v>0.54894796522615597</v>
      </c>
      <c r="AS5" s="45">
        <f>TOTAL!AT28</f>
        <v>0.55854079368991871</v>
      </c>
      <c r="AT5" s="45">
        <f>TOTAL!AU28</f>
        <v>0.56324135347733795</v>
      </c>
      <c r="AU5" s="45">
        <f>TOTAL!AV28</f>
        <v>0.56781781781781782</v>
      </c>
      <c r="AV5" s="45">
        <f>TOTAL!AW28</f>
        <v>0.57377666248431614</v>
      </c>
      <c r="AW5" s="45">
        <f>TOTAL!AX28</f>
        <v>0.57558212712397738</v>
      </c>
      <c r="AX5" s="45">
        <f>TOTAL!AY28</f>
        <v>0.58701488894312914</v>
      </c>
      <c r="AY5" s="45">
        <f>TOTAL!AZ28</f>
        <v>0.58809055118110232</v>
      </c>
      <c r="AZ5" s="45">
        <f>TOTAL!BA28</f>
        <v>0.59445903988535942</v>
      </c>
      <c r="BA5" s="45">
        <f>TOTAL!BB28</f>
        <v>0.59171086715184407</v>
      </c>
      <c r="BB5" s="45">
        <f>TOTAL!BC28</f>
        <v>0.5939116833112742</v>
      </c>
      <c r="BC5" s="45">
        <f>TOTAL!BD28</f>
        <v>0.59700952610635472</v>
      </c>
      <c r="BD5" s="45">
        <f>TOTAL!BE28</f>
        <v>0.6027677496991577</v>
      </c>
      <c r="BE5" s="45">
        <f>TOTAL!BF28</f>
        <v>0.60648967551622424</v>
      </c>
      <c r="BF5" s="45">
        <f>TOTAL!BG28</f>
        <v>0.60956271023546371</v>
      </c>
      <c r="BG5" s="45">
        <f>TOTAL!BH28</f>
        <v>0.60621013359008302</v>
      </c>
      <c r="BH5" s="45">
        <f>TOTAL!BI28</f>
        <v>0.60835668169082713</v>
      </c>
      <c r="BI5" s="45">
        <f>TOTAL!BJ28</f>
        <v>0.60930175178879842</v>
      </c>
      <c r="BJ5" s="45">
        <f>TOTAL!BK28</f>
        <v>0.61552303262955854</v>
      </c>
      <c r="BK5" s="45">
        <f>TOTAL!BL28</f>
        <v>0.62323429128105212</v>
      </c>
      <c r="BL5" s="45">
        <f>TOTAL!BM28</f>
        <v>0.62746033639508525</v>
      </c>
      <c r="BM5" s="45">
        <f>TOTAL!BN28</f>
        <v>0.62776562120106982</v>
      </c>
      <c r="BN5" s="45">
        <f>TOTAL!BO28</f>
        <v>0.63256809801356018</v>
      </c>
      <c r="BO5" s="45">
        <f>TOTAL!BP28</f>
        <v>0.63314600023914858</v>
      </c>
      <c r="BP5" s="45">
        <f>TOTAL!BQ28</f>
        <v>0.63223090799759474</v>
      </c>
      <c r="BQ5" s="45">
        <f>TOTAL!BR28</f>
        <v>0.6387904559414127</v>
      </c>
      <c r="BR5" s="45">
        <f>TOTAL!BS28</f>
        <v>0.63805924661709135</v>
      </c>
      <c r="BS5" s="45">
        <f>TOTAL!BT28</f>
        <v>0.64407997126780803</v>
      </c>
      <c r="BT5" s="45">
        <f>TOTAL!BU28</f>
        <v>0.64578601315002993</v>
      </c>
      <c r="BU5" s="45">
        <f>TOTAL!BV28</f>
        <v>0.64696066746126346</v>
      </c>
      <c r="BV5" s="45">
        <f>TOTAL!BW28</f>
        <v>0.65051656572853578</v>
      </c>
      <c r="BW5" s="45">
        <f>TOTAL!BX28</f>
        <v>0.6389263390121338</v>
      </c>
      <c r="BX5" s="45">
        <f>TOTAL!BY28</f>
        <v>0.6531452087007642</v>
      </c>
      <c r="BY5" s="45">
        <f>TOTAL!BZ28</f>
        <v>0.65244046215515206</v>
      </c>
      <c r="BZ5" s="45">
        <f>TOTAL!CA28</f>
        <v>0.65176359561165509</v>
      </c>
      <c r="CA5" s="45">
        <f>TOTAL!CB28</f>
        <v>0.65433988929454712</v>
      </c>
      <c r="CB5" s="45">
        <f>TOTAL!CC28</f>
        <v>0.65589755639097747</v>
      </c>
      <c r="CC5" s="45">
        <f>TOTAL!CD28</f>
        <v>0.65531415149735761</v>
      </c>
      <c r="CD5" s="45">
        <f>TOTAL!CE28</f>
        <v>0.65550070521861781</v>
      </c>
      <c r="CE5" s="45">
        <f>TOTAL!CF28</f>
        <v>0.65784521289108444</v>
      </c>
      <c r="CF5" s="45">
        <f>TOTAL!CG28</f>
        <v>0.65933678269049856</v>
      </c>
      <c r="CG5" s="45">
        <f>TOTAL!CH28</f>
        <v>0.66035087719298247</v>
      </c>
      <c r="CH5" s="45">
        <f>TOTAL!CI28</f>
        <v>0.65930599369085174</v>
      </c>
      <c r="CI5" s="45">
        <f>TOTAL!CJ28</f>
        <v>0.66297634308355669</v>
      </c>
      <c r="CJ5" s="45">
        <f>TOTAL!CK28</f>
        <v>0.66356444858073527</v>
      </c>
      <c r="CK5" s="45">
        <f>TOTAL!CL28</f>
        <v>0.66503610528767765</v>
      </c>
      <c r="CL5" s="45">
        <f>TOTAL!CM28</f>
        <v>0.66779344911994409</v>
      </c>
      <c r="CM5" s="45">
        <f>TOTAL!CN28</f>
        <v>0.66957229195722923</v>
      </c>
      <c r="CN5" s="45">
        <f>TOTAL!CO28</f>
        <v>0.67178770949720668</v>
      </c>
      <c r="CO5" s="45">
        <f>TOTAL!CP28</f>
        <v>0.68190785656260877</v>
      </c>
      <c r="CP5" s="45">
        <f>TOTAL!CQ28</f>
        <v>0.68438769587928028</v>
      </c>
      <c r="CQ5" s="45">
        <f>TOTAL!CR28</f>
        <v>0.69028810408921937</v>
      </c>
      <c r="CR5" s="45">
        <f>TOTAL!CS28</f>
        <v>0.69144117988619203</v>
      </c>
      <c r="CS5" s="45">
        <f>TOTAL!CT28</f>
        <v>0.69401176877812387</v>
      </c>
      <c r="CT5" s="45">
        <f>TOTAL!CU28</f>
        <v>0.68827813013859529</v>
      </c>
      <c r="CU5" s="45">
        <f>TOTAL!CV28</f>
        <v>0.6895515487748497</v>
      </c>
      <c r="CV5" s="45">
        <f>TOTAL!CW28</f>
        <v>0.6912736122378027</v>
      </c>
      <c r="CW5" s="45">
        <f>TOTAL!CX28</f>
        <v>0.69255700891306859</v>
      </c>
      <c r="CX5" s="45">
        <f>TOTAL!CY28</f>
        <v>0.69441541855334954</v>
      </c>
      <c r="CY5" s="45">
        <f>TOTAL!CZ28</f>
        <v>0.69871423607089078</v>
      </c>
      <c r="CZ5" s="45">
        <f>TOTAL!DA28</f>
        <v>0.70221606648199442</v>
      </c>
      <c r="DA5" s="45">
        <f>TOTAL!DB28</f>
        <v>0.70466682145344783</v>
      </c>
      <c r="DB5" s="45">
        <f>TOTAL!DC28</f>
        <v>0.7077367205542725</v>
      </c>
      <c r="DC5" s="45">
        <f>TOTAL!DD28</f>
        <v>0.71071884798513529</v>
      </c>
      <c r="DD5" s="45">
        <f>TOTAL!DE28</f>
        <v>0.71146932622057291</v>
      </c>
      <c r="DE5" s="45">
        <f>TOTAL!DF28</f>
        <v>0.71528735632183904</v>
      </c>
      <c r="DF5" s="45">
        <f>TOTAL!DG28</f>
        <v>0.70160816997300157</v>
      </c>
      <c r="DG5" s="45">
        <f>TOTAL!DH28</f>
        <v>0.71064123190071249</v>
      </c>
      <c r="DH5" s="45">
        <f>TOTAL!DI28</f>
        <v>0.71336553945249592</v>
      </c>
      <c r="DI5" s="45">
        <f>TOTAL!DJ28</f>
        <v>0.71043731778425656</v>
      </c>
      <c r="DJ5" s="45">
        <f>TOTAL!DK28</f>
        <v>0.71081523008642844</v>
      </c>
      <c r="DK5" s="45">
        <f>TOTAL!DL28</f>
        <v>0.72318657316932977</v>
      </c>
      <c r="DL5" s="45">
        <f>TOTAL!DM28</f>
        <v>0.72169975618251481</v>
      </c>
      <c r="DM5" s="45">
        <f>TOTAL!DN28</f>
        <v>0.72498274672187712</v>
      </c>
      <c r="DN5" s="45">
        <f>TOTAL!DO28</f>
        <v>0.72578776645041709</v>
      </c>
      <c r="DO5" s="45">
        <f>TOTAL!DP28</f>
        <v>0.72733596104799447</v>
      </c>
      <c r="DP5" s="45">
        <f>TOTAL!DQ28</f>
        <v>0.73100828729281764</v>
      </c>
      <c r="DQ5" s="45">
        <f>TOTAL!DR28</f>
        <v>0.72858483923961515</v>
      </c>
      <c r="DR5" s="45">
        <f>TOTAL!DS28</f>
        <v>0.73397879207007832</v>
      </c>
      <c r="DS5" s="45">
        <f>TOTAL!DT28</f>
        <v>0.73752711496746204</v>
      </c>
      <c r="DT5" s="45">
        <f>TOTAL!DU28</f>
        <v>0.73969188944268238</v>
      </c>
      <c r="DU5" s="45">
        <f>TOTAL!DV28</f>
        <v>0.7412761151891587</v>
      </c>
      <c r="DV5" s="45">
        <f>TOTAL!DW28</f>
        <v>0.74597273853779433</v>
      </c>
      <c r="DW5" s="45">
        <f>TOTAL!DX28</f>
        <v>0.75371120107962208</v>
      </c>
      <c r="DX5" s="45">
        <f>TOTAL!DY28</f>
        <v>0.75969167989118114</v>
      </c>
      <c r="DY5" s="45">
        <f>TOTAL!DZ28</f>
        <v>0.76069153776160148</v>
      </c>
      <c r="DZ5" s="45">
        <f>TOTAL!EA28</f>
        <v>0.76110731373889273</v>
      </c>
      <c r="EA5" s="45">
        <f>TOTAL!EB28</f>
        <v>0.7622455826437039</v>
      </c>
      <c r="EB5" s="45">
        <f>TOTAL!EC28</f>
        <v>0.76414039794321487</v>
      </c>
      <c r="EC5" s="45">
        <f>TOTAL!ED28</f>
        <v>0.7646796657381616</v>
      </c>
      <c r="ED5" s="45">
        <f>TOTAL!EE28</f>
        <v>0.7606495384273162</v>
      </c>
      <c r="EE5" s="45">
        <f>TOTAL!EF28</f>
        <v>0.76259390190013254</v>
      </c>
      <c r="EF5" s="45">
        <f>TOTAL!EG28</f>
        <v>0.7626911992906229</v>
      </c>
      <c r="EG5" s="45">
        <f>TOTAL!EH28</f>
        <v>0.7635740351653213</v>
      </c>
      <c r="EH5" s="45">
        <f>TOTAL!EI28</f>
        <v>0.7675443428445522</v>
      </c>
      <c r="EI5" s="45">
        <f>TOTAL!EJ28</f>
        <v>0.76984649122807014</v>
      </c>
      <c r="EJ5" s="45">
        <f>TOTAL!EK28</f>
        <v>0.76891123742894618</v>
      </c>
      <c r="EK5" s="45">
        <f>TOTAL!EL28</f>
        <v>0.77000108849461191</v>
      </c>
      <c r="EL5" s="45">
        <f>TOTAL!EM28</f>
        <v>0.7696818329894668</v>
      </c>
      <c r="EM5" s="45">
        <f>TOTAL!EN28</f>
        <v>0.76986449864498641</v>
      </c>
      <c r="EN5" s="45">
        <f>TOTAL!EO28</f>
        <v>0.77007023230686111</v>
      </c>
      <c r="EO5" s="45">
        <f>TOTAL!EP28</f>
        <v>0.77042253521126758</v>
      </c>
      <c r="EP5" s="45">
        <f>TOTAL!EQ28</f>
        <v>0.76787070181147632</v>
      </c>
      <c r="EQ5" s="45">
        <f>TOTAL!ER28</f>
        <v>0.77189212420758568</v>
      </c>
      <c r="ER5" s="45">
        <f>TOTAL!ES28</f>
        <v>0.77008759597707366</v>
      </c>
      <c r="ES5" s="45">
        <f>TOTAL!ET28</f>
        <v>0.77083111063693588</v>
      </c>
      <c r="ET5" s="45">
        <f>TOTAL!EU28</f>
        <v>0.7716476728086058</v>
      </c>
      <c r="EU5" s="45">
        <f>TOTAL!EV28</f>
        <v>0.77122516204441616</v>
      </c>
      <c r="EV5" s="45">
        <f>TOTAL!EW28</f>
        <v>0.77119542178889355</v>
      </c>
      <c r="EW5" s="45">
        <f>TOTAL!EX28</f>
        <v>0.77079580375119217</v>
      </c>
      <c r="EX5" s="45">
        <f>TOTAL!EY28</f>
        <v>0.77164021164021168</v>
      </c>
      <c r="EY5" s="45">
        <f>TOTAL!EZ28</f>
        <v>0.77237662474902247</v>
      </c>
      <c r="EZ5" s="45">
        <f>TOTAL!FA28</f>
        <v>0.77368032873248338</v>
      </c>
      <c r="FA5" s="45">
        <f>TOTAL!FB28</f>
        <v>0.77343832020997372</v>
      </c>
      <c r="FB5" s="45">
        <f>TOTAL!FC28</f>
        <v>0.77354920100925151</v>
      </c>
      <c r="FC5" s="45">
        <f>TOTAL!FD28</f>
        <v>0.77410873908928379</v>
      </c>
      <c r="FD5" s="45">
        <f>TOTAL!FE28</f>
        <v>0.77531148570830277</v>
      </c>
      <c r="FE5" s="45">
        <f>TOTAL!FF28</f>
        <v>0.77608195693079662</v>
      </c>
      <c r="FF5" s="45">
        <f>TOTAL!FG28</f>
        <v>0.77871851155012017</v>
      </c>
      <c r="FG5" s="45">
        <f>TOTAL!FH28</f>
        <v>0.7789144050104384</v>
      </c>
      <c r="FH5" s="45">
        <f>TOTAL!FI28</f>
        <v>0.78134715025906731</v>
      </c>
      <c r="FI5" s="45">
        <f>TOTAL!FJ28</f>
        <v>0.78131788559015203</v>
      </c>
      <c r="FJ5" s="45">
        <f>TOTAL!FK28</f>
        <v>0.78230800990916594</v>
      </c>
      <c r="FK5" s="45">
        <f>TOTAL!FL28</f>
        <v>0.80131950989632417</v>
      </c>
      <c r="FL5" s="45">
        <f>TOTAL!FM28</f>
        <v>0.80106971943323635</v>
      </c>
      <c r="FM5" s="45">
        <f>TOTAL!FN28</f>
        <v>0.8022810133682341</v>
      </c>
      <c r="FN5" s="45">
        <f>TOTAL!FO28</f>
        <v>0.80177653108929403</v>
      </c>
      <c r="FO5" s="45">
        <f>TOTAL!FP28</f>
        <v>0.80624019200590791</v>
      </c>
      <c r="FP5" s="45">
        <f>TOTAL!FQ28</f>
        <v>0.80773490862100794</v>
      </c>
      <c r="FQ5" s="45">
        <f>TOTAL!FR28</f>
        <v>0.80871580899397311</v>
      </c>
      <c r="FR5" s="45">
        <f>TOTAL!FS28</f>
        <v>0.81098961683359372</v>
      </c>
      <c r="FS5" s="45">
        <f>TOTAL!FT28</f>
        <v>0.81588513267902585</v>
      </c>
    </row>
    <row r="6" spans="1:175" x14ac:dyDescent="0.25">
      <c r="A6" s="44" t="s">
        <v>63</v>
      </c>
      <c r="B6" s="45">
        <f>TOTAL!C75</f>
        <v>6.0504918538742604E-2</v>
      </c>
      <c r="C6" s="45">
        <f>TOTAL!D75</f>
        <v>0.41944622741680132</v>
      </c>
      <c r="D6" s="45">
        <f>TOTAL!E75</f>
        <v>0.59359673883815656</v>
      </c>
      <c r="E6" s="45">
        <f>TOTAL!F75</f>
        <v>0.43603767059104837</v>
      </c>
      <c r="F6" s="45">
        <f>TOTAL!G75</f>
        <v>0.42695194923891772</v>
      </c>
      <c r="G6" s="45">
        <f>TOTAL!H75</f>
        <v>0.54339319713669565</v>
      </c>
      <c r="H6" s="45">
        <f>TOTAL!I75</f>
        <v>0.56003466615059938</v>
      </c>
      <c r="I6" s="45">
        <f>TOTAL!J75</f>
        <v>0.51914485324352377</v>
      </c>
      <c r="J6" s="45">
        <f>TOTAL!K75</f>
        <v>0.46835482951803376</v>
      </c>
      <c r="K6" s="45">
        <f>TOTAL!L75</f>
        <v>0.55412232550406559</v>
      </c>
      <c r="L6" s="45">
        <f>TOTAL!M75</f>
        <v>0.60821871266133709</v>
      </c>
      <c r="M6" s="45">
        <f>TOTAL!N75</f>
        <v>0.54519029816501785</v>
      </c>
      <c r="N6" s="45">
        <f>TOTAL!O75</f>
        <v>0.48961671214786273</v>
      </c>
      <c r="O6" s="45">
        <f>TOTAL!P75</f>
        <v>0.52597372141658172</v>
      </c>
      <c r="P6" s="45">
        <f>TOTAL!Q75</f>
        <v>0.54608856717868415</v>
      </c>
      <c r="Q6" s="45">
        <f>TOTAL!R75</f>
        <v>0.57465808191680123</v>
      </c>
      <c r="R6" s="45">
        <f>TOTAL!S75</f>
        <v>0.59578447955492309</v>
      </c>
      <c r="S6" s="45">
        <f>TOTAL!T75</f>
        <v>0.58794247785405807</v>
      </c>
      <c r="T6" s="45">
        <f>TOTAL!U75</f>
        <v>0.58249133874848336</v>
      </c>
      <c r="U6" s="45">
        <f>TOTAL!V75</f>
        <v>0.59743719345969348</v>
      </c>
      <c r="V6" s="45">
        <f>TOTAL!W75</f>
        <v>0.59083997538659427</v>
      </c>
      <c r="W6" s="45">
        <f>TOTAL!X75</f>
        <v>0.59821610169148931</v>
      </c>
      <c r="X6" s="45">
        <f>TOTAL!Y75</f>
        <v>0.60531356674881232</v>
      </c>
      <c r="Y6" s="45">
        <f>TOTAL!Z75</f>
        <v>0.6340089717910945</v>
      </c>
      <c r="Z6" s="45">
        <f>TOTAL!AA75</f>
        <v>0.6242429696448798</v>
      </c>
      <c r="AA6" s="45">
        <f>TOTAL!AB75</f>
        <v>0.65110238524901276</v>
      </c>
      <c r="AB6" s="45">
        <f>TOTAL!AC75</f>
        <v>0.63904898530982046</v>
      </c>
      <c r="AC6" s="45">
        <f>TOTAL!AD75</f>
        <v>0.64240591533082536</v>
      </c>
      <c r="AD6" s="45">
        <f>TOTAL!AE75</f>
        <v>0.65333892734138965</v>
      </c>
      <c r="AE6" s="45">
        <f>TOTAL!AF75</f>
        <v>0.68436655573144878</v>
      </c>
      <c r="AF6" s="45">
        <f>TOTAL!AG75</f>
        <v>0.6794656642164979</v>
      </c>
      <c r="AG6" s="45">
        <f>TOTAL!AH75</f>
        <v>0.69080696681506482</v>
      </c>
      <c r="AH6" s="45">
        <f>TOTAL!AI75</f>
        <v>0.69105914827046233</v>
      </c>
      <c r="AI6" s="45">
        <f>TOTAL!AJ75</f>
        <v>0.70434912793384452</v>
      </c>
      <c r="AJ6" s="45">
        <f>TOTAL!AK75</f>
        <v>0.69124207843973273</v>
      </c>
      <c r="AK6" s="45">
        <f>TOTAL!AL75</f>
        <v>0.71929909935120429</v>
      </c>
      <c r="AL6" s="45">
        <f>TOTAL!AM75</f>
        <v>0.69717083236625621</v>
      </c>
      <c r="AM6" s="45">
        <f>TOTAL!AN75</f>
        <v>0.68863411486987036</v>
      </c>
      <c r="AN6" s="45">
        <f>TOTAL!AO75</f>
        <v>0.73360046461676665</v>
      </c>
      <c r="AO6" s="45">
        <f>TOTAL!AP75</f>
        <v>0.70588939679986173</v>
      </c>
      <c r="AP6" s="45">
        <f>TOTAL!AQ75</f>
        <v>0.69882361547844363</v>
      </c>
      <c r="AQ6" s="45">
        <f>TOTAL!AR75</f>
        <v>0.73851190901014385</v>
      </c>
      <c r="AR6" s="45">
        <f>TOTAL!AS75</f>
        <v>0.72711703547630147</v>
      </c>
      <c r="AS6" s="45">
        <f>TOTAL!AT75</f>
        <v>0.73136140241906156</v>
      </c>
      <c r="AT6" s="45">
        <f>TOTAL!AU75</f>
        <v>0.73322904794872645</v>
      </c>
      <c r="AU6" s="45">
        <f>TOTAL!AV75</f>
        <v>0.74547408044827668</v>
      </c>
      <c r="AV6" s="45">
        <f>TOTAL!AW75</f>
        <v>0.73910963664933726</v>
      </c>
      <c r="AW6" s="45">
        <f>TOTAL!AX75</f>
        <v>0.75093007656805122</v>
      </c>
      <c r="AX6" s="45">
        <f>TOTAL!AY75</f>
        <v>0.73113436988320046</v>
      </c>
      <c r="AY6" s="45">
        <f>TOTAL!AZ75</f>
        <v>0.70514486081622696</v>
      </c>
      <c r="AZ6" s="45">
        <f>TOTAL!BA75</f>
        <v>0.7564396699696958</v>
      </c>
      <c r="BA6" s="45">
        <f>TOTAL!BB75</f>
        <v>0.74448108969008875</v>
      </c>
      <c r="BB6" s="45">
        <f>TOTAL!BC75</f>
        <v>0.7621176735162839</v>
      </c>
      <c r="BC6" s="45">
        <f>TOTAL!BD75</f>
        <v>0.7530368852176067</v>
      </c>
      <c r="BD6" s="45">
        <f>TOTAL!BE75</f>
        <v>0.73545464840491515</v>
      </c>
      <c r="BE6" s="45">
        <f>TOTAL!BF75</f>
        <v>0.74283008343001888</v>
      </c>
      <c r="BF6" s="45">
        <f>TOTAL!BG75</f>
        <v>0.73434757151789687</v>
      </c>
      <c r="BG6" s="45">
        <f>TOTAL!BH75</f>
        <v>0.74533343086961457</v>
      </c>
      <c r="BH6" s="45">
        <f>TOTAL!BI75</f>
        <v>0.72842647910894209</v>
      </c>
      <c r="BI6" s="45">
        <f>TOTAL!BJ75</f>
        <v>0.72801133618677605</v>
      </c>
      <c r="BJ6" s="45">
        <f>TOTAL!BK75</f>
        <v>0.72035276627566669</v>
      </c>
      <c r="BK6" s="45">
        <f>TOTAL!BL75</f>
        <v>0.72361565062022903</v>
      </c>
      <c r="BL6" s="45">
        <f>TOTAL!BM75</f>
        <v>0.73024472879484648</v>
      </c>
      <c r="BM6" s="45">
        <f>TOTAL!BN75</f>
        <v>0.72690509403889125</v>
      </c>
      <c r="BN6" s="45">
        <f>TOTAL!BO75</f>
        <v>0.74692358177060281</v>
      </c>
      <c r="BO6" s="45">
        <f>TOTAL!BP75</f>
        <v>0.73092004670841881</v>
      </c>
      <c r="BP6" s="45">
        <f>TOTAL!BQ75</f>
        <v>0.73141372233969082</v>
      </c>
      <c r="BQ6" s="45">
        <f>TOTAL!BR75</f>
        <v>0.72801294999333832</v>
      </c>
      <c r="BR6" s="45">
        <f>TOTAL!BS75</f>
        <v>0.72057481242493571</v>
      </c>
      <c r="BS6" s="45">
        <f>TOTAL!BT75</f>
        <v>0.72604167524234509</v>
      </c>
      <c r="BT6" s="45">
        <f>TOTAL!BU75</f>
        <v>0.73253154283549926</v>
      </c>
      <c r="BU6" s="45">
        <f>TOTAL!BV75</f>
        <v>0.72668604324239638</v>
      </c>
      <c r="BV6" s="45">
        <f>TOTAL!BW75</f>
        <v>0.72421235743175727</v>
      </c>
      <c r="BW6" s="45">
        <f>TOTAL!BX75</f>
        <v>0.70375943477129477</v>
      </c>
      <c r="BX6" s="45">
        <f>TOTAL!BY75</f>
        <v>0.70920429429280019</v>
      </c>
      <c r="BY6" s="45">
        <f>TOTAL!BZ75</f>
        <v>0.72752729492089752</v>
      </c>
      <c r="BZ6" s="45">
        <f>TOTAL!CA75</f>
        <v>0.73043071760276812</v>
      </c>
      <c r="CA6" s="45">
        <f>TOTAL!CB75</f>
        <v>0.68315779997370085</v>
      </c>
      <c r="CB6" s="45">
        <f>TOTAL!CC75</f>
        <v>0.72412324739923872</v>
      </c>
      <c r="CC6" s="45">
        <f>TOTAL!CD75</f>
        <v>0.7550580423740888</v>
      </c>
      <c r="CD6" s="45">
        <f>TOTAL!CE75</f>
        <v>0.73598065915728372</v>
      </c>
      <c r="CE6" s="45">
        <f>TOTAL!CF75</f>
        <v>0.76366967632838278</v>
      </c>
      <c r="CF6" s="45">
        <f>TOTAL!CG75</f>
        <v>0.77364424914194985</v>
      </c>
      <c r="CG6" s="45">
        <f>TOTAL!CH75</f>
        <v>0.78145430765077739</v>
      </c>
      <c r="CH6" s="45">
        <f>TOTAL!CI75</f>
        <v>0.77128524605781534</v>
      </c>
      <c r="CI6" s="45">
        <f>TOTAL!CJ75</f>
        <v>0.76077594258500902</v>
      </c>
      <c r="CJ6" s="45">
        <f>TOTAL!CK75</f>
        <v>0.76261360297989955</v>
      </c>
      <c r="CK6" s="45">
        <f>TOTAL!CL75</f>
        <v>0.76064601329978054</v>
      </c>
      <c r="CL6" s="45">
        <f>TOTAL!CM75</f>
        <v>0.75352859071476952</v>
      </c>
      <c r="CM6" s="45">
        <f>TOTAL!CN75</f>
        <v>0.75371302588281641</v>
      </c>
      <c r="CN6" s="45">
        <f>TOTAL!CO75</f>
        <v>0.77264265407858057</v>
      </c>
      <c r="CO6" s="45">
        <f>TOTAL!CP75</f>
        <v>0.76032580794139892</v>
      </c>
      <c r="CP6" s="45">
        <f>TOTAL!CQ75</f>
        <v>0.76131192984148222</v>
      </c>
      <c r="CQ6" s="45">
        <f>TOTAL!CR75</f>
        <v>0.76144788357089765</v>
      </c>
      <c r="CR6" s="45">
        <f>TOTAL!CS75</f>
        <v>0.77395340259580103</v>
      </c>
      <c r="CS6" s="45">
        <f>TOTAL!CT75</f>
        <v>0.78437020294250015</v>
      </c>
      <c r="CT6" s="45">
        <f>TOTAL!CU75</f>
        <v>0.76144488308861313</v>
      </c>
      <c r="CU6" s="45">
        <f>TOTAL!CV75</f>
        <v>0.77826696056509859</v>
      </c>
      <c r="CV6" s="45">
        <f>TOTAL!CW75</f>
        <v>0.78353237359754835</v>
      </c>
      <c r="CW6" s="45">
        <f>TOTAL!CX75</f>
        <v>0.78482049493692263</v>
      </c>
      <c r="CX6" s="45">
        <f>TOTAL!CY75</f>
        <v>0.79855675138736359</v>
      </c>
      <c r="CY6" s="45">
        <f>TOTAL!CZ75</f>
        <v>0.78698056390691939</v>
      </c>
      <c r="CZ6" s="45">
        <f>TOTAL!DA75</f>
        <v>0.78162916270892091</v>
      </c>
      <c r="DA6" s="45">
        <f>TOTAL!DB75</f>
        <v>0.78970183424691864</v>
      </c>
      <c r="DB6" s="45">
        <f>TOTAL!DC75</f>
        <v>0.78341595596651525</v>
      </c>
      <c r="DC6" s="45">
        <f>TOTAL!DD75</f>
        <v>0.7669091924285969</v>
      </c>
      <c r="DD6" s="45">
        <f>TOTAL!DE75</f>
        <v>0.79403789722106144</v>
      </c>
      <c r="DE6" s="45">
        <f>TOTAL!DF75</f>
        <v>0.80155848688884268</v>
      </c>
      <c r="DF6" s="45">
        <f>TOTAL!DG75</f>
        <v>0.79304448940815009</v>
      </c>
      <c r="DG6" s="45">
        <f>TOTAL!DH75</f>
        <v>0.78873283047081089</v>
      </c>
      <c r="DH6" s="45">
        <f>TOTAL!DI75</f>
        <v>0.78334951995251256</v>
      </c>
      <c r="DI6" s="45">
        <f>TOTAL!DJ75</f>
        <v>0.80736638692891294</v>
      </c>
      <c r="DJ6" s="45">
        <f>TOTAL!DK75</f>
        <v>0.81071297055706792</v>
      </c>
      <c r="DK6" s="45">
        <f>TOTAL!DL75</f>
        <v>0.80947775699326319</v>
      </c>
      <c r="DL6" s="45">
        <f>TOTAL!DM75</f>
        <v>0.80369659158255125</v>
      </c>
      <c r="DM6" s="45">
        <f>TOTAL!DN75</f>
        <v>0.80041166167631927</v>
      </c>
      <c r="DN6" s="45">
        <f>TOTAL!DO75</f>
        <v>0.80216561881562387</v>
      </c>
      <c r="DO6" s="45">
        <f>TOTAL!DP75</f>
        <v>0.81185103155477845</v>
      </c>
      <c r="DP6" s="45">
        <f>TOTAL!DQ75</f>
        <v>0.81458853964858724</v>
      </c>
      <c r="DQ6" s="45">
        <f>TOTAL!DR75</f>
        <v>0.81396099261632515</v>
      </c>
      <c r="DR6" s="45">
        <f>TOTAL!DS75</f>
        <v>0.82125147392590292</v>
      </c>
      <c r="DS6" s="45">
        <f>TOTAL!DT75</f>
        <v>0.83703181146713979</v>
      </c>
      <c r="DT6" s="45">
        <f>TOTAL!DU75</f>
        <v>0.83379669113865962</v>
      </c>
      <c r="DU6" s="45">
        <f>TOTAL!DV75</f>
        <v>0.83743002726585059</v>
      </c>
      <c r="DV6" s="45">
        <f>TOTAL!DW75</f>
        <v>0.83750912718070225</v>
      </c>
      <c r="DW6" s="45">
        <f>TOTAL!DX75</f>
        <v>0.8358036028938528</v>
      </c>
      <c r="DX6" s="45">
        <f>TOTAL!DY75</f>
        <v>0.831678308940628</v>
      </c>
      <c r="DY6" s="45">
        <f>TOTAL!DZ75</f>
        <v>0.83755591949628083</v>
      </c>
      <c r="DZ6" s="45">
        <f>TOTAL!EA75</f>
        <v>0.83522607665235293</v>
      </c>
      <c r="EA6" s="45">
        <f>TOTAL!EB75</f>
        <v>0.83704227251903585</v>
      </c>
      <c r="EB6" s="45">
        <f>TOTAL!EC75</f>
        <v>0.83896493035883979</v>
      </c>
      <c r="EC6" s="45">
        <f>TOTAL!ED75</f>
        <v>0.83873290321906746</v>
      </c>
      <c r="ED6" s="45">
        <f>TOTAL!EE75</f>
        <v>0.84458181088129103</v>
      </c>
      <c r="EE6" s="45">
        <f>TOTAL!EF75</f>
        <v>0.8536201092380179</v>
      </c>
      <c r="EF6" s="45">
        <f>TOTAL!EG75</f>
        <v>0.85560358313950979</v>
      </c>
      <c r="EG6" s="45">
        <f>TOTAL!EH75</f>
        <v>0.85894254059611341</v>
      </c>
      <c r="EH6" s="45">
        <f>TOTAL!EI75</f>
        <v>0.85822505264934534</v>
      </c>
      <c r="EI6" s="45">
        <f>TOTAL!EJ75</f>
        <v>0.86824734769284817</v>
      </c>
      <c r="EJ6" s="45">
        <f>TOTAL!EK75</f>
        <v>0.86405245391115337</v>
      </c>
      <c r="EK6" s="45">
        <f>TOTAL!EL75</f>
        <v>0.86232468086275182</v>
      </c>
      <c r="EL6" s="45">
        <f>TOTAL!EM75</f>
        <v>0.85908007996498792</v>
      </c>
      <c r="EM6" s="45">
        <f>TOTAL!EN75</f>
        <v>0.85496848621274368</v>
      </c>
      <c r="EN6" s="45">
        <f>TOTAL!EO75</f>
        <v>0.8600554807679075</v>
      </c>
      <c r="EO6" s="45">
        <f>TOTAL!EP75</f>
        <v>0.86565160856375645</v>
      </c>
      <c r="EP6" s="45">
        <f>TOTAL!EQ75</f>
        <v>0.86562818442839118</v>
      </c>
      <c r="EQ6" s="45">
        <f>TOTAL!ER75</f>
        <v>0.8611422504630788</v>
      </c>
      <c r="ER6" s="45">
        <f>TOTAL!ES75</f>
        <v>0.85710142131855938</v>
      </c>
      <c r="ES6" s="45">
        <f>TOTAL!ET75</f>
        <v>0.86523144513262895</v>
      </c>
      <c r="ET6" s="45">
        <f>TOTAL!EU75</f>
        <v>0.85641323412028736</v>
      </c>
      <c r="EU6" s="45">
        <f>TOTAL!EV75</f>
        <v>0.86058196107488316</v>
      </c>
      <c r="EV6" s="45">
        <f>TOTAL!EW75</f>
        <v>0.86726649982512705</v>
      </c>
      <c r="EW6" s="45">
        <f>TOTAL!EX75</f>
        <v>0.87070322496570873</v>
      </c>
      <c r="EX6" s="45">
        <f>TOTAL!EY75</f>
        <v>0.87600573363069179</v>
      </c>
      <c r="EY6" s="45">
        <f>TOTAL!EZ75</f>
        <v>0.88005612178347559</v>
      </c>
      <c r="EZ6" s="45">
        <f>TOTAL!FA75</f>
        <v>0.87005054827485606</v>
      </c>
      <c r="FA6" s="45">
        <f>TOTAL!FB75</f>
        <v>0.88744959242113575</v>
      </c>
      <c r="FB6" s="45">
        <f>TOTAL!FC75</f>
        <v>0.87784342245980407</v>
      </c>
      <c r="FC6" s="45">
        <f>TOTAL!FD75</f>
        <v>0.86497751069453244</v>
      </c>
      <c r="FD6" s="45">
        <f>TOTAL!FE75</f>
        <v>0.86793731302431798</v>
      </c>
      <c r="FE6" s="45">
        <f>TOTAL!FF75</f>
        <v>0.87305280763353665</v>
      </c>
      <c r="FF6" s="45">
        <f>TOTAL!FG75</f>
        <v>0.87163344482425886</v>
      </c>
      <c r="FG6" s="45">
        <f>TOTAL!FH75</f>
        <v>0.87335425846084991</v>
      </c>
      <c r="FH6" s="45">
        <f>TOTAL!FI75</f>
        <v>0.87335559315976241</v>
      </c>
      <c r="FI6" s="45">
        <f>TOTAL!FJ75</f>
        <v>0.87004579822415962</v>
      </c>
      <c r="FJ6" s="45">
        <f>TOTAL!FK75</f>
        <v>0.86784491444539014</v>
      </c>
      <c r="FK6" s="45">
        <f>TOTAL!FL75</f>
        <v>0.87417142941030934</v>
      </c>
      <c r="FL6" s="45">
        <f>TOTAL!FM75</f>
        <v>0.87621042929989945</v>
      </c>
      <c r="FM6" s="45">
        <f>TOTAL!FN75</f>
        <v>0.87656522805827808</v>
      </c>
      <c r="FN6" s="45">
        <f>TOTAL!FO75</f>
        <v>0.87652174380974945</v>
      </c>
      <c r="FO6" s="45">
        <f>TOTAL!FP75</f>
        <v>0.88146789177336204</v>
      </c>
      <c r="FP6" s="45">
        <f>TOTAL!FQ75</f>
        <v>0.88550751282349527</v>
      </c>
      <c r="FQ6" s="45">
        <f>TOTAL!FR75</f>
        <v>0.8814643426950256</v>
      </c>
      <c r="FR6" s="45">
        <f>TOTAL!FS75</f>
        <v>0.88106802181440269</v>
      </c>
      <c r="FS6" s="45">
        <f>TOTAL!FT75</f>
        <v>0.8710073725710652</v>
      </c>
    </row>
    <row r="7" spans="1:175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</row>
    <row r="8" spans="1:175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75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</row>
    <row r="10" spans="1:175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</sheetData>
  <mergeCells count="1">
    <mergeCell ref="A1:H1"/>
  </mergeCells>
  <phoneticPr fontId="7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S12"/>
  <sheetViews>
    <sheetView topLeftCell="A13" workbookViewId="0">
      <selection activeCell="FO30" sqref="FO30"/>
    </sheetView>
  </sheetViews>
  <sheetFormatPr defaultColWidth="9.109375" defaultRowHeight="13.2" x14ac:dyDescent="0.25"/>
  <cols>
    <col min="1" max="1" width="24.33203125" style="2" customWidth="1"/>
    <col min="2" max="2" width="11.33203125" style="2" bestFit="1" customWidth="1"/>
    <col min="3" max="16384" width="9.109375" style="2"/>
  </cols>
  <sheetData>
    <row r="1" spans="1:175" ht="17.399999999999999" x14ac:dyDescent="0.3">
      <c r="A1" s="607" t="s">
        <v>41</v>
      </c>
      <c r="B1" s="607"/>
      <c r="C1" s="607"/>
      <c r="D1" s="607"/>
      <c r="E1" s="607"/>
      <c r="F1" s="607"/>
      <c r="G1" s="607"/>
      <c r="H1" s="607"/>
    </row>
    <row r="4" spans="1:175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326">
        <v>40664</v>
      </c>
      <c r="DK4" s="127">
        <v>40695</v>
      </c>
      <c r="DL4" s="127">
        <v>40725</v>
      </c>
      <c r="DM4" s="326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</row>
    <row r="5" spans="1:175" x14ac:dyDescent="0.25">
      <c r="A5" s="273" t="s">
        <v>92</v>
      </c>
      <c r="B5" s="45">
        <f>Oncor!C12</f>
        <v>1.8736647161809082E-2</v>
      </c>
      <c r="C5" s="45">
        <f>Oncor!D12</f>
        <v>2.3108553909515769E-2</v>
      </c>
      <c r="D5" s="45">
        <f>Oncor!E12</f>
        <v>2.1475351554636066E-2</v>
      </c>
      <c r="E5" s="45">
        <f>Oncor!F12</f>
        <v>2.2481311822540227E-2</v>
      </c>
      <c r="F5" s="45">
        <f>Oncor!G12</f>
        <v>2.7701764168139201E-2</v>
      </c>
      <c r="G5" s="45">
        <f>Oncor!H12</f>
        <v>3.3876866828072949E-2</v>
      </c>
      <c r="H5" s="45">
        <f>Oncor!I12</f>
        <v>2.7705235390473759E-2</v>
      </c>
      <c r="I5" s="45">
        <f>Oncor!J12</f>
        <v>5.8495268682398599E-2</v>
      </c>
      <c r="J5" s="45">
        <f>Oncor!K12</f>
        <v>6.1048190621846264E-2</v>
      </c>
      <c r="K5" s="45">
        <f>Oncor!L12</f>
        <v>6.2979580601778343E-2</v>
      </c>
      <c r="L5" s="45">
        <f>Oncor!M12</f>
        <v>6.6157176472143184E-2</v>
      </c>
      <c r="M5" s="45">
        <f>Oncor!N12</f>
        <v>7.004039118889116E-2</v>
      </c>
      <c r="N5" s="45">
        <f>Oncor!O12</f>
        <v>6.9588874880321547E-2</v>
      </c>
      <c r="O5" s="45">
        <f>Oncor!P12</f>
        <v>7.339150370070259E-2</v>
      </c>
      <c r="P5" s="45">
        <f>Oncor!Q12</f>
        <v>7.9825609793263752E-2</v>
      </c>
      <c r="Q5" s="45">
        <f>Oncor!R12</f>
        <v>8.636163395414527E-2</v>
      </c>
      <c r="R5" s="45">
        <f>Oncor!S12</f>
        <v>9.1180232186952301E-2</v>
      </c>
      <c r="S5" s="45">
        <f>Oncor!T12</f>
        <v>9.7934360131715262E-2</v>
      </c>
      <c r="T5" s="45">
        <f>Oncor!U12</f>
        <v>0.10352813024381784</v>
      </c>
      <c r="U5" s="45">
        <f>Oncor!V12</f>
        <v>0.10984972295097402</v>
      </c>
      <c r="V5" s="45">
        <f>Oncor!W12</f>
        <v>0.11905482614572471</v>
      </c>
      <c r="W5" s="45">
        <f>Oncor!X12</f>
        <v>0.12681156595218349</v>
      </c>
      <c r="X5" s="45">
        <f>Oncor!Y12</f>
        <v>0.13149272593343792</v>
      </c>
      <c r="Y5" s="45">
        <f>Oncor!Z12</f>
        <v>0.13580775473001239</v>
      </c>
      <c r="Z5" s="45">
        <f>Oncor!AA12</f>
        <v>0.13634664695004414</v>
      </c>
      <c r="AA5" s="45">
        <f>Oncor!AB12</f>
        <v>0.13803524826259186</v>
      </c>
      <c r="AB5" s="45">
        <f>Oncor!AC12</f>
        <v>0.13963374448575283</v>
      </c>
      <c r="AC5" s="45">
        <f>Oncor!AD12</f>
        <v>0.14167397680718252</v>
      </c>
      <c r="AD5" s="45">
        <f>Oncor!AE12</f>
        <v>0.14436827459800364</v>
      </c>
      <c r="AE5" s="45">
        <f>Oncor!AF12</f>
        <v>0.14801689207543375</v>
      </c>
      <c r="AF5" s="45">
        <f>Oncor!AG12</f>
        <v>0.15328980912226534</v>
      </c>
      <c r="AG5" s="45">
        <f>Oncor!AH12</f>
        <v>0.16044905232044859</v>
      </c>
      <c r="AH5" s="45">
        <f>Oncor!AI12</f>
        <v>0.16827621204787344</v>
      </c>
      <c r="AI5" s="45">
        <f>Oncor!AJ12</f>
        <v>0.17570078146626411</v>
      </c>
      <c r="AJ5" s="45">
        <f>Oncor!AK12</f>
        <v>0.18304306895740174</v>
      </c>
      <c r="AK5" s="45">
        <f>Oncor!AL12</f>
        <v>0.18839436048117408</v>
      </c>
      <c r="AL5" s="45">
        <f>Oncor!AM12</f>
        <v>0.19343619719951918</v>
      </c>
      <c r="AM5" s="45">
        <f>Oncor!AN12</f>
        <v>0.19839443330804746</v>
      </c>
      <c r="AN5" s="45">
        <f>Oncor!AO12</f>
        <v>0.20522687510231724</v>
      </c>
      <c r="AO5" s="45">
        <f>Oncor!AP12</f>
        <v>0.212470565854953</v>
      </c>
      <c r="AP5" s="45">
        <f>Oncor!AQ12</f>
        <v>0.22193425697587832</v>
      </c>
      <c r="AQ5" s="45">
        <f>Oncor!AR12</f>
        <v>0.23399631007181584</v>
      </c>
      <c r="AR5" s="45">
        <f>Oncor!AS12</f>
        <v>0.24386835923544301</v>
      </c>
      <c r="AS5" s="45">
        <f>Oncor!AT12</f>
        <v>0.25319793915439909</v>
      </c>
      <c r="AT5" s="45">
        <f>Oncor!AU12</f>
        <v>0.26289901562542101</v>
      </c>
      <c r="AU5" s="45">
        <f>Oncor!AV12</f>
        <v>0.2694460184917894</v>
      </c>
      <c r="AV5" s="45">
        <f>Oncor!AW12</f>
        <v>0.27531852794993189</v>
      </c>
      <c r="AW5" s="45">
        <f>Oncor!AX12</f>
        <v>0.27908347332110589</v>
      </c>
      <c r="AX5" s="45">
        <f>Oncor!AY12</f>
        <v>0.28248422535556444</v>
      </c>
      <c r="AY5" s="45">
        <f>Oncor!AZ12</f>
        <v>0.28642635904978403</v>
      </c>
      <c r="AZ5" s="45">
        <f>Oncor!BA12</f>
        <v>0.29063999458285633</v>
      </c>
      <c r="BA5" s="45">
        <f>Oncor!BB12</f>
        <v>0.29552340536597022</v>
      </c>
      <c r="BB5" s="45">
        <f>Oncor!BC12</f>
        <v>0.30086511450483538</v>
      </c>
      <c r="BC5" s="45">
        <f>Oncor!BD12</f>
        <v>0.30718965261186676</v>
      </c>
      <c r="BD5" s="45">
        <f>Oncor!BE12</f>
        <v>0.31301596763991779</v>
      </c>
      <c r="BE5" s="45">
        <f>Oncor!BF12</f>
        <v>0.32073097700696218</v>
      </c>
      <c r="BF5" s="45">
        <f>Oncor!BG12</f>
        <v>0.32911422999122497</v>
      </c>
      <c r="BG5" s="45">
        <f>Oncor!BH12</f>
        <v>0.33582789877683472</v>
      </c>
      <c r="BH5" s="45">
        <f>Oncor!BI12</f>
        <v>0.34264442844653498</v>
      </c>
      <c r="BI5" s="45">
        <f>Oncor!BJ12</f>
        <v>0.34845884151795087</v>
      </c>
      <c r="BJ5" s="45">
        <f>Oncor!BK12</f>
        <v>0.3523621879112816</v>
      </c>
      <c r="BK5" s="45">
        <f>Oncor!BL12</f>
        <v>0.35675070887489285</v>
      </c>
      <c r="BL5" s="45">
        <f>Oncor!BM12</f>
        <v>0.36242395564984692</v>
      </c>
      <c r="BM5" s="45">
        <f>Oncor!BN12</f>
        <v>0.36935102485026955</v>
      </c>
      <c r="BN5" s="45">
        <f>Oncor!BO12</f>
        <v>0.37488032417370554</v>
      </c>
      <c r="BO5" s="45">
        <f>Oncor!BP12</f>
        <v>0.37887917966251805</v>
      </c>
      <c r="BP5" s="45">
        <f>Oncor!BQ12</f>
        <v>0.38197455781375622</v>
      </c>
      <c r="BQ5" s="45">
        <f>Oncor!BR12</f>
        <v>0.38460406467016722</v>
      </c>
      <c r="BR5" s="45">
        <f>Oncor!BS12</f>
        <v>0.38648705372541842</v>
      </c>
      <c r="BS5" s="45">
        <f>Oncor!BT12</f>
        <v>0.38767751395341349</v>
      </c>
      <c r="BT5" s="45">
        <f>Oncor!BU12</f>
        <v>0.38910985396134307</v>
      </c>
      <c r="BU5" s="45">
        <f>Oncor!BV12</f>
        <v>0.39042544928177286</v>
      </c>
      <c r="BV5" s="45">
        <f>Oncor!BW12</f>
        <v>0.3911857699353658</v>
      </c>
      <c r="BW5" s="45">
        <f>Oncor!BX12</f>
        <v>0.39310856240386982</v>
      </c>
      <c r="BX5" s="45">
        <f>Oncor!BY12</f>
        <v>0.39484691482591139</v>
      </c>
      <c r="BY5" s="45">
        <f>Oncor!BZ12</f>
        <v>0.39699052629572446</v>
      </c>
      <c r="BZ5" s="45">
        <f>Oncor!CA12</f>
        <v>0.40565380986569333</v>
      </c>
      <c r="CA5" s="45">
        <f>Oncor!CB12</f>
        <v>0.39843221198277662</v>
      </c>
      <c r="CB5" s="45">
        <f>Oncor!CC12</f>
        <v>0.40045492564649976</v>
      </c>
      <c r="CC5" s="45">
        <f>Oncor!CD12</f>
        <v>0.40035371993570107</v>
      </c>
      <c r="CD5" s="45">
        <f>Oncor!CE12</f>
        <v>0.39947449639237603</v>
      </c>
      <c r="CE5" s="45">
        <f>Oncor!CF12</f>
        <v>0.39985621097743579</v>
      </c>
      <c r="CF5" s="45">
        <f>Oncor!CG12</f>
        <v>0.40011874520601232</v>
      </c>
      <c r="CG5" s="45">
        <f>Oncor!CH12</f>
        <v>0.40016595961271556</v>
      </c>
      <c r="CH5" s="45">
        <f>Oncor!CI12</f>
        <v>0.40067222114518697</v>
      </c>
      <c r="CI5" s="45">
        <f>Oncor!CJ12</f>
        <v>0.40090322907035436</v>
      </c>
      <c r="CJ5" s="45">
        <f>Oncor!CK12</f>
        <v>0.4006860170045683</v>
      </c>
      <c r="CK5" s="45">
        <f>Oncor!CL12</f>
        <v>0.40142127682967838</v>
      </c>
      <c r="CL5" s="45">
        <f>Oncor!CM12</f>
        <v>0.40325817299533445</v>
      </c>
      <c r="CM5" s="45">
        <f>Oncor!CN12</f>
        <v>0.40596109616222958</v>
      </c>
      <c r="CN5" s="45">
        <f>Oncor!CO12</f>
        <v>0.40957645448919056</v>
      </c>
      <c r="CO5" s="45">
        <f>Oncor!CP12</f>
        <v>0.41372152988611954</v>
      </c>
      <c r="CP5" s="45">
        <f>Oncor!CQ12</f>
        <v>0.41889843999681908</v>
      </c>
      <c r="CQ5" s="45">
        <f>Oncor!CR12</f>
        <v>0.42230860768345407</v>
      </c>
      <c r="CR5" s="45">
        <f>Oncor!CS12</f>
        <v>0.42538904528554983</v>
      </c>
      <c r="CS5" s="45">
        <f>Oncor!CT12</f>
        <v>0.42871184251172456</v>
      </c>
      <c r="CT5" s="45">
        <f>Oncor!CU12</f>
        <v>0.43112778732146723</v>
      </c>
      <c r="CU5" s="45">
        <f>Oncor!CV12</f>
        <v>0.43537522635198062</v>
      </c>
      <c r="CV5" s="45">
        <f>Oncor!CW12</f>
        <v>0.4390350441997235</v>
      </c>
      <c r="CW5" s="45">
        <f>Oncor!CX12</f>
        <v>0.4418519035189345</v>
      </c>
      <c r="CX5" s="45">
        <f>Oncor!CY12</f>
        <v>0.4448909012987497</v>
      </c>
      <c r="CY5" s="45">
        <f>Oncor!CZ12</f>
        <v>0.44844789501450705</v>
      </c>
      <c r="CZ5" s="45">
        <f>Oncor!DA12</f>
        <v>0.4524461286441841</v>
      </c>
      <c r="DA5" s="45">
        <f>Oncor!DB12</f>
        <v>0.45745147718176321</v>
      </c>
      <c r="DB5" s="45">
        <f>Oncor!DC12</f>
        <v>0.46232964581479086</v>
      </c>
      <c r="DC5" s="45">
        <f>Oncor!DD12</f>
        <v>0.46726768660554957</v>
      </c>
      <c r="DD5" s="45">
        <f>Oncor!DE12</f>
        <v>0.47128408088205281</v>
      </c>
      <c r="DE5" s="45">
        <f>Oncor!DF12</f>
        <v>0.47509081329483649</v>
      </c>
      <c r="DF5" s="45">
        <f>Oncor!DG12</f>
        <v>0.47915682088554995</v>
      </c>
      <c r="DG5" s="45">
        <f>Oncor!DH12</f>
        <v>0.48368944269842956</v>
      </c>
      <c r="DH5" s="45">
        <f>Oncor!DI12</f>
        <v>0.48846368727469436</v>
      </c>
      <c r="DI5" s="45">
        <f>Oncor!DJ12</f>
        <v>0.49290424674472605</v>
      </c>
      <c r="DJ5" s="45">
        <f>Oncor!DK12</f>
        <v>0.49648136194009884</v>
      </c>
      <c r="DK5" s="45">
        <f>Oncor!DL12</f>
        <v>0.50023848617167532</v>
      </c>
      <c r="DL5" s="45">
        <f>Oncor!DM12</f>
        <v>0.50526461230663233</v>
      </c>
      <c r="DM5" s="45">
        <f>Oncor!DN12</f>
        <v>0.51113798967701207</v>
      </c>
      <c r="DN5" s="45">
        <f>Oncor!DO12</f>
        <v>0.51548897230811364</v>
      </c>
      <c r="DO5" s="45">
        <f>Oncor!DP12</f>
        <v>0.51972335811043813</v>
      </c>
      <c r="DP5" s="45">
        <f>Oncor!DQ12</f>
        <v>0.52316729748186019</v>
      </c>
      <c r="DQ5" s="45">
        <f>Oncor!DR12</f>
        <v>0.5261203385381773</v>
      </c>
      <c r="DR5" s="45">
        <f>Oncor!DS12</f>
        <v>0.52904074214007202</v>
      </c>
      <c r="DS5" s="45">
        <f>Oncor!DT12</f>
        <v>0.53225843079368684</v>
      </c>
      <c r="DT5" s="45">
        <f>Oncor!DU12</f>
        <v>0.53537556939089159</v>
      </c>
      <c r="DU5" s="45">
        <f>Oncor!DV12</f>
        <v>0.53900285387627156</v>
      </c>
      <c r="DV5" s="45">
        <f>Oncor!DW12</f>
        <v>0.5413558429742984</v>
      </c>
      <c r="DW5" s="45">
        <f>Oncor!DX12</f>
        <v>0.54404660995312448</v>
      </c>
      <c r="DX5" s="45">
        <f>Oncor!DY12</f>
        <v>0.54649860178838394</v>
      </c>
      <c r="DY5" s="45">
        <f>Oncor!DZ12</f>
        <v>0.54916189109138136</v>
      </c>
      <c r="DZ5" s="45">
        <f>Oncor!EA12</f>
        <v>0.55174644502230319</v>
      </c>
      <c r="EA5" s="45">
        <f>Oncor!EB12</f>
        <v>0.5539881854980826</v>
      </c>
      <c r="EB5" s="45">
        <f>Oncor!EC12</f>
        <v>0.55618088151948031</v>
      </c>
      <c r="EC5" s="45">
        <f>Oncor!ED12</f>
        <v>0.55768740052159804</v>
      </c>
      <c r="ED5" s="45">
        <f>Oncor!EE12</f>
        <v>0.55939232682021733</v>
      </c>
      <c r="EE5" s="45">
        <f>Oncor!EF12</f>
        <v>0.56178784757384659</v>
      </c>
      <c r="EF5" s="45">
        <f>Oncor!EG12</f>
        <v>0.56446575001591404</v>
      </c>
      <c r="EG5" s="45">
        <f>Oncor!EH12</f>
        <v>0.56719175123071208</v>
      </c>
      <c r="EH5" s="45">
        <f>Oncor!EI12</f>
        <v>0.56919780408501375</v>
      </c>
      <c r="EI5" s="45">
        <f>Oncor!EJ12</f>
        <v>0.57112434642336629</v>
      </c>
      <c r="EJ5" s="45">
        <f>Oncor!EK12</f>
        <v>0.57367326481703385</v>
      </c>
      <c r="EK5" s="45">
        <f>Oncor!EL12</f>
        <v>0.57580613966784511</v>
      </c>
      <c r="EL5" s="45">
        <f>Oncor!EM12</f>
        <v>0.57736139206168413</v>
      </c>
      <c r="EM5" s="45">
        <f>Oncor!EN12</f>
        <v>0.57936292260234412</v>
      </c>
      <c r="EN5" s="45">
        <f>Oncor!EO12</f>
        <v>0.58129581064538827</v>
      </c>
      <c r="EO5" s="45">
        <f>Oncor!EP12</f>
        <v>0.58220640314407168</v>
      </c>
      <c r="EP5" s="45">
        <f>Oncor!EQ12</f>
        <v>0.58331809389521827</v>
      </c>
      <c r="EQ5" s="45">
        <f>Oncor!ER12</f>
        <v>0.5858090915588593</v>
      </c>
      <c r="ER5" s="45">
        <f>Oncor!ES12</f>
        <v>0.58821190218493247</v>
      </c>
      <c r="ES5" s="45">
        <f>Oncor!ET12</f>
        <v>0.59009802174300485</v>
      </c>
      <c r="ET5" s="45">
        <f>Oncor!EU12</f>
        <v>0.5916698971685852</v>
      </c>
      <c r="EU5" s="45">
        <f>Oncor!EV12</f>
        <v>0.5934481434332084</v>
      </c>
      <c r="EV5" s="45">
        <f>Oncor!EW12</f>
        <v>0.59576525553500559</v>
      </c>
      <c r="EW5" s="45">
        <f>Oncor!EX12</f>
        <v>0.59841277216194178</v>
      </c>
      <c r="EX5" s="45">
        <f>Oncor!EY12</f>
        <v>0.60043192182179594</v>
      </c>
      <c r="EY5" s="45">
        <f>Oncor!EZ12</f>
        <v>0.60214793453131787</v>
      </c>
      <c r="EZ5" s="45">
        <f>Oncor!FA12</f>
        <v>0.60365412042903577</v>
      </c>
      <c r="FA5" s="45">
        <f>Oncor!FB12</f>
        <v>0.60499014448053834</v>
      </c>
      <c r="FB5" s="45">
        <f>Oncor!FC12</f>
        <v>0.60582109835211218</v>
      </c>
      <c r="FC5" s="45">
        <f>Oncor!FD12</f>
        <v>0.60708274228349979</v>
      </c>
      <c r="FD5" s="45">
        <f>Oncor!FE12</f>
        <v>0.60833467518230977</v>
      </c>
      <c r="FE5" s="45">
        <f>Oncor!FF12</f>
        <v>0.61029427514112966</v>
      </c>
      <c r="FF5" s="45">
        <f>Oncor!FG12</f>
        <v>0.61194776352095726</v>
      </c>
      <c r="FG5" s="45">
        <f>Oncor!FH12</f>
        <v>0.61354976605118638</v>
      </c>
      <c r="FH5" s="45">
        <f>Oncor!FI12</f>
        <v>0.61525700283933882</v>
      </c>
      <c r="FI5" s="45">
        <f>Oncor!FJ12</f>
        <v>0.61691640309674567</v>
      </c>
      <c r="FJ5" s="45">
        <f>Oncor!FK12</f>
        <v>0.61855136464890226</v>
      </c>
      <c r="FK5" s="45">
        <f>Oncor!FL12</f>
        <v>0.6205346980649763</v>
      </c>
      <c r="FL5" s="45">
        <f>Oncor!FM12</f>
        <v>0.62201319340141881</v>
      </c>
      <c r="FM5" s="45">
        <f>Oncor!FN12</f>
        <v>0.62333244304223601</v>
      </c>
      <c r="FN5" s="45">
        <f>Oncor!FO12</f>
        <v>0.62459243808272447</v>
      </c>
      <c r="FO5" s="45">
        <f>Oncor!FP12</f>
        <v>0.62628120592738323</v>
      </c>
      <c r="FP5" s="45">
        <f>Oncor!FQ12</f>
        <v>0.62802919536178614</v>
      </c>
      <c r="FQ5" s="45">
        <f>Oncor!FR12</f>
        <v>0.62963504593429698</v>
      </c>
      <c r="FR5" s="45">
        <f>Oncor!FS12</f>
        <v>0.63086476270967595</v>
      </c>
      <c r="FS5" s="45">
        <f>Oncor!FT12</f>
        <v>0.6321881606218599</v>
      </c>
    </row>
    <row r="6" spans="1:175" x14ac:dyDescent="0.25">
      <c r="A6" s="44" t="s">
        <v>23</v>
      </c>
      <c r="B6" s="45">
        <f>Centerpoint!C12</f>
        <v>2.5476174800844732E-2</v>
      </c>
      <c r="C6" s="45">
        <f>Centerpoint!D12</f>
        <v>3.6822083740020523E-2</v>
      </c>
      <c r="D6" s="45">
        <f>Centerpoint!E12</f>
        <v>3.1134607617037357E-2</v>
      </c>
      <c r="E6" s="45">
        <f>Centerpoint!F12</f>
        <v>3.2713781287052601E-2</v>
      </c>
      <c r="F6" s="45">
        <f>Centerpoint!G12</f>
        <v>4.3144861344472242E-2</v>
      </c>
      <c r="G6" s="45">
        <f>Centerpoint!H12</f>
        <v>5.761502435017081E-2</v>
      </c>
      <c r="H6" s="45">
        <f>Centerpoint!I12</f>
        <v>5.3754459179672948E-2</v>
      </c>
      <c r="I6" s="45">
        <f>Centerpoint!J12</f>
        <v>8.8922230622160189E-2</v>
      </c>
      <c r="J6" s="45">
        <f>Centerpoint!K12</f>
        <v>9.357333514964665E-2</v>
      </c>
      <c r="K6" s="45">
        <f>Centerpoint!L12</f>
        <v>9.5617641890704624E-2</v>
      </c>
      <c r="L6" s="45">
        <f>Centerpoint!M12</f>
        <v>9.5826989027595011E-2</v>
      </c>
      <c r="M6" s="45">
        <f>Centerpoint!N12</f>
        <v>9.6813723928296042E-2</v>
      </c>
      <c r="N6" s="45">
        <f>Centerpoint!O12</f>
        <v>9.9579763897689855E-2</v>
      </c>
      <c r="O6" s="45">
        <f>Centerpoint!P12</f>
        <v>0.10100326120236351</v>
      </c>
      <c r="P6" s="45">
        <f>Centerpoint!Q12</f>
        <v>0.10286332608790626</v>
      </c>
      <c r="Q6" s="45">
        <f>Centerpoint!R12</f>
        <v>0.10456797300103449</v>
      </c>
      <c r="R6" s="45">
        <f>Centerpoint!S12</f>
        <v>0.10565814048317837</v>
      </c>
      <c r="S6" s="45">
        <f>Centerpoint!T12</f>
        <v>0.10624425127688363</v>
      </c>
      <c r="T6" s="45">
        <f>Centerpoint!U12</f>
        <v>0.10915927225901628</v>
      </c>
      <c r="U6" s="45">
        <f>Centerpoint!V12</f>
        <v>0.11211963979496942</v>
      </c>
      <c r="V6" s="45">
        <f>Centerpoint!W12</f>
        <v>0.11710390604928143</v>
      </c>
      <c r="W6" s="45">
        <f>Centerpoint!X12</f>
        <v>0.12297888611968409</v>
      </c>
      <c r="X6" s="45">
        <f>Centerpoint!Y12</f>
        <v>0.12786780408850912</v>
      </c>
      <c r="Y6" s="45">
        <f>Centerpoint!Z12</f>
        <v>0.13282026002834432</v>
      </c>
      <c r="Z6" s="45">
        <f>Centerpoint!AA12</f>
        <v>0.13584130847454709</v>
      </c>
      <c r="AA6" s="45">
        <f>Centerpoint!AB12</f>
        <v>0.13774066424591613</v>
      </c>
      <c r="AB6" s="45">
        <f>Centerpoint!AC12</f>
        <v>0.14191078447709696</v>
      </c>
      <c r="AC6" s="45">
        <f>Centerpoint!AD12</f>
        <v>0.14527981772488582</v>
      </c>
      <c r="AD6" s="45">
        <f>Centerpoint!AE12</f>
        <v>0.14888146946107858</v>
      </c>
      <c r="AE6" s="45">
        <f>Centerpoint!AF12</f>
        <v>0.1548438364114397</v>
      </c>
      <c r="AF6" s="45">
        <f>Centerpoint!AG12</f>
        <v>0.16188329531236273</v>
      </c>
      <c r="AG6" s="45">
        <f>Centerpoint!AH12</f>
        <v>0.16894018253777898</v>
      </c>
      <c r="AH6" s="45">
        <f>Centerpoint!AI12</f>
        <v>0.1767406628927346</v>
      </c>
      <c r="AI6" s="45">
        <f>Centerpoint!AJ12</f>
        <v>0.18267942330500217</v>
      </c>
      <c r="AJ6" s="45">
        <f>Centerpoint!AK12</f>
        <v>0.18841038993153525</v>
      </c>
      <c r="AK6" s="45">
        <f>Centerpoint!AL12</f>
        <v>0.19464412936341641</v>
      </c>
      <c r="AL6" s="45">
        <f>Centerpoint!AM12</f>
        <v>0.20059929543264782</v>
      </c>
      <c r="AM6" s="45">
        <f>Centerpoint!AN12</f>
        <v>0.20785414398447313</v>
      </c>
      <c r="AN6" s="45">
        <f>Centerpoint!AO12</f>
        <v>0.21393303157712812</v>
      </c>
      <c r="AO6" s="45">
        <f>Centerpoint!AP12</f>
        <v>0.21978056607127885</v>
      </c>
      <c r="AP6" s="45">
        <f>Centerpoint!AQ12</f>
        <v>0.22692770595273157</v>
      </c>
      <c r="AQ6" s="45">
        <f>Centerpoint!AR12</f>
        <v>0.23505565443774407</v>
      </c>
      <c r="AR6" s="45">
        <f>Centerpoint!AS12</f>
        <v>0.24400816615093968</v>
      </c>
      <c r="AS6" s="45">
        <f>Centerpoint!AT12</f>
        <v>0.25574502977209917</v>
      </c>
      <c r="AT6" s="45">
        <f>Centerpoint!AU12</f>
        <v>0.26794226423449502</v>
      </c>
      <c r="AU6" s="45">
        <f>Centerpoint!AV12</f>
        <v>0.27834983401822144</v>
      </c>
      <c r="AV6" s="45">
        <f>Centerpoint!AW12</f>
        <v>0.28585502896181419</v>
      </c>
      <c r="AW6" s="45">
        <f>Centerpoint!AX12</f>
        <v>0.28970905469632346</v>
      </c>
      <c r="AX6" s="45">
        <f>Centerpoint!AY12</f>
        <v>0.29208864623034803</v>
      </c>
      <c r="AY6" s="45">
        <f>Centerpoint!AZ12</f>
        <v>0.29426850047561437</v>
      </c>
      <c r="AZ6" s="45">
        <f>Centerpoint!BA12</f>
        <v>0.29611717387230241</v>
      </c>
      <c r="BA6" s="45">
        <f>Centerpoint!BB12</f>
        <v>0.30006096018035011</v>
      </c>
      <c r="BB6" s="45">
        <f>Centerpoint!BC12</f>
        <v>0.30557360889026436</v>
      </c>
      <c r="BC6" s="45">
        <f>Centerpoint!BD12</f>
        <v>0.31392891143311896</v>
      </c>
      <c r="BD6" s="45">
        <f>Centerpoint!BE12</f>
        <v>0.32643844971828584</v>
      </c>
      <c r="BE6" s="45">
        <f>Centerpoint!BF12</f>
        <v>0.33507642410990113</v>
      </c>
      <c r="BF6" s="45">
        <f>Centerpoint!BG12</f>
        <v>0.34475930859443077</v>
      </c>
      <c r="BG6" s="45">
        <f>Centerpoint!BH12</f>
        <v>0.35372982979099887</v>
      </c>
      <c r="BH6" s="45">
        <f>Centerpoint!BI12</f>
        <v>0.36123166341406765</v>
      </c>
      <c r="BI6" s="45">
        <f>Centerpoint!BJ12</f>
        <v>0.36852027675456017</v>
      </c>
      <c r="BJ6" s="45">
        <f>Centerpoint!BK12</f>
        <v>0.3754235334073156</v>
      </c>
      <c r="BK6" s="45">
        <f>Centerpoint!BL12</f>
        <v>0.38050183406281912</v>
      </c>
      <c r="BL6" s="45">
        <f>Centerpoint!BM12</f>
        <v>0.38660567883651781</v>
      </c>
      <c r="BM6" s="45">
        <f>Centerpoint!BN12</f>
        <v>0.39070070931560325</v>
      </c>
      <c r="BN6" s="45">
        <f>Centerpoint!BO12</f>
        <v>0.39441589176545222</v>
      </c>
      <c r="BO6" s="45">
        <f>Centerpoint!BP12</f>
        <v>0.39919264834556528</v>
      </c>
      <c r="BP6" s="45">
        <f>Centerpoint!BQ12</f>
        <v>0.40372356645084323</v>
      </c>
      <c r="BQ6" s="45">
        <f>Centerpoint!BR12</f>
        <v>0.40786591689687296</v>
      </c>
      <c r="BR6" s="45">
        <f>Centerpoint!BS12</f>
        <v>0.41416386263032895</v>
      </c>
      <c r="BS6" s="45">
        <f>Centerpoint!BT12</f>
        <v>0.41961727508698293</v>
      </c>
      <c r="BT6" s="45">
        <f>Centerpoint!BU12</f>
        <v>0.42521608231118063</v>
      </c>
      <c r="BU6" s="45">
        <f>Centerpoint!BV12</f>
        <v>0.4313240725853521</v>
      </c>
      <c r="BV6" s="45">
        <f>Centerpoint!BW12</f>
        <v>0.43626560242207391</v>
      </c>
      <c r="BW6" s="45">
        <f>Centerpoint!BX12</f>
        <v>0.44041369045656109</v>
      </c>
      <c r="BX6" s="45">
        <f>Centerpoint!BY12</f>
        <v>0.44571366548698182</v>
      </c>
      <c r="BY6" s="45">
        <f>Centerpoint!BZ12</f>
        <v>0.45146433825978965</v>
      </c>
      <c r="BZ6" s="45">
        <f>Centerpoint!CA12</f>
        <v>0.45641974273326574</v>
      </c>
      <c r="CA6" s="45">
        <f>Centerpoint!CB12</f>
        <v>0.46019940452449276</v>
      </c>
      <c r="CB6" s="45">
        <f>Centerpoint!CC12</f>
        <v>0.45479316096612182</v>
      </c>
      <c r="CC6" s="45">
        <f>Centerpoint!CD12</f>
        <v>0.4538149859752878</v>
      </c>
      <c r="CD6" s="45">
        <f>Centerpoint!CE12</f>
        <v>0.45537845437891361</v>
      </c>
      <c r="CE6" s="45">
        <f>Centerpoint!CF12</f>
        <v>0.4558253151338853</v>
      </c>
      <c r="CF6" s="45">
        <f>Centerpoint!CG12</f>
        <v>0.45846662896877605</v>
      </c>
      <c r="CG6" s="45">
        <f>Centerpoint!CH12</f>
        <v>0.46208009228651264</v>
      </c>
      <c r="CH6" s="45">
        <f>Centerpoint!CI12</f>
        <v>0.46291292576409754</v>
      </c>
      <c r="CI6" s="45">
        <f>Centerpoint!CJ12</f>
        <v>0.46601084195761783</v>
      </c>
      <c r="CJ6" s="45">
        <f>Centerpoint!CK12</f>
        <v>0.47067019142547223</v>
      </c>
      <c r="CK6" s="45">
        <f>Centerpoint!CL12</f>
        <v>0.47599969238993123</v>
      </c>
      <c r="CL6" s="45">
        <f>Centerpoint!CM12</f>
        <v>0.48100200747073174</v>
      </c>
      <c r="CM6" s="45">
        <f>Centerpoint!CN12</f>
        <v>0.48610793912278405</v>
      </c>
      <c r="CN6" s="45">
        <f>Centerpoint!CO12</f>
        <v>0.49025328375803678</v>
      </c>
      <c r="CO6" s="45">
        <f>Centerpoint!CP12</f>
        <v>0.49609005945241114</v>
      </c>
      <c r="CP6" s="45">
        <f>Centerpoint!CQ12</f>
        <v>0.5031965401655899</v>
      </c>
      <c r="CQ6" s="45">
        <f>Centerpoint!CR12</f>
        <v>0.50932383821048455</v>
      </c>
      <c r="CR6" s="45">
        <f>Centerpoint!CS12</f>
        <v>0.5125053598953897</v>
      </c>
      <c r="CS6" s="45">
        <f>Centerpoint!CT12</f>
        <v>0.51627821028099163</v>
      </c>
      <c r="CT6" s="45">
        <f>Centerpoint!CU12</f>
        <v>0.51917778368323142</v>
      </c>
      <c r="CU6" s="45">
        <f>Centerpoint!CV12</f>
        <v>0.52236281274489194</v>
      </c>
      <c r="CV6" s="45">
        <f>Centerpoint!CW12</f>
        <v>0.52500001325093726</v>
      </c>
      <c r="CW6" s="45">
        <f>Centerpoint!CX12</f>
        <v>0.52806309582091582</v>
      </c>
      <c r="CX6" s="45">
        <f>Centerpoint!CY12</f>
        <v>0.5311345415325972</v>
      </c>
      <c r="CY6" s="45">
        <f>Centerpoint!CZ12</f>
        <v>0.53534000543138827</v>
      </c>
      <c r="CZ6" s="45">
        <f>Centerpoint!DA12</f>
        <v>0.54009663965669097</v>
      </c>
      <c r="DA6" s="45">
        <f>Centerpoint!DB12</f>
        <v>0.54471093531377834</v>
      </c>
      <c r="DB6" s="45">
        <f>Centerpoint!DC12</f>
        <v>0.54799796976033521</v>
      </c>
      <c r="DC6" s="45">
        <f>Centerpoint!DD12</f>
        <v>0.54998010869719038</v>
      </c>
      <c r="DD6" s="45">
        <f>Centerpoint!DE12</f>
        <v>0.55211851332545514</v>
      </c>
      <c r="DE6" s="45">
        <f>Centerpoint!DF12</f>
        <v>0.55437433677685088</v>
      </c>
      <c r="DF6" s="45">
        <f>Centerpoint!DG12</f>
        <v>0.55662154365375571</v>
      </c>
      <c r="DG6" s="45">
        <f>Centerpoint!DH12</f>
        <v>0.55728141530725583</v>
      </c>
      <c r="DH6" s="45">
        <f>Centerpoint!DI12</f>
        <v>0.55933981229753238</v>
      </c>
      <c r="DI6" s="45">
        <f>Centerpoint!DJ12</f>
        <v>0.56202987802661708</v>
      </c>
      <c r="DJ6" s="45">
        <f>Centerpoint!DK12</f>
        <v>0.5637231662038108</v>
      </c>
      <c r="DK6" s="45">
        <f>Centerpoint!DL12</f>
        <v>0.56574592993274497</v>
      </c>
      <c r="DL6" s="45">
        <f>Centerpoint!DM12</f>
        <v>0.56764223350943233</v>
      </c>
      <c r="DM6" s="45">
        <f>Centerpoint!DN12</f>
        <v>0.56933104022214176</v>
      </c>
      <c r="DN6" s="45">
        <f>Centerpoint!DO12</f>
        <v>0.5690975959444915</v>
      </c>
      <c r="DO6" s="45">
        <f>Centerpoint!DP12</f>
        <v>0.56991363159693176</v>
      </c>
      <c r="DP6" s="45">
        <f>Centerpoint!DQ12</f>
        <v>0.57080078200263584</v>
      </c>
      <c r="DQ6" s="45">
        <f>Centerpoint!DR12</f>
        <v>0.57217492140708559</v>
      </c>
      <c r="DR6" s="45">
        <f>Centerpoint!DS12</f>
        <v>0.57378523725058395</v>
      </c>
      <c r="DS6" s="45">
        <f>Centerpoint!DT12</f>
        <v>0.57538902669180303</v>
      </c>
      <c r="DT6" s="45">
        <f>Centerpoint!DU12</f>
        <v>0.57775529835040706</v>
      </c>
      <c r="DU6" s="45">
        <f>Centerpoint!DV12</f>
        <v>0.5803093291905469</v>
      </c>
      <c r="DV6" s="45">
        <f>Centerpoint!DW12</f>
        <v>0.58300218658743597</v>
      </c>
      <c r="DW6" s="45">
        <f>Centerpoint!DX12</f>
        <v>0.58559456978284008</v>
      </c>
      <c r="DX6" s="45">
        <f>Centerpoint!DY12</f>
        <v>0.58945407002689143</v>
      </c>
      <c r="DY6" s="45">
        <f>Centerpoint!DZ12</f>
        <v>0.59191737664404998</v>
      </c>
      <c r="DZ6" s="45">
        <f>Centerpoint!EA12</f>
        <v>0.5917697155784577</v>
      </c>
      <c r="EA6" s="45">
        <f>Centerpoint!EB12</f>
        <v>0.59234112444725207</v>
      </c>
      <c r="EB6" s="45">
        <f>Centerpoint!EC12</f>
        <v>0.59458968928731581</v>
      </c>
      <c r="EC6" s="45">
        <f>Centerpoint!ED12</f>
        <v>0.59619694884640484</v>
      </c>
      <c r="ED6" s="45">
        <f>Centerpoint!EE12</f>
        <v>0.59914087182613862</v>
      </c>
      <c r="EE6" s="45">
        <f>Centerpoint!EF12</f>
        <v>0.6004750440565052</v>
      </c>
      <c r="EF6" s="45">
        <f>Centerpoint!EG12</f>
        <v>0.6029725240066246</v>
      </c>
      <c r="EG6" s="45">
        <f>Centerpoint!EH12</f>
        <v>0.6055432069264538</v>
      </c>
      <c r="EH6" s="45">
        <f>Centerpoint!EI12</f>
        <v>0.60709492829114664</v>
      </c>
      <c r="EI6" s="45">
        <f>Centerpoint!EJ12</f>
        <v>0.60956085231230872</v>
      </c>
      <c r="EJ6" s="45">
        <f>Centerpoint!EK12</f>
        <v>0.61170287347295504</v>
      </c>
      <c r="EK6" s="45">
        <f>Centerpoint!EL12</f>
        <v>0.6128330512348501</v>
      </c>
      <c r="EL6" s="45">
        <f>Centerpoint!EM12</f>
        <v>0.61344288974226135</v>
      </c>
      <c r="EM6" s="45">
        <f>Centerpoint!EN12</f>
        <v>0.61356092770758741</v>
      </c>
      <c r="EN6" s="45">
        <f>Centerpoint!EO12</f>
        <v>0.61503532559640539</v>
      </c>
      <c r="EO6" s="45">
        <f>Centerpoint!EP12</f>
        <v>0.61513312670191089</v>
      </c>
      <c r="EP6" s="45">
        <f>Centerpoint!EQ12</f>
        <v>0.61548404471509499</v>
      </c>
      <c r="EQ6" s="45">
        <f>Centerpoint!ER12</f>
        <v>0.61655803866166081</v>
      </c>
      <c r="ER6" s="45">
        <f>Centerpoint!ES12</f>
        <v>0.61794841782330334</v>
      </c>
      <c r="ES6" s="45">
        <f>Centerpoint!ET12</f>
        <v>0.62029870154031141</v>
      </c>
      <c r="ET6" s="45">
        <f>Centerpoint!EU12</f>
        <v>0.62134734245243384</v>
      </c>
      <c r="EU6" s="45">
        <f>Centerpoint!EV12</f>
        <v>0.62381249863268096</v>
      </c>
      <c r="EV6" s="45">
        <f>Centerpoint!EW12</f>
        <v>0.62636135130769999</v>
      </c>
      <c r="EW6" s="45">
        <f>Centerpoint!EX12</f>
        <v>0.62688554713178035</v>
      </c>
      <c r="EX6" s="45">
        <f>Centerpoint!EY12</f>
        <v>0.62726247792320911</v>
      </c>
      <c r="EY6" s="45">
        <f>Centerpoint!EZ12</f>
        <v>0.62817343027200689</v>
      </c>
      <c r="EZ6" s="45">
        <f>Centerpoint!FA12</f>
        <v>0.62930427532651789</v>
      </c>
      <c r="FA6" s="45">
        <f>Centerpoint!FB12</f>
        <v>0.6308736935596243</v>
      </c>
      <c r="FB6" s="45">
        <f>Centerpoint!FC12</f>
        <v>0.63217461444555412</v>
      </c>
      <c r="FC6" s="45">
        <f>Centerpoint!FD12</f>
        <v>0.63395239388702984</v>
      </c>
      <c r="FD6" s="45">
        <f>Centerpoint!FE12</f>
        <v>0.63576325714968229</v>
      </c>
      <c r="FE6" s="45">
        <f>Centerpoint!FF12</f>
        <v>0.63705424064390404</v>
      </c>
      <c r="FF6" s="45">
        <f>Centerpoint!FG12</f>
        <v>0.63824940494789051</v>
      </c>
      <c r="FG6" s="45">
        <f>Centerpoint!FH12</f>
        <v>0.63992039918307431</v>
      </c>
      <c r="FH6" s="45">
        <f>Centerpoint!FI12</f>
        <v>0.64187605086792809</v>
      </c>
      <c r="FI6" s="45">
        <f>Centerpoint!FJ12</f>
        <v>0.64349154605305159</v>
      </c>
      <c r="FJ6" s="45">
        <f>Centerpoint!FK12</f>
        <v>0.6449863602077256</v>
      </c>
      <c r="FK6" s="45">
        <f>Centerpoint!FL12</f>
        <v>0.6457921286088717</v>
      </c>
      <c r="FL6" s="45">
        <f>Centerpoint!FM12</f>
        <v>0.64622483161894395</v>
      </c>
      <c r="FM6" s="45">
        <f>Centerpoint!FN12</f>
        <v>0.64656263200020414</v>
      </c>
      <c r="FN6" s="45">
        <f>Centerpoint!FO12</f>
        <v>0.64667393829303521</v>
      </c>
      <c r="FO6" s="45">
        <f>Centerpoint!FP12</f>
        <v>0.64710484544026914</v>
      </c>
      <c r="FP6" s="45">
        <f>Centerpoint!FQ12</f>
        <v>0.64861197717650698</v>
      </c>
      <c r="FQ6" s="45">
        <f>Centerpoint!FR12</f>
        <v>0.6504085021525442</v>
      </c>
      <c r="FR6" s="45">
        <f>Centerpoint!FS12</f>
        <v>0.6515394280366793</v>
      </c>
      <c r="FS6" s="45">
        <f>Centerpoint!FT12</f>
        <v>0.65223892240482628</v>
      </c>
    </row>
    <row r="7" spans="1:175" x14ac:dyDescent="0.25">
      <c r="A7" s="44" t="s">
        <v>74</v>
      </c>
      <c r="B7" s="45">
        <f>'AEP Central'!C12</f>
        <v>1.3526583841621191E-3</v>
      </c>
      <c r="C7" s="45">
        <f>'AEP Central'!D12</f>
        <v>2.4077853490230387E-3</v>
      </c>
      <c r="D7" s="45">
        <f>'AEP Central'!E12</f>
        <v>3.4613019107924128E-3</v>
      </c>
      <c r="E7" s="45">
        <f>'AEP Central'!F12</f>
        <v>4.2142930562596801E-3</v>
      </c>
      <c r="F7" s="45">
        <f>'AEP Central'!G12</f>
        <v>5.2366380679461167E-3</v>
      </c>
      <c r="G7" s="45">
        <f>'AEP Central'!H12</f>
        <v>6.7349370542421471E-3</v>
      </c>
      <c r="H7" s="45">
        <f>'AEP Central'!I12</f>
        <v>9.1371881328004313E-3</v>
      </c>
      <c r="I7" s="45">
        <f>'AEP Central'!J12</f>
        <v>1.8789953952805843E-2</v>
      </c>
      <c r="J7" s="45">
        <f>'AEP Central'!K12</f>
        <v>2.7012911007786754E-2</v>
      </c>
      <c r="K7" s="45">
        <f>'AEP Central'!L12</f>
        <v>3.3038169929706387E-2</v>
      </c>
      <c r="L7" s="45">
        <f>'AEP Central'!M12</f>
        <v>3.5174422593970002E-2</v>
      </c>
      <c r="M7" s="45">
        <f>'AEP Central'!N12</f>
        <v>3.9179737320561181E-2</v>
      </c>
      <c r="N7" s="45">
        <f>'AEP Central'!O12</f>
        <v>5.0484848196244075E-2</v>
      </c>
      <c r="O7" s="45">
        <f>'AEP Central'!P12</f>
        <v>5.8555721880968359E-2</v>
      </c>
      <c r="P7" s="45">
        <f>'AEP Central'!Q12</f>
        <v>6.2770032924127639E-2</v>
      </c>
      <c r="Q7" s="45">
        <f>'AEP Central'!R12</f>
        <v>7.7104028538364913E-2</v>
      </c>
      <c r="R7" s="45">
        <f>'AEP Central'!S12</f>
        <v>8.9631913060240639E-2</v>
      </c>
      <c r="S7" s="45">
        <f>'AEP Central'!T12</f>
        <v>0.10048744215428704</v>
      </c>
      <c r="T7" s="45">
        <f>'AEP Central'!U12</f>
        <v>0.11316409925341601</v>
      </c>
      <c r="U7" s="45">
        <f>'AEP Central'!V12</f>
        <v>0.12582374175440433</v>
      </c>
      <c r="V7" s="45">
        <f>'AEP Central'!W12</f>
        <v>0.13739368909058261</v>
      </c>
      <c r="W7" s="45">
        <f>'AEP Central'!X12</f>
        <v>0.15363177809639486</v>
      </c>
      <c r="X7" s="45">
        <f>'AEP Central'!Y12</f>
        <v>0.16306189752401967</v>
      </c>
      <c r="Y7" s="45">
        <f>'AEP Central'!Z12</f>
        <v>0.17165195552440213</v>
      </c>
      <c r="Z7" s="45">
        <f>'AEP Central'!AA12</f>
        <v>0.17191439103021861</v>
      </c>
      <c r="AA7" s="45">
        <f>'AEP Central'!AB12</f>
        <v>0.17340897672780561</v>
      </c>
      <c r="AB7" s="45">
        <f>'AEP Central'!AC12</f>
        <v>0.17784993682829742</v>
      </c>
      <c r="AC7" s="45">
        <f>'AEP Central'!AD12</f>
        <v>0.18106074035873718</v>
      </c>
      <c r="AD7" s="45">
        <f>'AEP Central'!AE12</f>
        <v>0.18797642209342202</v>
      </c>
      <c r="AE7" s="45">
        <f>'AEP Central'!AF12</f>
        <v>0.19180199985816609</v>
      </c>
      <c r="AF7" s="45">
        <f>'AEP Central'!AG12</f>
        <v>0.20088194341959204</v>
      </c>
      <c r="AG7" s="45">
        <f>'AEP Central'!AH12</f>
        <v>0.20704973132666823</v>
      </c>
      <c r="AH7" s="45">
        <f>'AEP Central'!AI12</f>
        <v>0.2138155958803335</v>
      </c>
      <c r="AI7" s="45">
        <f>'AEP Central'!AJ12</f>
        <v>0.22177465423196571</v>
      </c>
      <c r="AJ7" s="45">
        <f>'AEP Central'!AK12</f>
        <v>0.22773117643769983</v>
      </c>
      <c r="AK7" s="45">
        <f>'AEP Central'!AL12</f>
        <v>0.23436463764820586</v>
      </c>
      <c r="AL7" s="45">
        <f>'AEP Central'!AM12</f>
        <v>0.23868540024590593</v>
      </c>
      <c r="AM7" s="45">
        <f>'AEP Central'!AN12</f>
        <v>0.24347507331378299</v>
      </c>
      <c r="AN7" s="45">
        <f>'AEP Central'!AO12</f>
        <v>0.24563101069790649</v>
      </c>
      <c r="AO7" s="45">
        <f>'AEP Central'!AP12</f>
        <v>0.24800431535491457</v>
      </c>
      <c r="AP7" s="45">
        <f>'AEP Central'!AQ12</f>
        <v>0.25090819735277903</v>
      </c>
      <c r="AQ7" s="45">
        <f>'AEP Central'!AR12</f>
        <v>0.25188307883995564</v>
      </c>
      <c r="AR7" s="45">
        <f>'AEP Central'!AS12</f>
        <v>0.25763155687214317</v>
      </c>
      <c r="AS7" s="45">
        <f>'AEP Central'!AT12</f>
        <v>0.2636130110759563</v>
      </c>
      <c r="AT7" s="45">
        <f>'AEP Central'!AU12</f>
        <v>0.26949334015913695</v>
      </c>
      <c r="AU7" s="45">
        <f>'AEP Central'!AV12</f>
        <v>0.27800929547505376</v>
      </c>
      <c r="AV7" s="45">
        <f>'AEP Central'!AW12</f>
        <v>0.28285868461360569</v>
      </c>
      <c r="AW7" s="45">
        <f>'AEP Central'!AX12</f>
        <v>0.28951504600845562</v>
      </c>
      <c r="AX7" s="45">
        <f>'AEP Central'!AY12</f>
        <v>0.295167362208128</v>
      </c>
      <c r="AY7" s="45">
        <f>'AEP Central'!AZ12</f>
        <v>0.29922701753052183</v>
      </c>
      <c r="AZ7" s="45">
        <f>'AEP Central'!BA12</f>
        <v>0.30006020555897994</v>
      </c>
      <c r="BA7" s="45">
        <f>'AEP Central'!BB12</f>
        <v>0.30640605843003005</v>
      </c>
      <c r="BB7" s="45">
        <f>'AEP Central'!BC12</f>
        <v>0.31212116212198709</v>
      </c>
      <c r="BC7" s="45">
        <f>'AEP Central'!BD12</f>
        <v>0.32276413395966363</v>
      </c>
      <c r="BD7" s="45">
        <f>'AEP Central'!BE12</f>
        <v>0.33079775930099148</v>
      </c>
      <c r="BE7" s="45">
        <f>'AEP Central'!BF12</f>
        <v>0.34040477232453531</v>
      </c>
      <c r="BF7" s="45">
        <f>'AEP Central'!BG12</f>
        <v>0.34576160454708782</v>
      </c>
      <c r="BG7" s="45">
        <f>'AEP Central'!BH12</f>
        <v>0.35705341740527036</v>
      </c>
      <c r="BH7" s="45">
        <f>'AEP Central'!BI12</f>
        <v>0.36224642078160618</v>
      </c>
      <c r="BI7" s="45">
        <f>'AEP Central'!BJ12</f>
        <v>0.36990023591922017</v>
      </c>
      <c r="BJ7" s="45">
        <f>'AEP Central'!BK12</f>
        <v>0.37713522993590043</v>
      </c>
      <c r="BK7" s="45">
        <f>'AEP Central'!BL12</f>
        <v>0.37989105853488697</v>
      </c>
      <c r="BL7" s="45">
        <f>'AEP Central'!BM12</f>
        <v>0.38070706534246818</v>
      </c>
      <c r="BM7" s="45">
        <f>'AEP Central'!BN12</f>
        <v>0.38720227066406243</v>
      </c>
      <c r="BN7" s="45">
        <f>'AEP Central'!BO12</f>
        <v>0.39391193280093667</v>
      </c>
      <c r="BO7" s="45">
        <f>'AEP Central'!BP12</f>
        <v>0.40109790358264896</v>
      </c>
      <c r="BP7" s="45">
        <f>'AEP Central'!BQ12</f>
        <v>0.40770536309997818</v>
      </c>
      <c r="BQ7" s="45">
        <f>'AEP Central'!BR12</f>
        <v>0.41661246060172918</v>
      </c>
      <c r="BR7" s="45">
        <f>'AEP Central'!BS12</f>
        <v>0.42157564464604186</v>
      </c>
      <c r="BS7" s="45">
        <f>'AEP Central'!BT12</f>
        <v>0.43441266947704227</v>
      </c>
      <c r="BT7" s="45">
        <f>'AEP Central'!BU12</f>
        <v>0.44064803323309593</v>
      </c>
      <c r="BU7" s="45">
        <f>'AEP Central'!BV12</f>
        <v>0.44748924264585394</v>
      </c>
      <c r="BV7" s="45">
        <f>'AEP Central'!BW12</f>
        <v>0.45304126676556966</v>
      </c>
      <c r="BW7" s="45">
        <f>'AEP Central'!BX12</f>
        <v>0.45925166890191527</v>
      </c>
      <c r="BX7" s="45">
        <f>'AEP Central'!BY12</f>
        <v>0.46470369012340484</v>
      </c>
      <c r="BY7" s="45">
        <f>'AEP Central'!BZ12</f>
        <v>0.47318216136784264</v>
      </c>
      <c r="BZ7" s="45">
        <f>'AEP Central'!CA12</f>
        <v>0.48240709554283145</v>
      </c>
      <c r="CA7" s="45">
        <f>'AEP Central'!CB12</f>
        <v>0.49052165324873553</v>
      </c>
      <c r="CB7" s="45">
        <f>'AEP Central'!CC12</f>
        <v>0.50016002727941655</v>
      </c>
      <c r="CC7" s="45">
        <f>'AEP Central'!CD12</f>
        <v>0.50734641186171281</v>
      </c>
      <c r="CD7" s="45">
        <f>'AEP Central'!CE12</f>
        <v>0.51608110365897319</v>
      </c>
      <c r="CE7" s="45">
        <f>'AEP Central'!CF12</f>
        <v>0.52574349928621078</v>
      </c>
      <c r="CF7" s="45">
        <f>'AEP Central'!CG12</f>
        <v>0.54115279243175185</v>
      </c>
      <c r="CG7" s="45">
        <f>'AEP Central'!CH12</f>
        <v>0.54672422701194912</v>
      </c>
      <c r="CH7" s="45">
        <f>'AEP Central'!CI12</f>
        <v>0.5493703878966919</v>
      </c>
      <c r="CI7" s="45">
        <f>'AEP Central'!CJ12</f>
        <v>0.55840390113270366</v>
      </c>
      <c r="CJ7" s="45">
        <f>'AEP Central'!CK12</f>
        <v>0.56718617733404575</v>
      </c>
      <c r="CK7" s="45">
        <f>'AEP Central'!CL12</f>
        <v>0.57556780151933995</v>
      </c>
      <c r="CL7" s="45">
        <f>'AEP Central'!CM12</f>
        <v>0.58233651206754644</v>
      </c>
      <c r="CM7" s="45">
        <f>'AEP Central'!CN12</f>
        <v>0.58865510267579335</v>
      </c>
      <c r="CN7" s="45">
        <f>'AEP Central'!CO12</f>
        <v>0.59468435059291314</v>
      </c>
      <c r="CO7" s="45">
        <f>'AEP Central'!CP12</f>
        <v>0.60056447397894419</v>
      </c>
      <c r="CP7" s="45">
        <f>'AEP Central'!CQ12</f>
        <v>0.60730753150570382</v>
      </c>
      <c r="CQ7" s="45">
        <f>'AEP Central'!CR12</f>
        <v>0.61514349056843853</v>
      </c>
      <c r="CR7" s="45">
        <f>'AEP Central'!CS12</f>
        <v>0.62110465368629486</v>
      </c>
      <c r="CS7" s="45">
        <f>'AEP Central'!CT12</f>
        <v>0.62585758558580218</v>
      </c>
      <c r="CT7" s="45">
        <f>'AEP Central'!CU12</f>
        <v>0.6292673901117628</v>
      </c>
      <c r="CU7" s="45">
        <f>'AEP Central'!CV12</f>
        <v>0.63313826279038121</v>
      </c>
      <c r="CV7" s="45">
        <f>'AEP Central'!CW12</f>
        <v>0.63769770363493028</v>
      </c>
      <c r="CW7" s="45">
        <f>'AEP Central'!CX12</f>
        <v>0.642869381120595</v>
      </c>
      <c r="CX7" s="45">
        <f>'AEP Central'!CY12</f>
        <v>0.64718393864844526</v>
      </c>
      <c r="CY7" s="45">
        <f>'AEP Central'!CZ12</f>
        <v>0.65168055433864136</v>
      </c>
      <c r="CZ7" s="45">
        <f>'AEP Central'!DA12</f>
        <v>0.65589959376633244</v>
      </c>
      <c r="DA7" s="45">
        <f>'AEP Central'!DB12</f>
        <v>0.66090417890373476</v>
      </c>
      <c r="DB7" s="45">
        <f>'AEP Central'!DC12</f>
        <v>0.66354494932209696</v>
      </c>
      <c r="DC7" s="45">
        <f>'AEP Central'!DD12</f>
        <v>0.66541588979064392</v>
      </c>
      <c r="DD7" s="45">
        <f>'AEP Central'!DE12</f>
        <v>0.66812690436320887</v>
      </c>
      <c r="DE7" s="45">
        <f>'AEP Central'!DF12</f>
        <v>0.66945261046060367</v>
      </c>
      <c r="DF7" s="45">
        <f>'AEP Central'!DG12</f>
        <v>0.67247513215113408</v>
      </c>
      <c r="DG7" s="45">
        <f>'AEP Central'!DH12</f>
        <v>0.67343336800765519</v>
      </c>
      <c r="DH7" s="45">
        <f>'AEP Central'!DI12</f>
        <v>0.67548459143450901</v>
      </c>
      <c r="DI7" s="45">
        <f>'AEP Central'!DJ12</f>
        <v>0.6769191885723268</v>
      </c>
      <c r="DJ7" s="45">
        <f>'AEP Central'!DK12</f>
        <v>0.67952565555550148</v>
      </c>
      <c r="DK7" s="45">
        <f>'AEP Central'!DL12</f>
        <v>0.68081286600563939</v>
      </c>
      <c r="DL7" s="45">
        <f>'AEP Central'!DM12</f>
        <v>0.68282557606547778</v>
      </c>
      <c r="DM7" s="45">
        <f>'AEP Central'!DN12</f>
        <v>0.6843266686549534</v>
      </c>
      <c r="DN7" s="45">
        <f>'AEP Central'!DO12</f>
        <v>0.68612987923378077</v>
      </c>
      <c r="DO7" s="45">
        <f>'AEP Central'!DP12</f>
        <v>0.68632497672189841</v>
      </c>
      <c r="DP7" s="45">
        <f>'AEP Central'!DQ12</f>
        <v>0.6903771460090552</v>
      </c>
      <c r="DQ7" s="45">
        <f>'AEP Central'!DR12</f>
        <v>0.68936789949943222</v>
      </c>
      <c r="DR7" s="45">
        <f>'AEP Central'!DS12</f>
        <v>0.69117513027599808</v>
      </c>
      <c r="DS7" s="45">
        <f>'AEP Central'!DT12</f>
        <v>0.69193944942330599</v>
      </c>
      <c r="DT7" s="45">
        <f>'AEP Central'!DU12</f>
        <v>0.69577086245086073</v>
      </c>
      <c r="DU7" s="45">
        <f>'AEP Central'!DV12</f>
        <v>0.69814488557075072</v>
      </c>
      <c r="DV7" s="45">
        <f>'AEP Central'!DW12</f>
        <v>0.70124660917094406</v>
      </c>
      <c r="DW7" s="45">
        <f>'AEP Central'!DX12</f>
        <v>0.70284093407801573</v>
      </c>
      <c r="DX7" s="45">
        <f>'AEP Central'!DY12</f>
        <v>0.70619831433535929</v>
      </c>
      <c r="DY7" s="45">
        <f>'AEP Central'!DZ12</f>
        <v>0.70787617385283386</v>
      </c>
      <c r="DZ7" s="45">
        <f>'AEP Central'!EA12</f>
        <v>0.70840077227219123</v>
      </c>
      <c r="EA7" s="45">
        <f>'AEP Central'!EB12</f>
        <v>0.71015582679252676</v>
      </c>
      <c r="EB7" s="45">
        <f>'AEP Central'!EC12</f>
        <v>0.71119268588788331</v>
      </c>
      <c r="EC7" s="45">
        <f>'AEP Central'!ED12</f>
        <v>0.71210293178578177</v>
      </c>
      <c r="ED7" s="45">
        <f>'AEP Central'!EE12</f>
        <v>0.71514085012856798</v>
      </c>
      <c r="EE7" s="45">
        <f>'AEP Central'!EF12</f>
        <v>0.71605448326692311</v>
      </c>
      <c r="EF7" s="45">
        <f>'AEP Central'!EG12</f>
        <v>0.71791829856671485</v>
      </c>
      <c r="EG7" s="45">
        <f>'AEP Central'!EH12</f>
        <v>0.71959879091607493</v>
      </c>
      <c r="EH7" s="45">
        <f>'AEP Central'!EI12</f>
        <v>0.72087301291087558</v>
      </c>
      <c r="EI7" s="45">
        <f>'AEP Central'!EJ12</f>
        <v>0.7227214414248937</v>
      </c>
      <c r="EJ7" s="45">
        <f>'AEP Central'!EK12</f>
        <v>0.72352096922383347</v>
      </c>
      <c r="EK7" s="45">
        <f>'AEP Central'!EL12</f>
        <v>0.72462401590808911</v>
      </c>
      <c r="EL7" s="45">
        <f>'AEP Central'!EM12</f>
        <v>0.72500378395204523</v>
      </c>
      <c r="EM7" s="45">
        <f>'AEP Central'!EN12</f>
        <v>0.72525672696895527</v>
      </c>
      <c r="EN7" s="45">
        <f>'AEP Central'!EO12</f>
        <v>0.72552970874064115</v>
      </c>
      <c r="EO7" s="45">
        <f>'AEP Central'!EP12</f>
        <v>0.72545839281264268</v>
      </c>
      <c r="EP7" s="45">
        <f>'AEP Central'!EQ12</f>
        <v>0.72682668812205731</v>
      </c>
      <c r="EQ7" s="45">
        <f>'AEP Central'!ER12</f>
        <v>0.72868230872642736</v>
      </c>
      <c r="ER7" s="45">
        <f>'AEP Central'!ES12</f>
        <v>0.72949621977692936</v>
      </c>
      <c r="ES7" s="45">
        <f>'AEP Central'!ET12</f>
        <v>0.73229579281772661</v>
      </c>
      <c r="ET7" s="45">
        <f>'AEP Central'!EU12</f>
        <v>0.73367032250288899</v>
      </c>
      <c r="EU7" s="45">
        <f>'AEP Central'!EV12</f>
        <v>0.73431340702799086</v>
      </c>
      <c r="EV7" s="45">
        <f>'AEP Central'!EW12</f>
        <v>0.73495285054365123</v>
      </c>
      <c r="EW7" s="45">
        <f>'AEP Central'!EX12</f>
        <v>0.73630437791076986</v>
      </c>
      <c r="EX7" s="45">
        <f>'AEP Central'!EY12</f>
        <v>0.73841861181683188</v>
      </c>
      <c r="EY7" s="45">
        <f>'AEP Central'!EZ12</f>
        <v>0.73983912833939747</v>
      </c>
      <c r="EZ7" s="45">
        <f>'AEP Central'!FA12</f>
        <v>0.74152225610530142</v>
      </c>
      <c r="FA7" s="45">
        <f>'AEP Central'!FB12</f>
        <v>0.74320165709166852</v>
      </c>
      <c r="FB7" s="45">
        <f>'AEP Central'!FC12</f>
        <v>0.74462456472497385</v>
      </c>
      <c r="FC7" s="45">
        <f>'AEP Central'!FD12</f>
        <v>0.74698271802102856</v>
      </c>
      <c r="FD7" s="45">
        <f>'AEP Central'!FE12</f>
        <v>0.74974801122706902</v>
      </c>
      <c r="FE7" s="45">
        <f>'AEP Central'!FF12</f>
        <v>0.75307495321027917</v>
      </c>
      <c r="FF7" s="45">
        <f>'AEP Central'!FG12</f>
        <v>0.75602693762673301</v>
      </c>
      <c r="FG7" s="45">
        <f>'AEP Central'!FH12</f>
        <v>0.75814907427186429</v>
      </c>
      <c r="FH7" s="45">
        <f>'AEP Central'!FI12</f>
        <v>0.76062944658815945</v>
      </c>
      <c r="FI7" s="45">
        <f>'AEP Central'!FJ12</f>
        <v>0.76229624379872429</v>
      </c>
      <c r="FJ7" s="45">
        <f>'AEP Central'!FK12</f>
        <v>0.76336109263297935</v>
      </c>
      <c r="FK7" s="45">
        <f>'AEP Central'!FL12</f>
        <v>0.76602771327111829</v>
      </c>
      <c r="FL7" s="45">
        <f>'AEP Central'!FM12</f>
        <v>0.76840899674542473</v>
      </c>
      <c r="FM7" s="45">
        <f>'AEP Central'!FN12</f>
        <v>0.76970314278087637</v>
      </c>
      <c r="FN7" s="45">
        <f>'AEP Central'!FO12</f>
        <v>0.77221768340123009</v>
      </c>
      <c r="FO7" s="45">
        <f>'AEP Central'!FP12</f>
        <v>0.7747093265255155</v>
      </c>
      <c r="FP7" s="45">
        <f>'AEP Central'!FQ12</f>
        <v>0.77673668552680963</v>
      </c>
      <c r="FQ7" s="45">
        <f>'AEP Central'!FR12</f>
        <v>0.77915424610051998</v>
      </c>
      <c r="FR7" s="45">
        <f>'AEP Central'!FS12</f>
        <v>0.78121440789228458</v>
      </c>
      <c r="FS7" s="45">
        <f>'AEP Central'!FT12</f>
        <v>0.78273665258638603</v>
      </c>
    </row>
    <row r="8" spans="1:175" x14ac:dyDescent="0.25">
      <c r="A8" s="44" t="s">
        <v>75</v>
      </c>
      <c r="B8" s="45">
        <f>'AEP North'!C12</f>
        <v>1.9432019728799666E-3</v>
      </c>
      <c r="C8" s="45">
        <f>'AEP North'!D12</f>
        <v>4.6780445634289859E-3</v>
      </c>
      <c r="D8" s="45">
        <f>'AEP North'!E12</f>
        <v>7.0781779221676918E-3</v>
      </c>
      <c r="E8" s="45">
        <f>'AEP North'!F12</f>
        <v>9.0287844274176843E-3</v>
      </c>
      <c r="F8" s="45">
        <f>'AEP North'!G12</f>
        <v>1.0509302245606795E-2</v>
      </c>
      <c r="G8" s="45">
        <f>'AEP North'!H12</f>
        <v>1.2887056793437324E-2</v>
      </c>
      <c r="H8" s="45">
        <f>'AEP North'!I12</f>
        <v>1.7839753300151483E-2</v>
      </c>
      <c r="I8" s="45">
        <f>'AEP North'!J12</f>
        <v>2.5669216381639371E-2</v>
      </c>
      <c r="J8" s="45">
        <f>'AEP North'!K12</f>
        <v>2.9418749024689765E-2</v>
      </c>
      <c r="K8" s="45">
        <f>'AEP North'!L12</f>
        <v>4.0847550982938824E-2</v>
      </c>
      <c r="L8" s="45">
        <f>'AEP North'!M12</f>
        <v>4.5556828410113735E-2</v>
      </c>
      <c r="M8" s="45">
        <f>'AEP North'!N12</f>
        <v>5.0443275020148864E-2</v>
      </c>
      <c r="N8" s="45">
        <f>'AEP North'!O12</f>
        <v>6.1800061310878771E-2</v>
      </c>
      <c r="O8" s="45">
        <f>'AEP North'!P12</f>
        <v>6.8234423410415107E-2</v>
      </c>
      <c r="P8" s="45">
        <f>'AEP North'!Q12</f>
        <v>7.4818936945046849E-2</v>
      </c>
      <c r="Q8" s="45">
        <f>'AEP North'!R12</f>
        <v>7.8175156893340023E-2</v>
      </c>
      <c r="R8" s="45">
        <f>'AEP North'!S12</f>
        <v>8.7529632960026152E-2</v>
      </c>
      <c r="S8" s="45">
        <f>'AEP North'!T12</f>
        <v>0.10338203739654644</v>
      </c>
      <c r="T8" s="45">
        <f>'AEP North'!U12</f>
        <v>0.11943135315451602</v>
      </c>
      <c r="U8" s="45">
        <f>'AEP North'!V12</f>
        <v>0.13197414694420684</v>
      </c>
      <c r="V8" s="45">
        <f>'AEP North'!W12</f>
        <v>0.143884011451965</v>
      </c>
      <c r="W8" s="45">
        <f>'AEP North'!X12</f>
        <v>0.16397935122044485</v>
      </c>
      <c r="X8" s="45">
        <f>'AEP North'!Y12</f>
        <v>0.1900521248960049</v>
      </c>
      <c r="Y8" s="45">
        <f>'AEP North'!Z12</f>
        <v>0.19758754480223642</v>
      </c>
      <c r="Z8" s="45">
        <f>'AEP North'!AA12</f>
        <v>0.20034888140747176</v>
      </c>
      <c r="AA8" s="45">
        <f>'AEP North'!AB12</f>
        <v>0.20483303543563991</v>
      </c>
      <c r="AB8" s="45">
        <f>'AEP North'!AC12</f>
        <v>0.21130902732726609</v>
      </c>
      <c r="AC8" s="45">
        <f>'AEP North'!AD12</f>
        <v>0.21554309557960621</v>
      </c>
      <c r="AD8" s="45">
        <f>'AEP North'!AE12</f>
        <v>0.22371151283936774</v>
      </c>
      <c r="AE8" s="45">
        <f>'AEP North'!AF12</f>
        <v>0.23131516634178886</v>
      </c>
      <c r="AF8" s="45">
        <f>'AEP North'!AG12</f>
        <v>0.2410328284941288</v>
      </c>
      <c r="AG8" s="45">
        <f>'AEP North'!AH12</f>
        <v>0.25448748687774597</v>
      </c>
      <c r="AH8" s="45">
        <f>'AEP North'!AI12</f>
        <v>0.2660817309341364</v>
      </c>
      <c r="AI8" s="45">
        <f>'AEP North'!AJ12</f>
        <v>0.27311578117544549</v>
      </c>
      <c r="AJ8" s="45">
        <f>'AEP North'!AK12</f>
        <v>0.27763064778538965</v>
      </c>
      <c r="AK8" s="45">
        <f>'AEP North'!AL12</f>
        <v>0.28562750666003101</v>
      </c>
      <c r="AL8" s="45">
        <f>'AEP North'!AM12</f>
        <v>0.28900681079514479</v>
      </c>
      <c r="AM8" s="45">
        <f>'AEP North'!AN12</f>
        <v>0.29537979995010094</v>
      </c>
      <c r="AN8" s="45">
        <f>'AEP North'!AO12</f>
        <v>0.29564631614036796</v>
      </c>
      <c r="AO8" s="45">
        <f>'AEP North'!AP12</f>
        <v>0.30081348222876636</v>
      </c>
      <c r="AP8" s="45">
        <f>'AEP North'!AQ12</f>
        <v>0.3013152538566275</v>
      </c>
      <c r="AQ8" s="45">
        <f>'AEP North'!AR12</f>
        <v>0.30535930629858021</v>
      </c>
      <c r="AR8" s="45">
        <f>'AEP North'!AS12</f>
        <v>0.31568512528852904</v>
      </c>
      <c r="AS8" s="45">
        <f>'AEP North'!AT12</f>
        <v>0.31805972993073101</v>
      </c>
      <c r="AT8" s="45">
        <f>'AEP North'!AU12</f>
        <v>0.33169346040633169</v>
      </c>
      <c r="AU8" s="45">
        <f>'AEP North'!AV12</f>
        <v>0.34021790357905241</v>
      </c>
      <c r="AV8" s="45">
        <f>'AEP North'!AW12</f>
        <v>0.34739694353119693</v>
      </c>
      <c r="AW8" s="45">
        <f>'AEP North'!AX12</f>
        <v>0.35496058177371098</v>
      </c>
      <c r="AX8" s="45">
        <f>'AEP North'!AY12</f>
        <v>0.36045040918320603</v>
      </c>
      <c r="AY8" s="45">
        <f>'AEP North'!AZ12</f>
        <v>0.36790465471964912</v>
      </c>
      <c r="AZ8" s="45">
        <f>'AEP North'!BA12</f>
        <v>0.37082806692612846</v>
      </c>
      <c r="BA8" s="45">
        <f>'AEP North'!BB12</f>
        <v>0.38215037933723484</v>
      </c>
      <c r="BB8" s="45">
        <f>'AEP North'!BC12</f>
        <v>0.38659295452038439</v>
      </c>
      <c r="BC8" s="45">
        <f>'AEP North'!BD12</f>
        <v>0.40246163454094808</v>
      </c>
      <c r="BD8" s="45">
        <f>'AEP North'!BE12</f>
        <v>0.41687972192697709</v>
      </c>
      <c r="BE8" s="45">
        <f>'AEP North'!BF12</f>
        <v>0.42793153588328076</v>
      </c>
      <c r="BF8" s="45">
        <f>'AEP North'!BG12</f>
        <v>0.44401942882712531</v>
      </c>
      <c r="BG8" s="45">
        <f>'AEP North'!BH12</f>
        <v>0.45152466689733062</v>
      </c>
      <c r="BH8" s="45">
        <f>'AEP North'!BI12</f>
        <v>0.46248979115622446</v>
      </c>
      <c r="BI8" s="45">
        <f>'AEP North'!BJ12</f>
        <v>0.4678315027305639</v>
      </c>
      <c r="BJ8" s="45">
        <f>'AEP North'!BK12</f>
        <v>0.46587537091988129</v>
      </c>
      <c r="BK8" s="45">
        <f>'AEP North'!BL12</f>
        <v>0.47272872043952546</v>
      </c>
      <c r="BL8" s="45">
        <f>'AEP North'!BM12</f>
        <v>0.47217968351199591</v>
      </c>
      <c r="BM8" s="45">
        <f>'AEP North'!BN12</f>
        <v>0.48349376062710742</v>
      </c>
      <c r="BN8" s="45">
        <f>'AEP North'!BO12</f>
        <v>0.4917510494806458</v>
      </c>
      <c r="BO8" s="45">
        <f>'AEP North'!BP12</f>
        <v>0.4989123393228545</v>
      </c>
      <c r="BP8" s="45">
        <f>'AEP North'!BQ12</f>
        <v>0.5093831581537116</v>
      </c>
      <c r="BQ8" s="45">
        <f>'AEP North'!BR12</f>
        <v>0.51223317976329241</v>
      </c>
      <c r="BR8" s="45">
        <f>'AEP North'!BS12</f>
        <v>0.52216440571925593</v>
      </c>
      <c r="BS8" s="45">
        <f>'AEP North'!BT12</f>
        <v>0.53032255439205689</v>
      </c>
      <c r="BT8" s="45">
        <f>'AEP North'!BU12</f>
        <v>0.53531167333649865</v>
      </c>
      <c r="BU8" s="45">
        <f>'AEP North'!BV12</f>
        <v>0.541365141042912</v>
      </c>
      <c r="BV8" s="45">
        <f>'AEP North'!BW12</f>
        <v>0.54515184256484484</v>
      </c>
      <c r="BW8" s="45">
        <f>'AEP North'!BX12</f>
        <v>0.54847239738009035</v>
      </c>
      <c r="BX8" s="45">
        <f>'AEP North'!BY12</f>
        <v>0.5535369492715464</v>
      </c>
      <c r="BY8" s="45">
        <f>'AEP North'!BZ12</f>
        <v>0.5600947266152102</v>
      </c>
      <c r="BZ8" s="45">
        <f>'AEP North'!CA12</f>
        <v>0.56930274391881008</v>
      </c>
      <c r="CA8" s="45">
        <f>'AEP North'!CB12</f>
        <v>0.57509972280440813</v>
      </c>
      <c r="CB8" s="45">
        <f>'AEP North'!CC12</f>
        <v>0.580911997307757</v>
      </c>
      <c r="CC8" s="45">
        <f>'AEP North'!CD12</f>
        <v>0.58600187894242384</v>
      </c>
      <c r="CD8" s="45">
        <f>'AEP North'!CE12</f>
        <v>0.58909395973154366</v>
      </c>
      <c r="CE8" s="45">
        <f>'AEP North'!CF12</f>
        <v>0.5912972229934248</v>
      </c>
      <c r="CF8" s="45">
        <f>'AEP North'!CG12</f>
        <v>0.60092685902195819</v>
      </c>
      <c r="CG8" s="45">
        <f>'AEP North'!CH12</f>
        <v>0.59804033882999874</v>
      </c>
      <c r="CH8" s="45">
        <f>'AEP North'!CI12</f>
        <v>0.59579515484379675</v>
      </c>
      <c r="CI8" s="45">
        <f>'AEP North'!CJ12</f>
        <v>0.59853608191422902</v>
      </c>
      <c r="CJ8" s="45">
        <f>'AEP North'!CK12</f>
        <v>0.59976138343377372</v>
      </c>
      <c r="CK8" s="45">
        <f>'AEP North'!CL12</f>
        <v>0.60330421701034775</v>
      </c>
      <c r="CL8" s="45">
        <f>'AEP North'!CM12</f>
        <v>0.60605978810985894</v>
      </c>
      <c r="CM8" s="45">
        <f>'AEP North'!CN12</f>
        <v>0.60982532013379731</v>
      </c>
      <c r="CN8" s="45">
        <f>'AEP North'!CO12</f>
        <v>0.612622768233825</v>
      </c>
      <c r="CO8" s="45">
        <f>'AEP North'!CP12</f>
        <v>0.6180219868507385</v>
      </c>
      <c r="CP8" s="45">
        <f>'AEP North'!CQ12</f>
        <v>0.62082575604499224</v>
      </c>
      <c r="CQ8" s="45">
        <f>'AEP North'!CR12</f>
        <v>0.62337521810287688</v>
      </c>
      <c r="CR8" s="45">
        <f>'AEP North'!CS12</f>
        <v>0.6284331862814857</v>
      </c>
      <c r="CS8" s="45">
        <f>'AEP North'!CT12</f>
        <v>0.63112695179904954</v>
      </c>
      <c r="CT8" s="45">
        <f>'AEP North'!CU12</f>
        <v>0.63624996278543566</v>
      </c>
      <c r="CU8" s="45">
        <f>'AEP North'!CV12</f>
        <v>0.63801002824667863</v>
      </c>
      <c r="CV8" s="45">
        <f>'AEP North'!CW12</f>
        <v>0.64128615019037072</v>
      </c>
      <c r="CW8" s="45">
        <f>'AEP North'!CX12</f>
        <v>0.6435070194384449</v>
      </c>
      <c r="CX8" s="45">
        <f>'AEP North'!CY12</f>
        <v>0.64466608788117397</v>
      </c>
      <c r="CY8" s="45">
        <f>'AEP North'!CZ12</f>
        <v>0.64582743607370563</v>
      </c>
      <c r="CZ8" s="45">
        <f>'AEP North'!DA12</f>
        <v>0.64774251832075991</v>
      </c>
      <c r="DA8" s="45">
        <f>'AEP North'!DB12</f>
        <v>0.64910006266070308</v>
      </c>
      <c r="DB8" s="45">
        <f>'AEP North'!DC12</f>
        <v>0.65288103149622223</v>
      </c>
      <c r="DC8" s="45">
        <f>'AEP North'!DD12</f>
        <v>0.65464564929016966</v>
      </c>
      <c r="DD8" s="45">
        <f>'AEP North'!DE12</f>
        <v>0.65667935653766885</v>
      </c>
      <c r="DE8" s="45">
        <f>'AEP North'!DF12</f>
        <v>0.66013728101628932</v>
      </c>
      <c r="DF8" s="45">
        <f>'AEP North'!DG12</f>
        <v>0.65878111117872573</v>
      </c>
      <c r="DG8" s="45">
        <f>'AEP North'!DH12</f>
        <v>0.66553512621634958</v>
      </c>
      <c r="DH8" s="45">
        <f>'AEP North'!DI12</f>
        <v>0.66615979346606657</v>
      </c>
      <c r="DI8" s="45">
        <f>'AEP North'!DJ12</f>
        <v>0.6678815136476427</v>
      </c>
      <c r="DJ8" s="45">
        <f>'AEP North'!DK12</f>
        <v>0.67001391191096382</v>
      </c>
      <c r="DK8" s="45">
        <f>'AEP North'!DL12</f>
        <v>0.66945314284946311</v>
      </c>
      <c r="DL8" s="45">
        <f>'AEP North'!DM12</f>
        <v>0.66950403463885066</v>
      </c>
      <c r="DM8" s="45">
        <f>'AEP North'!DN12</f>
        <v>0.66989475100036988</v>
      </c>
      <c r="DN8" s="45">
        <f>'AEP North'!DO12</f>
        <v>0.67209975287085211</v>
      </c>
      <c r="DO8" s="45">
        <f>'AEP North'!DP12</f>
        <v>0.67275980532493562</v>
      </c>
      <c r="DP8" s="45">
        <f>'AEP North'!DQ12</f>
        <v>0.67269559730309947</v>
      </c>
      <c r="DQ8" s="45">
        <f>'AEP North'!DR12</f>
        <v>0.6741966419557639</v>
      </c>
      <c r="DR8" s="45">
        <f>'AEP North'!DS12</f>
        <v>0.67404407972225</v>
      </c>
      <c r="DS8" s="45">
        <f>'AEP North'!DT12</f>
        <v>0.6757497238977147</v>
      </c>
      <c r="DT8" s="45">
        <f>'AEP North'!DU12</f>
        <v>0.67659277454513733</v>
      </c>
      <c r="DU8" s="45">
        <f>'AEP North'!DV12</f>
        <v>0.67595105045403259</v>
      </c>
      <c r="DV8" s="45">
        <f>'AEP North'!DW12</f>
        <v>0.67607417882539023</v>
      </c>
      <c r="DW8" s="45">
        <f>'AEP North'!DX12</f>
        <v>0.67454436890173564</v>
      </c>
      <c r="DX8" s="45">
        <f>'AEP North'!DY12</f>
        <v>0.67768081466830599</v>
      </c>
      <c r="DY8" s="45">
        <f>'AEP North'!DZ12</f>
        <v>0.67812433269271832</v>
      </c>
      <c r="DZ8" s="45">
        <f>'AEP North'!EA12</f>
        <v>0.67916825613534915</v>
      </c>
      <c r="EA8" s="45">
        <f>'AEP North'!EB12</f>
        <v>0.67861823628533979</v>
      </c>
      <c r="EB8" s="45">
        <f>'AEP North'!EC12</f>
        <v>0.68050805080508048</v>
      </c>
      <c r="EC8" s="45">
        <f>'AEP North'!ED12</f>
        <v>0.68320631136232735</v>
      </c>
      <c r="ED8" s="45">
        <f>'AEP North'!EE12</f>
        <v>0.68353643870760838</v>
      </c>
      <c r="EE8" s="45">
        <f>'AEP North'!EF12</f>
        <v>0.68455797358064452</v>
      </c>
      <c r="EF8" s="45">
        <f>'AEP North'!EG12</f>
        <v>0.68727460072127766</v>
      </c>
      <c r="EG8" s="45">
        <f>'AEP North'!EH12</f>
        <v>0.68995583964353446</v>
      </c>
      <c r="EH8" s="45">
        <f>'AEP North'!EI12</f>
        <v>0.68919071347528083</v>
      </c>
      <c r="EI8" s="45">
        <f>'AEP North'!EJ12</f>
        <v>0.69091114643116025</v>
      </c>
      <c r="EJ8" s="45">
        <f>'AEP North'!EK12</f>
        <v>0.69327667123405556</v>
      </c>
      <c r="EK8" s="45">
        <f>'AEP North'!EL12</f>
        <v>0.69418778337365006</v>
      </c>
      <c r="EL8" s="45">
        <f>'AEP North'!EM12</f>
        <v>0.69650153895139033</v>
      </c>
      <c r="EM8" s="45">
        <f>'AEP North'!EN12</f>
        <v>0.69915800955053942</v>
      </c>
      <c r="EN8" s="45">
        <f>'AEP North'!EO12</f>
        <v>0.70114208555331614</v>
      </c>
      <c r="EO8" s="45">
        <f>'AEP North'!EP12</f>
        <v>0.70268514363408641</v>
      </c>
      <c r="EP8" s="45">
        <f>'AEP North'!EQ12</f>
        <v>0.70250111222333445</v>
      </c>
      <c r="EQ8" s="45">
        <f>'AEP North'!ER12</f>
        <v>0.70594751077102902</v>
      </c>
      <c r="ER8" s="45">
        <f>'AEP North'!ES12</f>
        <v>0.70721689810287502</v>
      </c>
      <c r="ES8" s="45">
        <f>'AEP North'!ET12</f>
        <v>0.70913638565087878</v>
      </c>
      <c r="ET8" s="45">
        <f>'AEP North'!EU12</f>
        <v>0.71112389187473968</v>
      </c>
      <c r="EU8" s="45">
        <f>'AEP North'!EV12</f>
        <v>0.7113790155285884</v>
      </c>
      <c r="EV8" s="45">
        <f>'AEP North'!EW12</f>
        <v>0.71512593366898003</v>
      </c>
      <c r="EW8" s="45">
        <f>'AEP North'!EX12</f>
        <v>0.71748468697796519</v>
      </c>
      <c r="EX8" s="45">
        <f>'AEP North'!EY12</f>
        <v>0.71510291330008202</v>
      </c>
      <c r="EY8" s="45">
        <f>'AEP North'!EZ12</f>
        <v>0.7233480349947744</v>
      </c>
      <c r="EZ8" s="45">
        <f>'AEP North'!FA12</f>
        <v>0.72556549461841469</v>
      </c>
      <c r="FA8" s="45">
        <f>'AEP North'!FB12</f>
        <v>0.72539974585693867</v>
      </c>
      <c r="FB8" s="45">
        <f>'AEP North'!FC12</f>
        <v>0.72595791394976661</v>
      </c>
      <c r="FC8" s="45">
        <f>'AEP North'!FD12</f>
        <v>0.72860588837854812</v>
      </c>
      <c r="FD8" s="45">
        <f>'AEP North'!FE12</f>
        <v>0.73196471979065658</v>
      </c>
      <c r="FE8" s="45">
        <f>'AEP North'!FF12</f>
        <v>0.73531917704170935</v>
      </c>
      <c r="FF8" s="45">
        <f>'AEP North'!FG12</f>
        <v>0.73712538468650524</v>
      </c>
      <c r="FG8" s="45">
        <f>'AEP North'!FH12</f>
        <v>0.7394671909430377</v>
      </c>
      <c r="FH8" s="45">
        <f>'AEP North'!FI12</f>
        <v>0.74244681131528301</v>
      </c>
      <c r="FI8" s="45">
        <f>'AEP North'!FJ12</f>
        <v>0.74367612254181303</v>
      </c>
      <c r="FJ8" s="45">
        <f>'AEP North'!FK12</f>
        <v>0.74710639708319526</v>
      </c>
      <c r="FK8" s="45">
        <f>'AEP North'!FL12</f>
        <v>0.75034275469310274</v>
      </c>
      <c r="FL8" s="45">
        <f>'AEP North'!FM12</f>
        <v>0.75237307208578807</v>
      </c>
      <c r="FM8" s="45">
        <f>'AEP North'!FN12</f>
        <v>0.75338603460687337</v>
      </c>
      <c r="FN8" s="45">
        <f>'AEP North'!FO12</f>
        <v>0.75601959097226823</v>
      </c>
      <c r="FO8" s="45">
        <f>'AEP North'!FP12</f>
        <v>0.7575717515169943</v>
      </c>
      <c r="FP8" s="45">
        <f>'AEP North'!FQ12</f>
        <v>0.75926073342885947</v>
      </c>
      <c r="FQ8" s="45">
        <f>'AEP North'!FR12</f>
        <v>0.76307767587333286</v>
      </c>
      <c r="FR8" s="45">
        <f>'AEP North'!FS12</f>
        <v>0.76577317687938873</v>
      </c>
      <c r="FS8" s="45">
        <f>'AEP North'!FT12</f>
        <v>0.76746234650488143</v>
      </c>
    </row>
    <row r="9" spans="1:175" x14ac:dyDescent="0.25">
      <c r="A9" s="44" t="s">
        <v>0</v>
      </c>
      <c r="B9" s="45">
        <f>TNMP!C12</f>
        <v>8.1400453647472015E-3</v>
      </c>
      <c r="C9" s="45">
        <f>TNMP!D12</f>
        <v>1.2996705316999473E-2</v>
      </c>
      <c r="D9" s="45">
        <f>TNMP!E12</f>
        <v>1.5656522430215071E-2</v>
      </c>
      <c r="E9" s="45">
        <f>TNMP!F12</f>
        <v>2.1551153924787434E-2</v>
      </c>
      <c r="F9" s="45">
        <f>TNMP!G12</f>
        <v>2.4339151520971887E-2</v>
      </c>
      <c r="G9" s="45">
        <f>TNMP!H12</f>
        <v>2.0623286926912905E-2</v>
      </c>
      <c r="H9" s="45">
        <f>TNMP!I12</f>
        <v>3.0065562787136294E-2</v>
      </c>
      <c r="I9" s="45">
        <f>TNMP!J12</f>
        <v>3.5659768848489024E-2</v>
      </c>
      <c r="J9" s="45">
        <f>TNMP!K12</f>
        <v>3.7734348821227559E-2</v>
      </c>
      <c r="K9" s="45">
        <f>TNMP!L12</f>
        <v>4.1697072549851506E-2</v>
      </c>
      <c r="L9" s="45">
        <f>TNMP!M12</f>
        <v>4.4664857791850997E-2</v>
      </c>
      <c r="M9" s="45">
        <f>TNMP!N12</f>
        <v>4.8377554271150959E-2</v>
      </c>
      <c r="N9" s="45">
        <f>TNMP!O12</f>
        <v>5.4701606005891856E-2</v>
      </c>
      <c r="O9" s="45">
        <f>TNMP!P12</f>
        <v>5.5948541596137054E-2</v>
      </c>
      <c r="P9" s="45">
        <f>TNMP!Q12</f>
        <v>5.7447363120416116E-2</v>
      </c>
      <c r="Q9" s="45">
        <f>TNMP!R12</f>
        <v>5.9342606538495615E-2</v>
      </c>
      <c r="R9" s="45">
        <f>TNMP!S12</f>
        <v>5.9993998835067987E-2</v>
      </c>
      <c r="S9" s="45">
        <f>TNMP!T12</f>
        <v>6.6713656387665202E-2</v>
      </c>
      <c r="T9" s="45">
        <f>TNMP!U12</f>
        <v>8.5665992115944736E-2</v>
      </c>
      <c r="U9" s="45">
        <f>TNMP!V12</f>
        <v>9.4668962096232961E-2</v>
      </c>
      <c r="V9" s="45">
        <f>TNMP!W12</f>
        <v>0.10378716781402832</v>
      </c>
      <c r="W9" s="45">
        <f>TNMP!X12</f>
        <v>0.11372232324934203</v>
      </c>
      <c r="X9" s="45">
        <f>TNMP!Y12</f>
        <v>0.12252595740711592</v>
      </c>
      <c r="Y9" s="45">
        <f>TNMP!Z12</f>
        <v>0.13085652807662942</v>
      </c>
      <c r="Z9" s="45">
        <f>TNMP!AA12</f>
        <v>0.13979826272142779</v>
      </c>
      <c r="AA9" s="45">
        <f>TNMP!AB12</f>
        <v>0.14336169622419015</v>
      </c>
      <c r="AB9" s="45">
        <f>TNMP!AC12</f>
        <v>0.14678412777063971</v>
      </c>
      <c r="AC9" s="45">
        <f>TNMP!AD12</f>
        <v>0.15291153222187706</v>
      </c>
      <c r="AD9" s="45">
        <f>TNMP!AE12</f>
        <v>0.16082556085548083</v>
      </c>
      <c r="AE9" s="45">
        <f>TNMP!AF12</f>
        <v>0.17214583558511154</v>
      </c>
      <c r="AF9" s="45">
        <f>TNMP!AG12</f>
        <v>0.17653422954744258</v>
      </c>
      <c r="AG9" s="45">
        <f>TNMP!AH12</f>
        <v>0.18421249791086752</v>
      </c>
      <c r="AH9" s="45">
        <f>TNMP!AI12</f>
        <v>0.19437585970728227</v>
      </c>
      <c r="AI9" s="45">
        <f>TNMP!AJ12</f>
        <v>0.20030416941662602</v>
      </c>
      <c r="AJ9" s="45">
        <f>TNMP!AK12</f>
        <v>0.20552712619202987</v>
      </c>
      <c r="AK9" s="45">
        <f>TNMP!AL12</f>
        <v>0.21155949538158475</v>
      </c>
      <c r="AL9" s="45">
        <f>TNMP!AM12</f>
        <v>0.21586368910507395</v>
      </c>
      <c r="AM9" s="45">
        <f>TNMP!AN12</f>
        <v>0.21965215603873561</v>
      </c>
      <c r="AN9" s="45">
        <f>TNMP!AO12</f>
        <v>0.22309908984564467</v>
      </c>
      <c r="AO9" s="45">
        <f>TNMP!AP12</f>
        <v>0.22697359081953064</v>
      </c>
      <c r="AP9" s="45">
        <f>TNMP!AQ12</f>
        <v>0.23189293757906859</v>
      </c>
      <c r="AQ9" s="45">
        <f>TNMP!AR12</f>
        <v>0.23756199189293237</v>
      </c>
      <c r="AR9" s="45">
        <f>TNMP!AS12</f>
        <v>0.24387522794459107</v>
      </c>
      <c r="AS9" s="45">
        <f>TNMP!AT12</f>
        <v>0.25073659565564083</v>
      </c>
      <c r="AT9" s="45">
        <f>TNMP!AU12</f>
        <v>0.25799006487320236</v>
      </c>
      <c r="AU9" s="45">
        <f>TNMP!AV12</f>
        <v>0.26528260967785661</v>
      </c>
      <c r="AV9" s="45">
        <f>TNMP!AW12</f>
        <v>0.27219629464512451</v>
      </c>
      <c r="AW9" s="45">
        <f>TNMP!AX12</f>
        <v>0.27768666282304605</v>
      </c>
      <c r="AX9" s="45">
        <f>TNMP!AY12</f>
        <v>0.28606340485058906</v>
      </c>
      <c r="AY9" s="45">
        <f>TNMP!AZ12</f>
        <v>0.29170854976835603</v>
      </c>
      <c r="AZ9" s="45">
        <f>TNMP!BA12</f>
        <v>0.29596922956159977</v>
      </c>
      <c r="BA9" s="45">
        <f>TNMP!BB12</f>
        <v>0.30180909121346383</v>
      </c>
      <c r="BB9" s="45">
        <f>TNMP!BC12</f>
        <v>0.30683797909407667</v>
      </c>
      <c r="BC9" s="45">
        <f>TNMP!BD12</f>
        <v>0.31329704553431648</v>
      </c>
      <c r="BD9" s="45">
        <f>TNMP!BE12</f>
        <v>0.32166450542906594</v>
      </c>
      <c r="BE9" s="45">
        <f>TNMP!BF12</f>
        <v>0.32749256469411014</v>
      </c>
      <c r="BF9" s="45">
        <f>TNMP!BG12</f>
        <v>0.33241756717006055</v>
      </c>
      <c r="BG9" s="45">
        <f>TNMP!BH12</f>
        <v>0.33628214002329782</v>
      </c>
      <c r="BH9" s="45">
        <f>TNMP!BI12</f>
        <v>0.34215345894989946</v>
      </c>
      <c r="BI9" s="45">
        <f>TNMP!BJ12</f>
        <v>0.34743440184417196</v>
      </c>
      <c r="BJ9" s="45">
        <f>TNMP!BK12</f>
        <v>0.35282937413448007</v>
      </c>
      <c r="BK9" s="45">
        <f>TNMP!BL12</f>
        <v>0.35762483887238694</v>
      </c>
      <c r="BL9" s="45">
        <f>TNMP!BM12</f>
        <v>0.36372219832282071</v>
      </c>
      <c r="BM9" s="45">
        <f>TNMP!BN12</f>
        <v>0.37054421047344244</v>
      </c>
      <c r="BN9" s="45">
        <f>TNMP!BO12</f>
        <v>0.37834707061706391</v>
      </c>
      <c r="BO9" s="45">
        <f>TNMP!BP12</f>
        <v>0.38507986192045995</v>
      </c>
      <c r="BP9" s="45">
        <f>TNMP!BQ12</f>
        <v>0.39355993839070746</v>
      </c>
      <c r="BQ9" s="45">
        <f>TNMP!BR12</f>
        <v>0.40155078315658693</v>
      </c>
      <c r="BR9" s="45">
        <f>TNMP!BS12</f>
        <v>0.4093344043431294</v>
      </c>
      <c r="BS9" s="45">
        <f>TNMP!BT12</f>
        <v>0.41824285776978104</v>
      </c>
      <c r="BT9" s="45">
        <f>TNMP!BU12</f>
        <v>0.42667010179302634</v>
      </c>
      <c r="BU9" s="45">
        <f>TNMP!BV12</f>
        <v>0.43607180824830399</v>
      </c>
      <c r="BV9" s="45">
        <f>TNMP!BW12</f>
        <v>0.44658627949580293</v>
      </c>
      <c r="BW9" s="45">
        <f>TNMP!BX12</f>
        <v>0.4544610071690855</v>
      </c>
      <c r="BX9" s="45">
        <f>TNMP!BY12</f>
        <v>0.46446571617349142</v>
      </c>
      <c r="BY9" s="45">
        <f>TNMP!BZ12</f>
        <v>0.47564785984817609</v>
      </c>
      <c r="BZ9" s="45">
        <f>TNMP!CA12</f>
        <v>0.4861498550944871</v>
      </c>
      <c r="CA9" s="45">
        <f>TNMP!CB12</f>
        <v>0.49431688650056993</v>
      </c>
      <c r="CB9" s="45">
        <f>TNMP!CC12</f>
        <v>0.50560710792128971</v>
      </c>
      <c r="CC9" s="45">
        <f>TNMP!CD12</f>
        <v>0.52577514358509303</v>
      </c>
      <c r="CD9" s="45">
        <f>TNMP!CE12</f>
        <v>0.55587994042351108</v>
      </c>
      <c r="CE9" s="45">
        <f>TNMP!CF12</f>
        <v>0.58540045198837132</v>
      </c>
      <c r="CF9" s="45">
        <f>TNMP!CG12</f>
        <v>0.6055887773139268</v>
      </c>
      <c r="CG9" s="45">
        <f>TNMP!CH12</f>
        <v>0.61422027698216031</v>
      </c>
      <c r="CH9" s="45">
        <f>TNMP!CI12</f>
        <v>0.61837285262994168</v>
      </c>
      <c r="CI9" s="45">
        <f>TNMP!CJ12</f>
        <v>0.62169358943448794</v>
      </c>
      <c r="CJ9" s="45">
        <f>TNMP!CK12</f>
        <v>0.62453652925282899</v>
      </c>
      <c r="CK9" s="45">
        <f>TNMP!CL12</f>
        <v>0.62723895555496167</v>
      </c>
      <c r="CL9" s="45">
        <f>TNMP!CM12</f>
        <v>0.63030665733353997</v>
      </c>
      <c r="CM9" s="45">
        <f>TNMP!CN12</f>
        <v>0.63388740175570768</v>
      </c>
      <c r="CN9" s="45">
        <f>TNMP!CO12</f>
        <v>0.63779031931123509</v>
      </c>
      <c r="CO9" s="45">
        <f>TNMP!CP12</f>
        <v>0.64180401270761822</v>
      </c>
      <c r="CP9" s="45">
        <f>TNMP!CQ12</f>
        <v>0.64691373808724739</v>
      </c>
      <c r="CQ9" s="45">
        <f>TNMP!CR12</f>
        <v>0.65196459988271049</v>
      </c>
      <c r="CR9" s="45">
        <f>TNMP!CS12</f>
        <v>0.65595057723906869</v>
      </c>
      <c r="CS9" s="45">
        <f>TNMP!CT12</f>
        <v>0.65937221454229089</v>
      </c>
      <c r="CT9" s="45">
        <f>TNMP!CU12</f>
        <v>0.66233246756017305</v>
      </c>
      <c r="CU9" s="45">
        <f>TNMP!CV12</f>
        <v>0.66546158399053001</v>
      </c>
      <c r="CV9" s="45">
        <f>TNMP!CW12</f>
        <v>0.66993178891809346</v>
      </c>
      <c r="CW9" s="45">
        <f>TNMP!CX12</f>
        <v>0.67375366568914952</v>
      </c>
      <c r="CX9" s="45">
        <f>TNMP!CY12</f>
        <v>0.67838295118833569</v>
      </c>
      <c r="CY9" s="45">
        <f>TNMP!CZ12</f>
        <v>0.68265686565267125</v>
      </c>
      <c r="CZ9" s="45">
        <f>TNMP!DA12</f>
        <v>0.68709955610579387</v>
      </c>
      <c r="DA9" s="45">
        <f>TNMP!DB12</f>
        <v>0.69179613780416249</v>
      </c>
      <c r="DB9" s="45">
        <f>TNMP!DC12</f>
        <v>0.6960335198482519</v>
      </c>
      <c r="DC9" s="45">
        <f>TNMP!DD12</f>
        <v>0.70023779327837665</v>
      </c>
      <c r="DD9" s="45">
        <f>TNMP!DE12</f>
        <v>0.70471512459177266</v>
      </c>
      <c r="DE9" s="45">
        <f>TNMP!DF12</f>
        <v>0.70808923948177405</v>
      </c>
      <c r="DF9" s="45">
        <f>TNMP!DG12</f>
        <v>0.71090269513107041</v>
      </c>
      <c r="DG9" s="45">
        <f>TNMP!DH12</f>
        <v>0.71358398678889046</v>
      </c>
      <c r="DH9" s="45">
        <f>TNMP!DI12</f>
        <v>0.71703241921434047</v>
      </c>
      <c r="DI9" s="45">
        <f>TNMP!DJ12</f>
        <v>0.72060327332413876</v>
      </c>
      <c r="DJ9" s="45">
        <f>TNMP!DK12</f>
        <v>0.72323215389612427</v>
      </c>
      <c r="DK9" s="45">
        <f>TNMP!DL12</f>
        <v>0.72578897502604178</v>
      </c>
      <c r="DL9" s="45">
        <f>TNMP!DM12</f>
        <v>0.72796818744741887</v>
      </c>
      <c r="DM9" s="45">
        <f>TNMP!DN12</f>
        <v>0.72860282181241154</v>
      </c>
      <c r="DN9" s="45">
        <f>TNMP!DO12</f>
        <v>0.7286884390651085</v>
      </c>
      <c r="DO9" s="45">
        <f>TNMP!DP12</f>
        <v>0.73511202522394603</v>
      </c>
      <c r="DP9" s="45">
        <f>TNMP!DQ12</f>
        <v>0.73784370628640628</v>
      </c>
      <c r="DQ9" s="45">
        <f>TNMP!DR12</f>
        <v>0.73968222505059777</v>
      </c>
      <c r="DR9" s="45">
        <f>TNMP!DS12</f>
        <v>0.74100892065313784</v>
      </c>
      <c r="DS9" s="45">
        <f>TNMP!DT12</f>
        <v>0.74315234690948939</v>
      </c>
      <c r="DT9" s="45">
        <f>TNMP!DU12</f>
        <v>0.74555358052411103</v>
      </c>
      <c r="DU9" s="45">
        <f>TNMP!DV12</f>
        <v>0.74747710708278825</v>
      </c>
      <c r="DV9" s="45">
        <f>TNMP!DW12</f>
        <v>0.74998444919032115</v>
      </c>
      <c r="DW9" s="45">
        <f>TNMP!DX12</f>
        <v>0.7532028691073428</v>
      </c>
      <c r="DX9" s="45">
        <f>TNMP!DY12</f>
        <v>0.75580805466404388</v>
      </c>
      <c r="DY9" s="45">
        <f>TNMP!DZ12</f>
        <v>0.75804899749632726</v>
      </c>
      <c r="DZ9" s="45">
        <f>TNMP!EA12</f>
        <v>0.7601379831089643</v>
      </c>
      <c r="EA9" s="45">
        <f>TNMP!EB12</f>
        <v>0.76254448352624593</v>
      </c>
      <c r="EB9" s="45">
        <f>TNMP!EC12</f>
        <v>0.7643568651144057</v>
      </c>
      <c r="EC9" s="45">
        <f>TNMP!ED12</f>
        <v>0.7659486586398464</v>
      </c>
      <c r="ED9" s="45">
        <f>TNMP!EE12</f>
        <v>0.76779351208141222</v>
      </c>
      <c r="EE9" s="45">
        <f>TNMP!EF12</f>
        <v>0.77023491985178105</v>
      </c>
      <c r="EF9" s="45">
        <f>TNMP!EG12</f>
        <v>0.77209304712396531</v>
      </c>
      <c r="EG9" s="45">
        <f>TNMP!EH12</f>
        <v>0.77375435718679519</v>
      </c>
      <c r="EH9" s="45">
        <f>TNMP!EI12</f>
        <v>0.77545267100193915</v>
      </c>
      <c r="EI9" s="45">
        <f>TNMP!EJ12</f>
        <v>0.77746998131032541</v>
      </c>
      <c r="EJ9" s="45">
        <f>TNMP!EK12</f>
        <v>0.77880151381277551</v>
      </c>
      <c r="EK9" s="45">
        <f>TNMP!EL12</f>
        <v>0.78038066601210931</v>
      </c>
      <c r="EL9" s="45">
        <f>TNMP!EM12</f>
        <v>0.7823240756343286</v>
      </c>
      <c r="EM9" s="45">
        <f>TNMP!EN12</f>
        <v>0.78345031024310852</v>
      </c>
      <c r="EN9" s="45">
        <f>TNMP!EO12</f>
        <v>0.78543773623454893</v>
      </c>
      <c r="EO9" s="45">
        <f>TNMP!EP12</f>
        <v>0.78607033569075513</v>
      </c>
      <c r="EP9" s="45">
        <f>TNMP!EQ12</f>
        <v>0.78731017585053975</v>
      </c>
      <c r="EQ9" s="45">
        <f>TNMP!ER12</f>
        <v>0.78911384408465202</v>
      </c>
      <c r="ER9" s="45">
        <f>TNMP!ES12</f>
        <v>0.79070074698917625</v>
      </c>
      <c r="ES9" s="45">
        <f>TNMP!ET12</f>
        <v>0.79200284162987766</v>
      </c>
      <c r="ET9" s="45">
        <f>TNMP!EU12</f>
        <v>0.79339698257931635</v>
      </c>
      <c r="EU9" s="45">
        <f>TNMP!EV12</f>
        <v>0.79571561469856611</v>
      </c>
      <c r="EV9" s="45">
        <f>TNMP!EW12</f>
        <v>0.79770460693664957</v>
      </c>
      <c r="EW9" s="45">
        <f>TNMP!EX12</f>
        <v>0.80012385584388124</v>
      </c>
      <c r="EX9" s="45">
        <f>TNMP!EY12</f>
        <v>0.80213112029851796</v>
      </c>
      <c r="EY9" s="45">
        <f>TNMP!EZ12</f>
        <v>0.80351099830795258</v>
      </c>
      <c r="EZ9" s="45">
        <f>TNMP!FA12</f>
        <v>0.80522740994163811</v>
      </c>
      <c r="FA9" s="45">
        <f>TNMP!FB12</f>
        <v>0.80665021535801695</v>
      </c>
      <c r="FB9" s="45">
        <f>TNMP!FC12</f>
        <v>0.80916804739669634</v>
      </c>
      <c r="FC9" s="45">
        <f>TNMP!FD12</f>
        <v>0.80969990115453505</v>
      </c>
      <c r="FD9" s="45">
        <f>TNMP!FE12</f>
        <v>0.8115073299085328</v>
      </c>
      <c r="FE9" s="45">
        <f>TNMP!FF12</f>
        <v>0.81326263400077103</v>
      </c>
      <c r="FF9" s="45">
        <f>TNMP!FG12</f>
        <v>0.81428064014247625</v>
      </c>
      <c r="FG9" s="45">
        <f>TNMP!FH12</f>
        <v>0.81529667257432414</v>
      </c>
      <c r="FH9" s="45">
        <f>TNMP!FI12</f>
        <v>0.81746864264798735</v>
      </c>
      <c r="FI9" s="45">
        <f>TNMP!FJ12</f>
        <v>0.81903910170417848</v>
      </c>
      <c r="FJ9" s="45">
        <f>TNMP!FK12</f>
        <v>0.82079495518756673</v>
      </c>
      <c r="FK9" s="45">
        <f>TNMP!FL12</f>
        <v>0.82326761624391642</v>
      </c>
      <c r="FL9" s="45">
        <f>TNMP!FM12</f>
        <v>0.82468143714948183</v>
      </c>
      <c r="FM9" s="45">
        <f>TNMP!FN12</f>
        <v>0.8260949248585836</v>
      </c>
      <c r="FN9" s="45">
        <f>TNMP!FO12</f>
        <v>0.82747896084888406</v>
      </c>
      <c r="FO9" s="45">
        <f>TNMP!FP12</f>
        <v>0.8284625912183361</v>
      </c>
      <c r="FP9" s="45">
        <f>TNMP!FQ12</f>
        <v>0.82939918930794942</v>
      </c>
      <c r="FQ9" s="45">
        <f>TNMP!FR12</f>
        <v>0.83066710036075464</v>
      </c>
      <c r="FR9" s="45">
        <f>TNMP!FS12</f>
        <v>0.83187308650239711</v>
      </c>
      <c r="FS9" s="45">
        <f>TNMP!FT12</f>
        <v>0.83301273694205158</v>
      </c>
    </row>
    <row r="10" spans="1:175" x14ac:dyDescent="0.25">
      <c r="A10" s="561" t="s">
        <v>100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</row>
    <row r="11" spans="1:175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</row>
    <row r="12" spans="1:175" s="1" customFormat="1" x14ac:dyDescent="0.25">
      <c r="A12" s="46" t="s">
        <v>9</v>
      </c>
      <c r="B12" s="47">
        <f>TOTAL!C12</f>
        <v>1.7282126591911719E-2</v>
      </c>
      <c r="C12" s="47">
        <f>TOTAL!D12</f>
        <v>2.3205121367533131E-2</v>
      </c>
      <c r="D12" s="47">
        <f>TOTAL!E12</f>
        <v>2.1787375725814295E-2</v>
      </c>
      <c r="E12" s="47">
        <f>TOTAL!F12</f>
        <v>2.3135968803208205E-2</v>
      </c>
      <c r="F12" s="47">
        <f>TOTAL!G12</f>
        <v>2.9329579299585549E-2</v>
      </c>
      <c r="G12" s="47">
        <f>TOTAL!H12</f>
        <v>3.7127240685608603E-2</v>
      </c>
      <c r="H12" s="47">
        <f>TOTAL!I12</f>
        <v>3.3612172188349373E-2</v>
      </c>
      <c r="I12" s="47">
        <f>TOTAL!J12</f>
        <v>6.1525469016381555E-2</v>
      </c>
      <c r="J12" s="47">
        <f>TOTAL!K12</f>
        <v>6.5531663194051071E-2</v>
      </c>
      <c r="K12" s="47">
        <f>TOTAL!L12</f>
        <v>6.8420174588889326E-2</v>
      </c>
      <c r="L12" s="47">
        <f>TOTAL!M12</f>
        <v>7.057387037429029E-2</v>
      </c>
      <c r="M12" s="47">
        <f>TOTAL!N12</f>
        <v>7.3527907559583605E-2</v>
      </c>
      <c r="N12" s="47">
        <f>TOTAL!O12</f>
        <v>7.5918239780730687E-2</v>
      </c>
      <c r="O12" s="47">
        <f>TOTAL!P12</f>
        <v>7.977102764370482E-2</v>
      </c>
      <c r="P12" s="47">
        <f>TOTAL!Q12</f>
        <v>8.3990329868356889E-2</v>
      </c>
      <c r="Q12" s="47">
        <f>TOTAL!R12</f>
        <v>8.9903951569506368E-2</v>
      </c>
      <c r="R12" s="47">
        <f>TOTAL!S12</f>
        <v>9.4465475228821524E-2</v>
      </c>
      <c r="S12" s="47">
        <f>TOTAL!T12</f>
        <v>0.10001272689123324</v>
      </c>
      <c r="T12" s="47">
        <f>TOTAL!U12</f>
        <v>0.10644414789884436</v>
      </c>
      <c r="U12" s="47">
        <f>TOTAL!V12</f>
        <v>0.11268161336764569</v>
      </c>
      <c r="V12" s="47">
        <f>TOTAL!W12</f>
        <v>0.12088760324501407</v>
      </c>
      <c r="W12" s="47">
        <f>TOTAL!X12</f>
        <v>0.12978949386366098</v>
      </c>
      <c r="X12" s="47">
        <f>TOTAL!Y12</f>
        <v>0.13466991991491462</v>
      </c>
      <c r="Y12" s="47">
        <f>TOTAL!Z12</f>
        <v>0.14075199745814526</v>
      </c>
      <c r="Z12" s="47">
        <f>TOTAL!AA12</f>
        <v>0.14259505928936425</v>
      </c>
      <c r="AA12" s="47">
        <f>TOTAL!AB12</f>
        <v>0.14425340627772734</v>
      </c>
      <c r="AB12" s="47">
        <f>TOTAL!AC12</f>
        <v>0.14798693487172176</v>
      </c>
      <c r="AC12" s="47">
        <f>TOTAL!AD12</f>
        <v>0.1502213025325522</v>
      </c>
      <c r="AD12" s="47">
        <f>TOTAL!AE12</f>
        <v>0.15373096865656191</v>
      </c>
      <c r="AE12" s="47">
        <f>TOTAL!AF12</f>
        <v>0.15904818049975072</v>
      </c>
      <c r="AF12" s="47">
        <f>TOTAL!AG12</f>
        <v>0.16524058654716814</v>
      </c>
      <c r="AG12" s="47">
        <f>TOTAL!AH12</f>
        <v>0.17280799242394596</v>
      </c>
      <c r="AH12" s="47">
        <f>TOTAL!AI12</f>
        <v>0.18025774117782689</v>
      </c>
      <c r="AI12" s="47">
        <f>TOTAL!AJ12</f>
        <v>0.18717591937270253</v>
      </c>
      <c r="AJ12" s="47">
        <f>TOTAL!AK12</f>
        <v>0.19338298680926477</v>
      </c>
      <c r="AK12" s="47">
        <f>TOTAL!AL12</f>
        <v>0.19919054197588287</v>
      </c>
      <c r="AL12" s="47">
        <f>TOTAL!AM12</f>
        <v>0.20485300075745566</v>
      </c>
      <c r="AM12" s="47">
        <f>TOTAL!AN12</f>
        <v>0.20992843492920774</v>
      </c>
      <c r="AN12" s="47">
        <f>TOTAL!AO12</f>
        <v>0.21617905903898774</v>
      </c>
      <c r="AO12" s="47">
        <f>TOTAL!AP12</f>
        <v>0.22193760716397948</v>
      </c>
      <c r="AP12" s="47">
        <f>TOTAL!AQ12</f>
        <v>0.22954656385322109</v>
      </c>
      <c r="AQ12" s="47">
        <f>TOTAL!AR12</f>
        <v>0.23865597988809803</v>
      </c>
      <c r="AR12" s="47">
        <f>TOTAL!AS12</f>
        <v>0.24747425217978428</v>
      </c>
      <c r="AS12" s="47">
        <f>TOTAL!AT12</f>
        <v>0.2573130833153775</v>
      </c>
      <c r="AT12" s="47">
        <f>TOTAL!AU12</f>
        <v>0.26713394963856324</v>
      </c>
      <c r="AU12" s="47">
        <f>TOTAL!AV12</f>
        <v>0.27524946564756037</v>
      </c>
      <c r="AV12" s="47">
        <f>TOTAL!AW12</f>
        <v>0.28152783673317355</v>
      </c>
      <c r="AW12" s="47">
        <f>TOTAL!AX12</f>
        <v>0.28580838128753255</v>
      </c>
      <c r="AX12" s="47">
        <f>TOTAL!AY12</f>
        <v>0.28951849882391267</v>
      </c>
      <c r="AY12" s="47">
        <f>TOTAL!AZ12</f>
        <v>0.29289345099134018</v>
      </c>
      <c r="AZ12" s="47">
        <f>TOTAL!BA12</f>
        <v>0.29625878524455562</v>
      </c>
      <c r="BA12" s="47">
        <f>TOTAL!BB12</f>
        <v>0.30080431664409285</v>
      </c>
      <c r="BB12" s="47">
        <f>TOTAL!BC12</f>
        <v>0.30653339152548459</v>
      </c>
      <c r="BC12" s="47">
        <f>TOTAL!BD12</f>
        <v>0.31434388641245897</v>
      </c>
      <c r="BD12" s="47">
        <f>TOTAL!BE12</f>
        <v>0.32263491753907492</v>
      </c>
      <c r="BE12" s="47">
        <f>TOTAL!BF12</f>
        <v>0.33147071208275958</v>
      </c>
      <c r="BF12" s="47">
        <f>TOTAL!BG12</f>
        <v>0.3394357566146462</v>
      </c>
      <c r="BG12" s="47">
        <f>TOTAL!BH12</f>
        <v>0.34776726116819662</v>
      </c>
      <c r="BH12" s="47">
        <f>TOTAL!BI12</f>
        <v>0.35427194766291409</v>
      </c>
      <c r="BI12" s="47">
        <f>TOTAL!BJ12</f>
        <v>0.36054565011547651</v>
      </c>
      <c r="BJ12" s="47">
        <f>TOTAL!BK12</f>
        <v>0.36616918929993603</v>
      </c>
      <c r="BK12" s="47">
        <f>TOTAL!BL12</f>
        <v>0.37045201900305064</v>
      </c>
      <c r="BL12" s="47">
        <f>TOTAL!BM12</f>
        <v>0.37588427550647097</v>
      </c>
      <c r="BM12" s="47">
        <f>TOTAL!BN12</f>
        <v>0.38162471756012711</v>
      </c>
      <c r="BN12" s="47">
        <f>TOTAL!BO12</f>
        <v>0.38719157342704119</v>
      </c>
      <c r="BO12" s="47">
        <f>TOTAL!BP12</f>
        <v>0.39185421210399002</v>
      </c>
      <c r="BP12" s="47">
        <f>TOTAL!BQ12</f>
        <v>0.39622421995792323</v>
      </c>
      <c r="BQ12" s="47">
        <f>TOTAL!BR12</f>
        <v>0.40081821307742083</v>
      </c>
      <c r="BR12" s="47">
        <f>TOTAL!BS12</f>
        <v>0.40391062251432319</v>
      </c>
      <c r="BS12" s="47">
        <f>TOTAL!BT12</f>
        <v>0.40898495436111199</v>
      </c>
      <c r="BT12" s="47">
        <f>TOTAL!BU12</f>
        <v>0.41272154956341556</v>
      </c>
      <c r="BU12" s="47">
        <f>TOTAL!BV12</f>
        <v>0.41672498147213144</v>
      </c>
      <c r="BV12" s="47">
        <f>TOTAL!BW12</f>
        <v>0.41986179855095146</v>
      </c>
      <c r="BW12" s="47">
        <f>TOTAL!BX12</f>
        <v>0.4233169795316083</v>
      </c>
      <c r="BX12" s="47">
        <f>TOTAL!BY12</f>
        <v>0.42709418755208189</v>
      </c>
      <c r="BY12" s="47">
        <f>TOTAL!BZ12</f>
        <v>0.43168149084708185</v>
      </c>
      <c r="BZ12" s="47">
        <f>TOTAL!CA12</f>
        <v>0.43906824671392886</v>
      </c>
      <c r="CA12" s="47">
        <f>TOTAL!CB12</f>
        <v>0.43853670660518129</v>
      </c>
      <c r="CB12" s="47">
        <f>TOTAL!CC12</f>
        <v>0.43936967700319607</v>
      </c>
      <c r="CC12" s="47">
        <f>TOTAL!CD12</f>
        <v>0.44069416207958972</v>
      </c>
      <c r="CD12" s="47">
        <f>TOTAL!CE12</f>
        <v>0.44295707559617331</v>
      </c>
      <c r="CE12" s="47">
        <f>TOTAL!CF12</f>
        <v>0.44540430521157193</v>
      </c>
      <c r="CF12" s="47">
        <f>TOTAL!CG12</f>
        <v>0.44939604295132329</v>
      </c>
      <c r="CG12" s="47">
        <f>TOTAL!CH12</f>
        <v>0.45139866784168964</v>
      </c>
      <c r="CH12" s="47">
        <f>TOTAL!CI12</f>
        <v>0.45216468681334404</v>
      </c>
      <c r="CI12" s="47">
        <f>TOTAL!CJ12</f>
        <v>0.45461278772229508</v>
      </c>
      <c r="CJ12" s="47">
        <f>TOTAL!CK12</f>
        <v>0.45731103086288627</v>
      </c>
      <c r="CK12" s="47">
        <f>TOTAL!CL12</f>
        <v>0.46065659537579168</v>
      </c>
      <c r="CL12" s="47">
        <f>TOTAL!CM12</f>
        <v>0.46424787579415572</v>
      </c>
      <c r="CM12" s="47">
        <f>TOTAL!CN12</f>
        <v>0.46826566885480092</v>
      </c>
      <c r="CN12" s="47">
        <f>TOTAL!CO12</f>
        <v>0.4723207465985928</v>
      </c>
      <c r="CO12" s="47">
        <f>TOTAL!CP12</f>
        <v>0.47732598377015512</v>
      </c>
      <c r="CP12" s="47">
        <f>TOTAL!CQ12</f>
        <v>0.48332288075559104</v>
      </c>
      <c r="CQ12" s="281">
        <f>TOTAL!CR12</f>
        <v>0.48815012327759655</v>
      </c>
      <c r="CR12" s="281">
        <f>TOTAL!CS12</f>
        <v>0.49164707204481406</v>
      </c>
      <c r="CS12" s="281">
        <f>TOTAL!CT12</f>
        <v>0.49517899144292138</v>
      </c>
      <c r="CT12" s="281">
        <f>TOTAL!CU12</f>
        <v>0.49641917791461077</v>
      </c>
      <c r="CU12" s="281">
        <f>TOTAL!CV12</f>
        <v>0.50170168084210076</v>
      </c>
      <c r="CV12" s="281">
        <f>TOTAL!CW12</f>
        <v>0.50520168480269223</v>
      </c>
      <c r="CW12" s="281">
        <f>TOTAL!CX12</f>
        <v>0.50843862279096363</v>
      </c>
      <c r="CX12" s="281">
        <f>TOTAL!CY12</f>
        <v>0.51166990756200559</v>
      </c>
      <c r="CY12" s="281">
        <f>TOTAL!CZ12</f>
        <v>0.51554901300100586</v>
      </c>
      <c r="CZ12" s="281">
        <f>TOTAL!DA12</f>
        <v>0.51976687696885104</v>
      </c>
      <c r="DA12" s="281">
        <f>TOTAL!DB12</f>
        <v>0.52355900233192076</v>
      </c>
      <c r="DB12" s="281">
        <f>TOTAL!DC12</f>
        <v>0.52855165262752812</v>
      </c>
      <c r="DC12" s="281">
        <f>TOTAL!DD12</f>
        <v>0.53110612615020603</v>
      </c>
      <c r="DD12" s="281">
        <f>TOTAL!DE12</f>
        <v>0.53428641941120281</v>
      </c>
      <c r="DE12" s="281">
        <f>TOTAL!DF12</f>
        <v>0.53774756452352357</v>
      </c>
      <c r="DF12" s="281">
        <f>TOTAL!DG12</f>
        <v>0.53945376302451598</v>
      </c>
      <c r="DG12" s="281">
        <f>TOTAL!DH12</f>
        <v>0.54391733600476078</v>
      </c>
      <c r="DH12" s="281">
        <f>TOTAL!DI12</f>
        <v>0.54738565017095375</v>
      </c>
      <c r="DI12" s="281">
        <f>TOTAL!DJ12</f>
        <v>0.55002438693871536</v>
      </c>
      <c r="DJ12" s="281">
        <f>TOTAL!DK12</f>
        <v>0.55190390853210514</v>
      </c>
      <c r="DK12" s="281">
        <f>TOTAL!DL12</f>
        <v>0.55630300328568749</v>
      </c>
      <c r="DL12" s="281">
        <f>TOTAL!DM12</f>
        <v>0.5589622967463469</v>
      </c>
      <c r="DM12" s="281">
        <f>TOTAL!DN12</f>
        <v>0.56327421369141717</v>
      </c>
      <c r="DN12" s="281">
        <f>TOTAL!DO12</f>
        <v>0.56454961109477098</v>
      </c>
      <c r="DO12" s="281">
        <f>TOTAL!DP12</f>
        <v>0.56676286051133928</v>
      </c>
      <c r="DP12" s="281">
        <f>TOTAL!DQ12</f>
        <v>0.56997008919504211</v>
      </c>
      <c r="DQ12" s="281">
        <f>TOTAL!DR12</f>
        <v>0.57022267894810197</v>
      </c>
      <c r="DR12" s="281">
        <f>TOTAL!DS12</f>
        <v>0.57316488788601716</v>
      </c>
      <c r="DS12" s="281">
        <f>TOTAL!DT12</f>
        <v>0.57621920597708676</v>
      </c>
      <c r="DT12" s="281">
        <f>TOTAL!DU12</f>
        <v>0.57990502135681232</v>
      </c>
      <c r="DU12" s="281">
        <f>TOTAL!DV12</f>
        <v>0.58284230741202292</v>
      </c>
      <c r="DV12" s="281">
        <f>TOTAL!DW12</f>
        <v>0.58539360403255425</v>
      </c>
      <c r="DW12" s="281">
        <f>TOTAL!DX12</f>
        <v>0.58760344185280733</v>
      </c>
      <c r="DX12" s="281">
        <f>TOTAL!DY12</f>
        <v>0.59092472875520452</v>
      </c>
      <c r="DY12" s="281">
        <f>TOTAL!DZ12</f>
        <v>0.59331494043745647</v>
      </c>
      <c r="DZ12" s="281">
        <f>TOTAL!EA12</f>
        <v>0.59460972072827445</v>
      </c>
      <c r="EA12" s="281">
        <f>TOTAL!EB12</f>
        <v>0.59618937007423323</v>
      </c>
      <c r="EB12" s="281">
        <f>TOTAL!EC12</f>
        <v>0.59824767482995955</v>
      </c>
      <c r="EC12" s="281">
        <f>TOTAL!ED12</f>
        <v>0.59969499858330311</v>
      </c>
      <c r="ED12" s="281">
        <f>TOTAL!EE12</f>
        <v>0.60202117545443246</v>
      </c>
      <c r="EE12" s="281">
        <f>TOTAL!EF12</f>
        <v>0.60377569884040105</v>
      </c>
      <c r="EF12" s="281">
        <f>TOTAL!EG12</f>
        <v>0.60622344603751432</v>
      </c>
      <c r="EG12" s="281">
        <f>TOTAL!EH12</f>
        <v>0.60878149638233114</v>
      </c>
      <c r="EH12" s="281">
        <f>TOTAL!EI12</f>
        <v>0.61044944964506997</v>
      </c>
      <c r="EI12" s="281">
        <f>TOTAL!EJ12</f>
        <v>0.61251876449984077</v>
      </c>
      <c r="EJ12" s="281">
        <f>TOTAL!EK12</f>
        <v>0.61474837952508965</v>
      </c>
      <c r="EK12" s="281">
        <f>TOTAL!EL12</f>
        <v>0.61632582280903181</v>
      </c>
      <c r="EL12" s="281">
        <f>TOTAL!EM12</f>
        <v>0.61742396866946903</v>
      </c>
      <c r="EM12" s="281">
        <f>TOTAL!EN12</f>
        <v>0.61853288886397839</v>
      </c>
      <c r="EN12" s="281">
        <f>TOTAL!EO12</f>
        <v>0.62006726256391775</v>
      </c>
      <c r="EO12" s="281">
        <f>TOTAL!EP12</f>
        <v>0.62048776618893309</v>
      </c>
      <c r="EP12" s="281">
        <f>TOTAL!EQ12</f>
        <v>0.62081046213903568</v>
      </c>
      <c r="EQ12" s="281">
        <f>TOTAL!ER12</f>
        <v>0.62280177234940404</v>
      </c>
      <c r="ER12" s="281">
        <f>TOTAL!ES12</f>
        <v>0.62444917596758986</v>
      </c>
      <c r="ES12" s="281">
        <f>TOTAL!ET12</f>
        <v>0.6273038612882148</v>
      </c>
      <c r="ET12" s="281">
        <f>TOTAL!EU12</f>
        <v>0.62868457982289982</v>
      </c>
      <c r="EU12" s="281">
        <f>TOTAL!EV12</f>
        <v>0.63051943370483132</v>
      </c>
      <c r="EV12" s="281">
        <f>TOTAL!EW12</f>
        <v>0.63275240910713204</v>
      </c>
      <c r="EW12" s="281">
        <f>TOTAL!EX12</f>
        <v>0.63450473997087986</v>
      </c>
      <c r="EX12" s="281">
        <f>TOTAL!EY12</f>
        <v>0.63568257809463047</v>
      </c>
      <c r="EY12" s="281">
        <f>TOTAL!EZ12</f>
        <v>0.63741049284706841</v>
      </c>
      <c r="EZ12" s="281">
        <f>TOTAL!FA12</f>
        <v>0.63880380073958121</v>
      </c>
      <c r="FA12" s="281">
        <f>TOTAL!FB12</f>
        <v>0.64017855359704301</v>
      </c>
      <c r="FB12" s="281">
        <f>TOTAL!FC12</f>
        <v>0.64131057133823099</v>
      </c>
      <c r="FC12" s="281">
        <f>TOTAL!FD12</f>
        <v>0.6428854428873495</v>
      </c>
      <c r="FD12" s="281">
        <f>TOTAL!FE12</f>
        <v>0.64451162848948618</v>
      </c>
      <c r="FE12" s="281">
        <f>TOTAL!FF12</f>
        <v>0.64649625928930665</v>
      </c>
      <c r="FF12" s="281">
        <f>TOTAL!FG12</f>
        <v>0.64813938349709432</v>
      </c>
      <c r="FG12" s="281">
        <f>TOTAL!FH12</f>
        <v>0.64981216357035243</v>
      </c>
      <c r="FH12" s="281">
        <f>TOTAL!FI12</f>
        <v>0.65180323137394047</v>
      </c>
      <c r="FI12" s="281">
        <f>TOTAL!FJ12</f>
        <v>0.65340026671092011</v>
      </c>
      <c r="FJ12" s="281">
        <f>TOTAL!FK12</f>
        <v>0.65481561710538139</v>
      </c>
      <c r="FK12" s="281">
        <f>TOTAL!FL12</f>
        <v>0.65658399383811572</v>
      </c>
      <c r="FL12" s="281">
        <f>TOTAL!FM12</f>
        <v>0.65780789950974361</v>
      </c>
      <c r="FM12" s="281">
        <f>TOTAL!FN12</f>
        <v>0.65863801063537109</v>
      </c>
      <c r="FN12" s="281">
        <f>TOTAL!FO12</f>
        <v>0.65980737607096795</v>
      </c>
      <c r="FO12" s="281">
        <f>TOTAL!FP12</f>
        <v>0.66113620548420138</v>
      </c>
      <c r="FP12" s="281">
        <f>TOTAL!FQ12</f>
        <v>0.66272674372236318</v>
      </c>
      <c r="FQ12" s="281">
        <f>TOTAL!FR12</f>
        <v>0.6645511863825172</v>
      </c>
      <c r="FR12" s="281">
        <f>TOTAL!FS12</f>
        <v>0.66592128450761656</v>
      </c>
      <c r="FS12" s="281">
        <f>TOTAL!FT12</f>
        <v>0.66695606128379625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S12"/>
  <sheetViews>
    <sheetView topLeftCell="A16" zoomScaleNormal="100" workbookViewId="0">
      <selection activeCell="R40" sqref="R40"/>
    </sheetView>
  </sheetViews>
  <sheetFormatPr defaultColWidth="9.109375" defaultRowHeight="13.2" x14ac:dyDescent="0.25"/>
  <cols>
    <col min="1" max="1" width="26.109375" style="2" customWidth="1"/>
    <col min="2" max="16384" width="9.109375" style="2"/>
  </cols>
  <sheetData>
    <row r="1" spans="1:175" ht="21" x14ac:dyDescent="0.4">
      <c r="A1" s="608" t="s">
        <v>40</v>
      </c>
      <c r="B1" s="608"/>
      <c r="C1" s="608"/>
      <c r="D1" s="608"/>
      <c r="E1" s="608"/>
      <c r="F1" s="608"/>
      <c r="G1" s="608"/>
      <c r="H1" s="608"/>
    </row>
    <row r="3" spans="1:175" x14ac:dyDescent="0.25">
      <c r="B3" s="2" t="s">
        <v>30</v>
      </c>
    </row>
    <row r="4" spans="1:175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</row>
    <row r="5" spans="1:175" x14ac:dyDescent="0.25">
      <c r="A5" s="273" t="s">
        <v>86</v>
      </c>
      <c r="B5" s="45">
        <f>SUM(Oncor!C55)</f>
        <v>4.5333427888743007E-5</v>
      </c>
      <c r="C5" s="45">
        <f>SUM(Oncor!D55)</f>
        <v>2.3912389247110529E-2</v>
      </c>
      <c r="D5" s="45">
        <f>SUM(Oncor!E55)</f>
        <v>2.4833978689815243E-2</v>
      </c>
      <c r="E5" s="45">
        <f>SUM(Oncor!F55)</f>
        <v>2.6445468992959888E-2</v>
      </c>
      <c r="F5" s="45">
        <f>SUM(Oncor!G55)</f>
        <v>3.1134766156631067E-2</v>
      </c>
      <c r="G5" s="45">
        <f>SUM(Oncor!H55)</f>
        <v>3.7188415205577439E-2</v>
      </c>
      <c r="H5" s="45">
        <f>SUM(Oncor!I55)</f>
        <v>4.5375175811400159E-2</v>
      </c>
      <c r="I5" s="45">
        <f>SUM(Oncor!J55)</f>
        <v>5.1768974429800475E-2</v>
      </c>
      <c r="J5" s="45">
        <f>SUM(Oncor!K55)</f>
        <v>5.957521340335379E-2</v>
      </c>
      <c r="K5" s="45">
        <f>SUM(Oncor!L55)</f>
        <v>6.1795657257865892E-2</v>
      </c>
      <c r="L5" s="45">
        <f>SUM(Oncor!M55)</f>
        <v>6.5929551470678846E-2</v>
      </c>
      <c r="M5" s="45">
        <f>SUM(Oncor!N55)</f>
        <v>6.8359837052767575E-2</v>
      </c>
      <c r="N5" s="45">
        <f>SUM(Oncor!O55)</f>
        <v>7.3417195343520383E-2</v>
      </c>
      <c r="O5" s="45">
        <f>SUM(Oncor!P55)</f>
        <v>7.3201121942192124E-2</v>
      </c>
      <c r="P5" s="45">
        <f>SUM(Oncor!Q55)</f>
        <v>7.6660498239112571E-2</v>
      </c>
      <c r="Q5" s="45">
        <f>SUM(Oncor!R55)</f>
        <v>8.2107830591458611E-2</v>
      </c>
      <c r="R5" s="45">
        <f>SUM(Oncor!S55)</f>
        <v>9.1379919739041679E-2</v>
      </c>
      <c r="S5" s="45">
        <f>SUM(Oncor!T55)</f>
        <v>9.5644797357453293E-2</v>
      </c>
      <c r="T5" s="45">
        <f>SUM(Oncor!U55)</f>
        <v>0.10282167701590177</v>
      </c>
      <c r="U5" s="45">
        <f>SUM(Oncor!V55)</f>
        <v>0.1116538258619203</v>
      </c>
      <c r="V5" s="45">
        <f>SUM(Oncor!W55)</f>
        <v>0.1179210532073732</v>
      </c>
      <c r="W5" s="45">
        <f>SUM(Oncor!X55)</f>
        <v>0.1275697035227159</v>
      </c>
      <c r="X5" s="45">
        <f>SUM(Oncor!Y55)</f>
        <v>0.13673048957297124</v>
      </c>
      <c r="Y5" s="45">
        <f>SUM(Oncor!Z55)</f>
        <v>0.14106119754696061</v>
      </c>
      <c r="Z5" s="45">
        <f>SUM(Oncor!AA55)</f>
        <v>0.14361409313577503</v>
      </c>
      <c r="AA5" s="45">
        <f>SUM(Oncor!AB55)</f>
        <v>0.14435098473498462</v>
      </c>
      <c r="AB5" s="45">
        <f>SUM(Oncor!AC55)</f>
        <v>0.14555750578317989</v>
      </c>
      <c r="AC5" s="45">
        <f>SUM(Oncor!AD55)</f>
        <v>0.14791710610949224</v>
      </c>
      <c r="AD5" s="45">
        <f>SUM(Oncor!AE55)</f>
        <v>0.15007728986528371</v>
      </c>
      <c r="AE5" s="45">
        <f>SUM(Oncor!AF55)</f>
        <v>0.15339545317851092</v>
      </c>
      <c r="AF5" s="45">
        <f>SUM(Oncor!AG55)</f>
        <v>0.15485400678857758</v>
      </c>
      <c r="AG5" s="45">
        <f>SUM(Oncor!AH55)</f>
        <v>0.16211736818147851</v>
      </c>
      <c r="AH5" s="45">
        <f>SUM(Oncor!AI55)</f>
        <v>0.17025451537828479</v>
      </c>
      <c r="AI5" s="45">
        <f>SUM(Oncor!AJ55)</f>
        <v>0.17859066306051349</v>
      </c>
      <c r="AJ5" s="45">
        <f>SUM(Oncor!AK55)</f>
        <v>0.18559941324147741</v>
      </c>
      <c r="AK5" s="45">
        <f>SUM(Oncor!AL55)</f>
        <v>0.19299245808496535</v>
      </c>
      <c r="AL5" s="45">
        <f>SUM(Oncor!AM55)</f>
        <v>0.19825439457601923</v>
      </c>
      <c r="AM5" s="45">
        <f>SUM(Oncor!AN55)</f>
        <v>0.20406778752321084</v>
      </c>
      <c r="AN5" s="45">
        <f>SUM(Oncor!AO55)</f>
        <v>0.2078613481168437</v>
      </c>
      <c r="AO5" s="45">
        <f>SUM(Oncor!AP55)</f>
        <v>0.21439921967160999</v>
      </c>
      <c r="AP5" s="45">
        <f>SUM(Oncor!AQ55)</f>
        <v>0.22122107168143035</v>
      </c>
      <c r="AQ5" s="45">
        <f>SUM(Oncor!AR55)</f>
        <v>0.23105602522533439</v>
      </c>
      <c r="AR5" s="45">
        <f>SUM(Oncor!AS55)</f>
        <v>0.24212112200449251</v>
      </c>
      <c r="AS5" s="45">
        <f>SUM(Oncor!AT55)</f>
        <v>0.25222069030744942</v>
      </c>
      <c r="AT5" s="45">
        <f>SUM(Oncor!AU55)</f>
        <v>0.26169913599532418</v>
      </c>
      <c r="AU5" s="45">
        <f>SUM(Oncor!AV55)</f>
        <v>0.27198767904718452</v>
      </c>
      <c r="AV5" s="45">
        <f>SUM(Oncor!AW55)</f>
        <v>0.28069387224177722</v>
      </c>
      <c r="AW5" s="45">
        <f>SUM(Oncor!AX55)</f>
        <v>0.28765490468629135</v>
      </c>
      <c r="AX5" s="45">
        <f>SUM(Oncor!AY55)</f>
        <v>0.29032957307006418</v>
      </c>
      <c r="AY5" s="45">
        <f>SUM(Oncor!AZ55)</f>
        <v>0.29460688310455796</v>
      </c>
      <c r="AZ5" s="45">
        <f>SUM(Oncor!BA55)</f>
        <v>0.2992737008542839</v>
      </c>
      <c r="BA5" s="45">
        <f>SUM(Oncor!BB55)</f>
        <v>0.30213025771905511</v>
      </c>
      <c r="BB5" s="45">
        <f>SUM(Oncor!BC55)</f>
        <v>0.30565481923872806</v>
      </c>
      <c r="BC5" s="45">
        <f>SUM(Oncor!BD55)</f>
        <v>0.31005580890461615</v>
      </c>
      <c r="BD5" s="45">
        <f>SUM(Oncor!BE55)</f>
        <v>0.31533830842152816</v>
      </c>
      <c r="BE5" s="45">
        <f>SUM(Oncor!BF55)</f>
        <v>0.32066813429575081</v>
      </c>
      <c r="BF5" s="45">
        <f>SUM(Oncor!BG55)</f>
        <v>0.32777516984532751</v>
      </c>
      <c r="BG5" s="45">
        <f>SUM(Oncor!BH55)</f>
        <v>0.33707165334248784</v>
      </c>
      <c r="BH5" s="45">
        <f>SUM(Oncor!BI55)</f>
        <v>0.34622979810893034</v>
      </c>
      <c r="BI5" s="45">
        <f>SUM(Oncor!BJ55)</f>
        <v>0.35471855480640574</v>
      </c>
      <c r="BJ5" s="45">
        <f>SUM(Oncor!BK55)</f>
        <v>0.36090830678355473</v>
      </c>
      <c r="BK5" s="45">
        <f>SUM(Oncor!BL55)</f>
        <v>0.36738713933683692</v>
      </c>
      <c r="BL5" s="45">
        <f>SUM(Oncor!BM55)</f>
        <v>0.36786989444708096</v>
      </c>
      <c r="BM5" s="45">
        <f>SUM(Oncor!BN55)</f>
        <v>0.37124329931337036</v>
      </c>
      <c r="BN5" s="45">
        <f>SUM(Oncor!BO55)</f>
        <v>0.37902232835535615</v>
      </c>
      <c r="BO5" s="45">
        <f>SUM(Oncor!BP55)</f>
        <v>0.38364376784963811</v>
      </c>
      <c r="BP5" s="45">
        <f>SUM(Oncor!BQ55)</f>
        <v>0.38698764002143782</v>
      </c>
      <c r="BQ5" s="45">
        <f>SUM(Oncor!BR55)</f>
        <v>0.38892504884082535</v>
      </c>
      <c r="BR5" s="45">
        <f>SUM(Oncor!BS55)</f>
        <v>0.38993026023273503</v>
      </c>
      <c r="BS5" s="45">
        <f>SUM(Oncor!BT55)</f>
        <v>0.39269920575648248</v>
      </c>
      <c r="BT5" s="45">
        <f>SUM(Oncor!BU55)</f>
        <v>0.39399953737116183</v>
      </c>
      <c r="BU5" s="45">
        <f>SUM(Oncor!BV55)</f>
        <v>0.39944959987943579</v>
      </c>
      <c r="BV5" s="45">
        <f>SUM(Oncor!BW55)</f>
        <v>0.40209827723412883</v>
      </c>
      <c r="BW5" s="45">
        <f>SUM(Oncor!BX55)</f>
        <v>0.4022444984080199</v>
      </c>
      <c r="BX5" s="45">
        <f>SUM(Oncor!BY55)</f>
        <v>0.40228926307328405</v>
      </c>
      <c r="BY5" s="45">
        <f>SUM(Oncor!BZ55)</f>
        <v>0.40060940679939561</v>
      </c>
      <c r="BZ5" s="45">
        <f>SUM(Oncor!CA55)</f>
        <v>0.40354668681211109</v>
      </c>
      <c r="CA5" s="45">
        <f>SUM(Oncor!CB55)</f>
        <v>0.40163612374672181</v>
      </c>
      <c r="CB5" s="45">
        <f>SUM(Oncor!CC55)</f>
        <v>0.40108725867944744</v>
      </c>
      <c r="CC5" s="45">
        <f>SUM(Oncor!CD55)</f>
        <v>0.4025098322920117</v>
      </c>
      <c r="CD5" s="45">
        <f>SUM(Oncor!CE55)</f>
        <v>0.40130046581412859</v>
      </c>
      <c r="CE5" s="45">
        <f>SUM(Oncor!CF55)</f>
        <v>0.40099353418154804</v>
      </c>
      <c r="CF5" s="45">
        <f>SUM(Oncor!CG55)</f>
        <v>0.40204837176329533</v>
      </c>
      <c r="CG5" s="45">
        <f>SUM(Oncor!CH55)</f>
        <v>0.40486218317018247</v>
      </c>
      <c r="CH5" s="45">
        <f>SUM(Oncor!CI55)</f>
        <v>0.40594992371892669</v>
      </c>
      <c r="CI5" s="45">
        <f>SUM(Oncor!CJ55)</f>
        <v>0.40468137710321428</v>
      </c>
      <c r="CJ5" s="45">
        <f>SUM(Oncor!CK55)</f>
        <v>0.40221610858131301</v>
      </c>
      <c r="CK5" s="45">
        <f>SUM(Oncor!CL55)</f>
        <v>0.4008424854215562</v>
      </c>
      <c r="CL5" s="45">
        <f>SUM(Oncor!CM55)</f>
        <v>0.40143980710814542</v>
      </c>
      <c r="CM5" s="45">
        <f>SUM(Oncor!CN55)</f>
        <v>0.4016614833166412</v>
      </c>
      <c r="CN5" s="45">
        <f>SUM(Oncor!CO55)</f>
        <v>0.40203792900067903</v>
      </c>
      <c r="CO5" s="45">
        <f>SUM(Oncor!CP55)</f>
        <v>0.40586497912035263</v>
      </c>
      <c r="CP5" s="45">
        <f>SUM(Oncor!CQ55)</f>
        <v>0.41137382100780473</v>
      </c>
      <c r="CQ5" s="45">
        <f>SUM(Oncor!CR55)</f>
        <v>0.41902298579679431</v>
      </c>
      <c r="CR5" s="45">
        <f>SUM(Oncor!CS55)</f>
        <v>0.42455968868520283</v>
      </c>
      <c r="CS5" s="45">
        <f>SUM(Oncor!CT55)</f>
        <v>0.42959167314693658</v>
      </c>
      <c r="CT5" s="45">
        <f>SUM(Oncor!CU55)</f>
        <v>0.43338817988588874</v>
      </c>
      <c r="CU5" s="45">
        <f>SUM(Oncor!CV55)</f>
        <v>0.4371259808938458</v>
      </c>
      <c r="CV5" s="45">
        <f>SUM(Oncor!CW55)</f>
        <v>0.43857216997581028</v>
      </c>
      <c r="CW5" s="45">
        <f>SUM(Oncor!CX55)</f>
        <v>0.43897040652563557</v>
      </c>
      <c r="CX5" s="45">
        <f>SUM(Oncor!CY55)</f>
        <v>0.44395522529009096</v>
      </c>
      <c r="CY5" s="45">
        <f>SUM(Oncor!CZ55)</f>
        <v>0.44332556710797355</v>
      </c>
      <c r="CZ5" s="45">
        <f>SUM(Oncor!DA55)</f>
        <v>0.44513212982678313</v>
      </c>
      <c r="DA5" s="45">
        <f>SUM(Oncor!DB55)</f>
        <v>0.44887124328488909</v>
      </c>
      <c r="DB5" s="45">
        <f>SUM(Oncor!DC55)</f>
        <v>0.45425353544971137</v>
      </c>
      <c r="DC5" s="45">
        <f>SUM(Oncor!DD55)</f>
        <v>0.46276569511614363</v>
      </c>
      <c r="DD5" s="45">
        <f>SUM(Oncor!DE55)</f>
        <v>0.47165863740458658</v>
      </c>
      <c r="DE5" s="45">
        <f>SUM(Oncor!DF55)</f>
        <v>0.47766732015070357</v>
      </c>
      <c r="DF5" s="45">
        <f>SUM(Oncor!DG55)</f>
        <v>0.4824454321553181</v>
      </c>
      <c r="DG5" s="45">
        <f>SUM(Oncor!DH55)</f>
        <v>0.49040597575894451</v>
      </c>
      <c r="DH5" s="45">
        <f>SUM(Oncor!DI55)</f>
        <v>0.48778948818245543</v>
      </c>
      <c r="DI5" s="45">
        <f>SUM(Oncor!DJ55)</f>
        <v>0.49378381412689637</v>
      </c>
      <c r="DJ5" s="45">
        <f>SUM(Oncor!DK55)</f>
        <v>0.4963537501530309</v>
      </c>
      <c r="DK5" s="45">
        <f>SUM(Oncor!DL55)</f>
        <v>0.49564498108793387</v>
      </c>
      <c r="DL5" s="45">
        <f>SUM(Oncor!DM55)</f>
        <v>0.4963409317574447</v>
      </c>
      <c r="DM5" s="45">
        <f>SUM(Oncor!DN55)</f>
        <v>0.50175485037342171</v>
      </c>
      <c r="DN5" s="45">
        <f>SUM(Oncor!DO55)</f>
        <v>0.50881632016603118</v>
      </c>
      <c r="DO5" s="45">
        <f>SUM(Oncor!DP55)</f>
        <v>0.51739973144335405</v>
      </c>
      <c r="DP5" s="45">
        <f>SUM(Oncor!DQ55)</f>
        <v>0.52623095587463453</v>
      </c>
      <c r="DQ5" s="45">
        <f>SUM(Oncor!DR55)</f>
        <v>0.53235499518883567</v>
      </c>
      <c r="DR5" s="45">
        <f>SUM(Oncor!DS55)</f>
        <v>0.53289731912352178</v>
      </c>
      <c r="DS5" s="45">
        <f>SUM(Oncor!DT55)</f>
        <v>0.53852042297636116</v>
      </c>
      <c r="DT5" s="45">
        <f>SUM(Oncor!DU55)</f>
        <v>0.53906469054949668</v>
      </c>
      <c r="DU5" s="45">
        <f>SUM(Oncor!DV55)</f>
        <v>0.54400535784306137</v>
      </c>
      <c r="DV5" s="45">
        <f>SUM(Oncor!DW55)</f>
        <v>0.54578748317283765</v>
      </c>
      <c r="DW5" s="45">
        <f>SUM(Oncor!DX55)</f>
        <v>0.54376231374131723</v>
      </c>
      <c r="DX5" s="45">
        <f>SUM(Oncor!DY55)</f>
        <v>0.54332851218186207</v>
      </c>
      <c r="DY5" s="45">
        <f>SUM(Oncor!DZ55)</f>
        <v>0.54542345377552948</v>
      </c>
      <c r="DZ5" s="45">
        <f>SUM(Oncor!EA55)</f>
        <v>0.54939917517933712</v>
      </c>
      <c r="EA5" s="45">
        <f>SUM(Oncor!EB55)</f>
        <v>0.55568564146629651</v>
      </c>
      <c r="EB5" s="45">
        <f>SUM(Oncor!EC55)</f>
        <v>0.56210828961908366</v>
      </c>
      <c r="EC5" s="45">
        <f>SUM(Oncor!ED55)</f>
        <v>0.56392698435865907</v>
      </c>
      <c r="ED5" s="45">
        <f>SUM(Oncor!EE55)</f>
        <v>0.56739205686550165</v>
      </c>
      <c r="EE5" s="45">
        <f>SUM(Oncor!EF55)</f>
        <v>0.56834638224070777</v>
      </c>
      <c r="EF5" s="45">
        <f>SUM(Oncor!EG55)</f>
        <v>0.57102682850880249</v>
      </c>
      <c r="EG5" s="45">
        <f>SUM(Oncor!EH55)</f>
        <v>0.5729961561110517</v>
      </c>
      <c r="EH5" s="45">
        <f>SUM(Oncor!EI55)</f>
        <v>0.57579429505379975</v>
      </c>
      <c r="EI5" s="45">
        <f>SUM(Oncor!EJ55)</f>
        <v>0.57252763267154461</v>
      </c>
      <c r="EJ5" s="45">
        <f>SUM(Oncor!EK55)</f>
        <v>0.57145429996719721</v>
      </c>
      <c r="EK5" s="45">
        <f>SUM(Oncor!EL55)</f>
        <v>0.57343530034137902</v>
      </c>
      <c r="EL5" s="45">
        <f>SUM(Oncor!EM55)</f>
        <v>0.57579578772783202</v>
      </c>
      <c r="EM5" s="45">
        <f>SUM(Oncor!EN55)</f>
        <v>0.58081837943394676</v>
      </c>
      <c r="EN5" s="45">
        <f>SUM(Oncor!EO55)</f>
        <v>0.58653597234810473</v>
      </c>
      <c r="EO5" s="45">
        <f>SUM(Oncor!EP55)</f>
        <v>0.59325524775970051</v>
      </c>
      <c r="EP5" s="45">
        <f>SUM(Oncor!EQ55)</f>
        <v>0.59337125317382933</v>
      </c>
      <c r="EQ5" s="45">
        <f>SUM(Oncor!ER55)</f>
        <v>0.59689654712977513</v>
      </c>
      <c r="ER5" s="45">
        <f>SUM(Oncor!ES55)</f>
        <v>0.59667189792715813</v>
      </c>
      <c r="ES5" s="45">
        <f>SUM(Oncor!ET55)</f>
        <v>0.59609359468145129</v>
      </c>
      <c r="ET5" s="45">
        <f>SUM(Oncor!EU55)</f>
        <v>0.59853652055350559</v>
      </c>
      <c r="EU5" s="45">
        <f>SUM(Oncor!EV55)</f>
        <v>0.59620265425955921</v>
      </c>
      <c r="EV5" s="45">
        <f>SUM(Oncor!EW55)</f>
        <v>0.59539915880377059</v>
      </c>
      <c r="EW5" s="45">
        <f>SUM(Oncor!EX55)</f>
        <v>0.59651584070562347</v>
      </c>
      <c r="EX5" s="45">
        <f>SUM(Oncor!EY55)</f>
        <v>0.59970106942428281</v>
      </c>
      <c r="EY5" s="45">
        <f>SUM(Oncor!EZ55)</f>
        <v>0.60539877973176448</v>
      </c>
      <c r="EZ5" s="45">
        <f>SUM(Oncor!FA55)</f>
        <v>0.6116481137408869</v>
      </c>
      <c r="FA5" s="45">
        <f>SUM(Oncor!FB55)</f>
        <v>0.6128074680815363</v>
      </c>
      <c r="FB5" s="45">
        <f>SUM(Oncor!FC55)</f>
        <v>0.6161194708435237</v>
      </c>
      <c r="FC5" s="45">
        <f>SUM(Oncor!FD55)</f>
        <v>0.61688895928449372</v>
      </c>
      <c r="FD5" s="45">
        <f>SUM(Oncor!FE55)</f>
        <v>0.61940973879172823</v>
      </c>
      <c r="FE5" s="45">
        <f>SUM(Oncor!FF55)</f>
        <v>0.61667824957519579</v>
      </c>
      <c r="FF5" s="45">
        <f>SUM(Oncor!FG55)</f>
        <v>0.61895420026469927</v>
      </c>
      <c r="FG5" s="45">
        <f>SUM(Oncor!FH55)</f>
        <v>0.61800998232030524</v>
      </c>
      <c r="FH5" s="45">
        <f>SUM(Oncor!FI55)</f>
        <v>0.61537719537392854</v>
      </c>
      <c r="FI5" s="45">
        <f>SUM(Oncor!FJ55)</f>
        <v>0.61470043430517207</v>
      </c>
      <c r="FJ5" s="45">
        <f>SUM(Oncor!FK55)</f>
        <v>0.61748194182563243</v>
      </c>
      <c r="FK5" s="45">
        <f>SUM(Oncor!FL55)</f>
        <v>0.62182289780382771</v>
      </c>
      <c r="FL5" s="45">
        <f>SUM(Oncor!FM55)</f>
        <v>0.62785620231494754</v>
      </c>
      <c r="FM5" s="45">
        <f>SUM(Oncor!FN55)</f>
        <v>0.63012359899726245</v>
      </c>
      <c r="FN5" s="45">
        <f>SUM(Oncor!FO55)</f>
        <v>0.63323814467690243</v>
      </c>
      <c r="FO5" s="45">
        <f>SUM(Oncor!FP55)</f>
        <v>0.63549845717086406</v>
      </c>
      <c r="FP5" s="45">
        <f>SUM(Oncor!FQ55)</f>
        <v>0.63475723088974301</v>
      </c>
      <c r="FQ5" s="45">
        <f>SUM(Oncor!FR55)</f>
        <v>0.636053701037815</v>
      </c>
      <c r="FR5" s="45">
        <f>SUM(Oncor!FS55)</f>
        <v>0.63949493362518917</v>
      </c>
      <c r="FS5" s="45">
        <f>SUM(Oncor!FT55)</f>
        <v>0.6376182121137115</v>
      </c>
    </row>
    <row r="6" spans="1:175" x14ac:dyDescent="0.25">
      <c r="A6" s="44" t="s">
        <v>23</v>
      </c>
      <c r="B6" s="45">
        <f>SUM(Centerpoint!C55)</f>
        <v>3.4191421306644459E-2</v>
      </c>
      <c r="C6" s="45">
        <f>SUM(Centerpoint!D55)</f>
        <v>3.5855830906976839E-2</v>
      </c>
      <c r="D6" s="45">
        <f>SUM(Centerpoint!E55)</f>
        <v>3.6091869821353172E-2</v>
      </c>
      <c r="E6" s="45">
        <f>SUM(Centerpoint!F55)</f>
        <v>3.8472076052314071E-2</v>
      </c>
      <c r="F6" s="45">
        <f>SUM(Centerpoint!G55)</f>
        <v>4.3441396057014608E-2</v>
      </c>
      <c r="G6" s="45">
        <f>SUM(Centerpoint!H55)</f>
        <v>5.7948192295404155E-2</v>
      </c>
      <c r="H6" s="45">
        <f>SUM(Centerpoint!I55)</f>
        <v>6.7116011285120389E-2</v>
      </c>
      <c r="I6" s="45">
        <f>SUM(Centerpoint!J55)</f>
        <v>7.491363870623613E-2</v>
      </c>
      <c r="J6" s="45">
        <f>SUM(Centerpoint!K55)</f>
        <v>8.6116516991799549E-2</v>
      </c>
      <c r="K6" s="45">
        <f>SUM(Centerpoint!L55)</f>
        <v>9.2547167070330408E-2</v>
      </c>
      <c r="L6" s="45">
        <f>SUM(Centerpoint!M55)</f>
        <v>9.5538700254133663E-2</v>
      </c>
      <c r="M6" s="45">
        <f>SUM(Centerpoint!N55)</f>
        <v>9.8163083860282274E-2</v>
      </c>
      <c r="N6" s="45">
        <f>SUM(Centerpoint!O55)</f>
        <v>0.10220818298428377</v>
      </c>
      <c r="O6" s="45">
        <f>SUM(Centerpoint!P55)</f>
        <v>0.10524251430167779</v>
      </c>
      <c r="P6" s="45">
        <f>SUM(Centerpoint!Q55)</f>
        <v>0.10866674454441864</v>
      </c>
      <c r="Q6" s="45">
        <f>SUM(Centerpoint!R55)</f>
        <v>0.10777653804451696</v>
      </c>
      <c r="R6" s="45">
        <f>SUM(Centerpoint!S55)</f>
        <v>0.10795866530018938</v>
      </c>
      <c r="S6" s="45">
        <f>SUM(Centerpoint!T55)</f>
        <v>0.10854805711687394</v>
      </c>
      <c r="T6" s="45">
        <f>SUM(Centerpoint!U55)</f>
        <v>0.11147621651688691</v>
      </c>
      <c r="U6" s="45">
        <f>SUM(Centerpoint!V55)</f>
        <v>0.11494510497870161</v>
      </c>
      <c r="V6" s="45">
        <f>SUM(Centerpoint!W55)</f>
        <v>0.12060902879902112</v>
      </c>
      <c r="W6" s="45">
        <f>SUM(Centerpoint!X55)</f>
        <v>0.12680281792565032</v>
      </c>
      <c r="X6" s="45">
        <f>SUM(Centerpoint!Y55)</f>
        <v>0.13436555607225109</v>
      </c>
      <c r="Y6" s="45">
        <f>SUM(Centerpoint!Z55)</f>
        <v>0.13978060955502472</v>
      </c>
      <c r="Z6" s="45">
        <f>SUM(Centerpoint!AA55)</f>
        <v>0.13728552203990069</v>
      </c>
      <c r="AA6" s="45">
        <f>SUM(Centerpoint!AB55)</f>
        <v>0.1439824884851014</v>
      </c>
      <c r="AB6" s="45">
        <f>SUM(Centerpoint!AC55)</f>
        <v>0.14753961965812454</v>
      </c>
      <c r="AC6" s="45">
        <f>SUM(Centerpoint!AD55)</f>
        <v>0.15176570715198584</v>
      </c>
      <c r="AD6" s="45">
        <f>SUM(Centerpoint!AE55)</f>
        <v>0.15561043656808557</v>
      </c>
      <c r="AE6" s="45">
        <f>SUM(Centerpoint!AF55)</f>
        <v>0.16105670406694184</v>
      </c>
      <c r="AF6" s="45">
        <f>SUM(Centerpoint!AG55)</f>
        <v>0.16736360587848256</v>
      </c>
      <c r="AG6" s="45">
        <f>SUM(Centerpoint!AH55)</f>
        <v>0.17472838579460268</v>
      </c>
      <c r="AH6" s="45">
        <f>SUM(Centerpoint!AI55)</f>
        <v>0.1834631649505119</v>
      </c>
      <c r="AI6" s="45">
        <f>SUM(Centerpoint!AJ55)</f>
        <v>0.19059276306781545</v>
      </c>
      <c r="AJ6" s="45">
        <f>SUM(Centerpoint!AK55)</f>
        <v>0.19727334548706907</v>
      </c>
      <c r="AK6" s="45">
        <f>SUM(Centerpoint!AL55)</f>
        <v>0.20413866484133758</v>
      </c>
      <c r="AL6" s="45">
        <f>SUM(Centerpoint!AM55)</f>
        <v>0.2099397932523667</v>
      </c>
      <c r="AM6" s="45">
        <f>SUM(Centerpoint!AN55)</f>
        <v>0.21667015473124074</v>
      </c>
      <c r="AN6" s="45">
        <f>SUM(Centerpoint!AO55)</f>
        <v>0.22262774236454988</v>
      </c>
      <c r="AO6" s="45">
        <f>SUM(Centerpoint!AP55)</f>
        <v>0.22864956782461199</v>
      </c>
      <c r="AP6" s="45">
        <f>SUM(Centerpoint!AQ55)</f>
        <v>0.23551576557366957</v>
      </c>
      <c r="AQ6" s="45">
        <f>SUM(Centerpoint!AR55)</f>
        <v>0.24085877545473858</v>
      </c>
      <c r="AR6" s="45">
        <f>SUM(Centerpoint!AS55)</f>
        <v>0.24743105048476799</v>
      </c>
      <c r="AS6" s="45">
        <f>SUM(Centerpoint!AT55)</f>
        <v>0.25917143976597939</v>
      </c>
      <c r="AT6" s="45">
        <f>SUM(Centerpoint!AU55)</f>
        <v>0.27297834909365831</v>
      </c>
      <c r="AU6" s="45">
        <f>SUM(Centerpoint!AV55)</f>
        <v>0.28677174236576397</v>
      </c>
      <c r="AV6" s="45">
        <f>SUM(Centerpoint!AW55)</f>
        <v>0.29987498997448919</v>
      </c>
      <c r="AW6" s="45">
        <f>SUM(Centerpoint!AX55)</f>
        <v>0.30446862309074441</v>
      </c>
      <c r="AX6" s="45">
        <f>SUM(Centerpoint!AY55)</f>
        <v>0.30738645694873112</v>
      </c>
      <c r="AY6" s="45">
        <f>SUM(Centerpoint!AZ55)</f>
        <v>0.30805679058113405</v>
      </c>
      <c r="AZ6" s="45">
        <f>SUM(Centerpoint!BA55)</f>
        <v>0.31089920777553454</v>
      </c>
      <c r="BA6" s="45">
        <f>SUM(Centerpoint!BB55)</f>
        <v>0.31638393827684858</v>
      </c>
      <c r="BB6" s="45">
        <f>SUM(Centerpoint!BC55)</f>
        <v>0.32090708647833399</v>
      </c>
      <c r="BC6" s="45">
        <f>SUM(Centerpoint!BD55)</f>
        <v>0.32780940178492068</v>
      </c>
      <c r="BD6" s="45">
        <f>SUM(Centerpoint!BE55)</f>
        <v>0.34072208351290878</v>
      </c>
      <c r="BE6" s="45">
        <f>SUM(Centerpoint!BF55)</f>
        <v>0.34917751428538246</v>
      </c>
      <c r="BF6" s="45">
        <f>SUM(Centerpoint!BG55)</f>
        <v>0.36043143439250303</v>
      </c>
      <c r="BG6" s="45">
        <f>SUM(Centerpoint!BH55)</f>
        <v>0.37054401687234484</v>
      </c>
      <c r="BH6" s="45">
        <f>SUM(Centerpoint!BI55)</f>
        <v>0.38027606552077897</v>
      </c>
      <c r="BI6" s="45">
        <f>SUM(Centerpoint!BJ55)</f>
        <v>0.38798887469903015</v>
      </c>
      <c r="BJ6" s="45">
        <f>SUM(Centerpoint!BK55)</f>
        <v>0.39445080169335278</v>
      </c>
      <c r="BK6" s="45">
        <f>SUM(Centerpoint!BL55)</f>
        <v>0.39900400613538756</v>
      </c>
      <c r="BL6" s="45">
        <f>SUM(Centerpoint!BM55)</f>
        <v>0.40566311407508981</v>
      </c>
      <c r="BM6" s="45">
        <f>SUM(Centerpoint!BN55)</f>
        <v>0.4121009923777525</v>
      </c>
      <c r="BN6" s="45">
        <f>SUM(Centerpoint!BO55)</f>
        <v>0.4158537651312067</v>
      </c>
      <c r="BO6" s="45">
        <f>SUM(Centerpoint!BP55)</f>
        <v>0.41829333832486992</v>
      </c>
      <c r="BP6" s="45">
        <f>SUM(Centerpoint!BQ55)</f>
        <v>0.41980317269754969</v>
      </c>
      <c r="BQ6" s="45">
        <f>SUM(Centerpoint!BR55)</f>
        <v>0.42163291103612183</v>
      </c>
      <c r="BR6" s="45">
        <f>SUM(Centerpoint!BS55)</f>
        <v>0.42714807191724985</v>
      </c>
      <c r="BS6" s="45">
        <f>SUM(Centerpoint!BT55)</f>
        <v>0.43390868829798807</v>
      </c>
      <c r="BT6" s="45">
        <f>SUM(Centerpoint!BU55)</f>
        <v>0.44118426092754232</v>
      </c>
      <c r="BU6" s="45">
        <f>SUM(Centerpoint!BV55)</f>
        <v>0.45159551153498151</v>
      </c>
      <c r="BV6" s="45">
        <f>SUM(Centerpoint!BW55)</f>
        <v>0.45490229237393137</v>
      </c>
      <c r="BW6" s="45">
        <f>SUM(Centerpoint!BX55)</f>
        <v>0.45920397693906129</v>
      </c>
      <c r="BX6" s="45">
        <f>SUM(Centerpoint!BY55)</f>
        <v>0.46443932226202733</v>
      </c>
      <c r="BY6" s="45">
        <f>SUM(Centerpoint!BZ55)</f>
        <v>0.47174291897788373</v>
      </c>
      <c r="BZ6" s="45">
        <f>SUM(Centerpoint!CA55)</f>
        <v>0.47623156785766563</v>
      </c>
      <c r="CA6" s="45">
        <f>SUM(Centerpoint!CB55)</f>
        <v>0.47443990738097419</v>
      </c>
      <c r="CB6" s="45">
        <f>SUM(Centerpoint!CC55)</f>
        <v>0.46485097907403106</v>
      </c>
      <c r="CC6" s="45">
        <f>SUM(Centerpoint!CD55)</f>
        <v>0.46092551443321722</v>
      </c>
      <c r="CD6" s="45">
        <f>SUM(Centerpoint!CE55)</f>
        <v>0.46095508365718113</v>
      </c>
      <c r="CE6" s="45">
        <f>SUM(Centerpoint!CF55)</f>
        <v>0.47222766572068253</v>
      </c>
      <c r="CF6" s="45">
        <f>SUM(Centerpoint!CG55)</f>
        <v>0.47030975840961775</v>
      </c>
      <c r="CG6" s="45">
        <f>SUM(Centerpoint!CH55)</f>
        <v>0.4766190102131912</v>
      </c>
      <c r="CH6" s="45">
        <f>SUM(Centerpoint!CI55)</f>
        <v>0.4802508200028498</v>
      </c>
      <c r="CI6" s="45">
        <f>SUM(Centerpoint!CJ55)</f>
        <v>0.48334674604363487</v>
      </c>
      <c r="CJ6" s="45">
        <f>SUM(Centerpoint!CK55)</f>
        <v>0.48771210527414255</v>
      </c>
      <c r="CK6" s="45">
        <f>SUM(Centerpoint!CL55)</f>
        <v>0.49297366683424121</v>
      </c>
      <c r="CL6" s="45">
        <f>SUM(Centerpoint!CM55)</f>
        <v>0.49765817068374862</v>
      </c>
      <c r="CM6" s="45">
        <f>SUM(Centerpoint!CN55)</f>
        <v>0.49840792077936008</v>
      </c>
      <c r="CN6" s="45">
        <f>SUM(Centerpoint!CO55)</f>
        <v>0.49867207413197018</v>
      </c>
      <c r="CO6" s="45">
        <f>SUM(Centerpoint!CP55)</f>
        <v>0.50300224158983586</v>
      </c>
      <c r="CP6" s="45">
        <f>SUM(Centerpoint!CQ55)</f>
        <v>0.51066497935600041</v>
      </c>
      <c r="CQ6" s="45">
        <f>SUM(Centerpoint!CR55)</f>
        <v>0.52023729397576524</v>
      </c>
      <c r="CR6" s="45">
        <f>SUM(Centerpoint!CS55)</f>
        <v>0.52867689531863415</v>
      </c>
      <c r="CS6" s="45">
        <f>SUM(Centerpoint!CT55)</f>
        <v>0.53633377601529231</v>
      </c>
      <c r="CT6" s="45">
        <f>SUM(Centerpoint!CU55)</f>
        <v>0.53891618000439012</v>
      </c>
      <c r="CU6" s="45">
        <f>SUM(Centerpoint!CV55)</f>
        <v>0.54182745442069025</v>
      </c>
      <c r="CV6" s="45">
        <f>SUM(Centerpoint!CW55)</f>
        <v>0.5445724065793236</v>
      </c>
      <c r="CW6" s="45">
        <f>SUM(Centerpoint!CX55)</f>
        <v>0.5475189784400607</v>
      </c>
      <c r="CX6" s="45">
        <f>SUM(Centerpoint!CY55)</f>
        <v>0.55032274623018107</v>
      </c>
      <c r="CY6" s="45">
        <f>SUM(Centerpoint!CZ55)</f>
        <v>0.54924803463146721</v>
      </c>
      <c r="CZ6" s="45">
        <f>SUM(Centerpoint!DA55)</f>
        <v>0.54950100107050892</v>
      </c>
      <c r="DA6" s="45">
        <f>SUM(Centerpoint!DB55)</f>
        <v>0.55382877861268909</v>
      </c>
      <c r="DB6" s="45">
        <f>SUM(Centerpoint!DC55)</f>
        <v>0.55767704448218092</v>
      </c>
      <c r="DC6" s="45">
        <f>SUM(Centerpoint!DD55)</f>
        <v>0.56223642785628758</v>
      </c>
      <c r="DD6" s="45">
        <f>SUM(Centerpoint!DE55)</f>
        <v>0.56907363263951216</v>
      </c>
      <c r="DE6" s="45">
        <f>SUM(Centerpoint!DF55)</f>
        <v>0.57315996617863785</v>
      </c>
      <c r="DF6" s="45">
        <f>SUM(Centerpoint!DG55)</f>
        <v>0.57486363013995079</v>
      </c>
      <c r="DG6" s="45">
        <f>SUM(Centerpoint!DH55)</f>
        <v>0.57615708928304776</v>
      </c>
      <c r="DH6" s="45">
        <f>SUM(Centerpoint!DI55)</f>
        <v>0.57760093260845746</v>
      </c>
      <c r="DI6" s="45">
        <f>SUM(Centerpoint!DJ55)</f>
        <v>0.57898926703122022</v>
      </c>
      <c r="DJ6" s="45">
        <f>SUM(Centerpoint!DK55)</f>
        <v>0.57907756257784748</v>
      </c>
      <c r="DK6" s="45">
        <f>SUM(Centerpoint!DL55)</f>
        <v>0.57633696294057901</v>
      </c>
      <c r="DL6" s="45">
        <f>SUM(Centerpoint!DM55)</f>
        <v>0.57338583591881409</v>
      </c>
      <c r="DM6" s="45">
        <f>SUM(Centerpoint!DN55)</f>
        <v>0.57385403947990576</v>
      </c>
      <c r="DN6" s="45">
        <f>SUM(Centerpoint!DO55)</f>
        <v>0.57494998854402479</v>
      </c>
      <c r="DO6" s="45">
        <f>SUM(Centerpoint!DP55)</f>
        <v>0.57566268576428525</v>
      </c>
      <c r="DP6" s="45">
        <f>SUM(Centerpoint!DQ55)</f>
        <v>0.58157089291794473</v>
      </c>
      <c r="DQ6" s="45">
        <f>SUM(Centerpoint!DR55)</f>
        <v>0.58687944839561834</v>
      </c>
      <c r="DR6" s="45">
        <f>SUM(Centerpoint!DS55)</f>
        <v>0.58755460605963483</v>
      </c>
      <c r="DS6" s="45">
        <f>SUM(Centerpoint!DT55)</f>
        <v>0.58816636914509035</v>
      </c>
      <c r="DT6" s="45">
        <f>SUM(Centerpoint!DU55)</f>
        <v>0.59170909878310884</v>
      </c>
      <c r="DU6" s="45">
        <f>SUM(Centerpoint!DV55)</f>
        <v>0.59496519045693119</v>
      </c>
      <c r="DV6" s="45">
        <f>SUM(Centerpoint!DW55)</f>
        <v>0.59582687450239824</v>
      </c>
      <c r="DW6" s="45">
        <f>SUM(Centerpoint!DX55)</f>
        <v>0.59525277336730409</v>
      </c>
      <c r="DX6" s="45">
        <f>SUM(Centerpoint!DY55)</f>
        <v>0.59563272019095492</v>
      </c>
      <c r="DY6" s="45">
        <f>SUM(Centerpoint!DZ55)</f>
        <v>0.59642911003897381</v>
      </c>
      <c r="DZ6" s="45">
        <f>SUM(Centerpoint!EA55)</f>
        <v>0.59590677355935751</v>
      </c>
      <c r="EA6" s="45">
        <f>SUM(Centerpoint!EB55)</f>
        <v>0.59956453187443359</v>
      </c>
      <c r="EB6" s="45">
        <f>SUM(Centerpoint!EC55)</f>
        <v>0.60542392217810059</v>
      </c>
      <c r="EC6" s="45">
        <f>SUM(Centerpoint!ED55)</f>
        <v>0.61066909238441036</v>
      </c>
      <c r="ED6" s="45">
        <f>SUM(Centerpoint!EE55)</f>
        <v>0.61349487990892759</v>
      </c>
      <c r="EE6" s="45">
        <f>SUM(Centerpoint!EF55)</f>
        <v>0.61402984559537999</v>
      </c>
      <c r="EF6" s="45">
        <f>SUM(Centerpoint!EG55)</f>
        <v>0.61653100565106844</v>
      </c>
      <c r="EG6" s="45">
        <f>SUM(Centerpoint!EH55)</f>
        <v>0.62042837111207028</v>
      </c>
      <c r="EH6" s="45">
        <f>SUM(Centerpoint!EI55)</f>
        <v>0.62274794686752399</v>
      </c>
      <c r="EI6" s="45">
        <f>SUM(Centerpoint!EJ55)</f>
        <v>0.62121361114380436</v>
      </c>
      <c r="EJ6" s="45">
        <f>SUM(Centerpoint!EK55)</f>
        <v>0.61787773786027567</v>
      </c>
      <c r="EK6" s="45">
        <f>SUM(Centerpoint!EL55)</f>
        <v>0.6177987164581612</v>
      </c>
      <c r="EL6" s="45">
        <f>SUM(Centerpoint!EM55)</f>
        <v>0.61865652936140569</v>
      </c>
      <c r="EM6" s="45">
        <f>SUM(Centerpoint!EN55)</f>
        <v>0.62125302593292508</v>
      </c>
      <c r="EN6" s="45">
        <f>SUM(Centerpoint!EO55)</f>
        <v>0.62672762313875274</v>
      </c>
      <c r="EO6" s="45">
        <f>SUM(Centerpoint!EP55)</f>
        <v>0.63231141393658041</v>
      </c>
      <c r="EP6" s="45">
        <f>SUM(Centerpoint!EQ55)</f>
        <v>0.63227047466145603</v>
      </c>
      <c r="EQ6" s="45">
        <f>SUM(Centerpoint!ER55)</f>
        <v>0.63294995980101199</v>
      </c>
      <c r="ER6" s="45">
        <f>SUM(Centerpoint!ES55)</f>
        <v>0.63511136992952788</v>
      </c>
      <c r="ES6" s="45">
        <f>SUM(Centerpoint!ET55)</f>
        <v>0.63613293298328955</v>
      </c>
      <c r="ET6" s="45">
        <f>SUM(Centerpoint!EU55)</f>
        <v>0.63843459645130129</v>
      </c>
      <c r="EU6" s="45">
        <f>SUM(Centerpoint!EV55)</f>
        <v>0.63582089547116438</v>
      </c>
      <c r="EV6" s="45">
        <f>SUM(Centerpoint!EW55)</f>
        <v>0.63399486625883905</v>
      </c>
      <c r="EW6" s="45">
        <f>SUM(Centerpoint!EX55)</f>
        <v>0.6337463749988812</v>
      </c>
      <c r="EX6" s="45">
        <f>SUM(Centerpoint!EY55)</f>
        <v>0.63516987024695215</v>
      </c>
      <c r="EY6" s="45">
        <f>SUM(Centerpoint!EZ55)</f>
        <v>0.63812820207523002</v>
      </c>
      <c r="EZ6" s="45">
        <f>SUM(Centerpoint!FA55)</f>
        <v>0.64366816321528397</v>
      </c>
      <c r="FA6" s="45">
        <f>SUM(Centerpoint!FB55)</f>
        <v>0.64898362700568102</v>
      </c>
      <c r="FB6" s="45">
        <f>SUM(Centerpoint!FC55)</f>
        <v>0.65045013547529318</v>
      </c>
      <c r="FC6" s="45">
        <f>SUM(Centerpoint!FD55)</f>
        <v>0.65172296739321867</v>
      </c>
      <c r="FD6" s="45">
        <f>SUM(Centerpoint!FE55)</f>
        <v>0.65466492976327229</v>
      </c>
      <c r="FE6" s="45">
        <f>SUM(Centerpoint!FF55)</f>
        <v>0.65577691686873874</v>
      </c>
      <c r="FF6" s="45">
        <f>SUM(Centerpoint!FG55)</f>
        <v>0.65622785060176725</v>
      </c>
      <c r="FG6" s="45">
        <f>SUM(Centerpoint!FH55)</f>
        <v>0.65406451665827081</v>
      </c>
      <c r="FH6" s="45">
        <f>SUM(Centerpoint!FI55)</f>
        <v>0.65155035321593269</v>
      </c>
      <c r="FI6" s="45">
        <f>SUM(Centerpoint!FJ55)</f>
        <v>0.65002112295395109</v>
      </c>
      <c r="FJ6" s="45">
        <f>SUM(Centerpoint!FK55)</f>
        <v>0.65233268183193271</v>
      </c>
      <c r="FK6" s="45">
        <f>SUM(Centerpoint!FL55)</f>
        <v>0.65679109777153166</v>
      </c>
      <c r="FL6" s="45">
        <f>SUM(Centerpoint!FM55)</f>
        <v>0.66121220273556347</v>
      </c>
      <c r="FM6" s="45">
        <f>SUM(Centerpoint!FN55)</f>
        <v>0.66529488701937001</v>
      </c>
      <c r="FN6" s="45">
        <f>SUM(Centerpoint!FO55)</f>
        <v>0.66619564897712857</v>
      </c>
      <c r="FO6" s="45">
        <f>SUM(Centerpoint!FP55)</f>
        <v>0.66539934334800455</v>
      </c>
      <c r="FP6" s="45">
        <f>SUM(Centerpoint!FQ55)</f>
        <v>0.66794941581083977</v>
      </c>
      <c r="FQ6" s="45">
        <f>SUM(Centerpoint!FR55)</f>
        <v>0.66917252442072261</v>
      </c>
      <c r="FR6" s="45">
        <f>SUM(Centerpoint!FS55)</f>
        <v>0.66960742001875695</v>
      </c>
      <c r="FS6" s="45">
        <f>SUM(Centerpoint!FT55)</f>
        <v>0.66679806098029459</v>
      </c>
    </row>
    <row r="7" spans="1:175" x14ac:dyDescent="0.25">
      <c r="A7" s="44" t="s">
        <v>74</v>
      </c>
      <c r="B7" s="45">
        <f>SUM('AEP Central'!C55)</f>
        <v>7.4329361833223792E-3</v>
      </c>
      <c r="C7" s="45">
        <f>SUM('AEP Central'!D55)</f>
        <v>6.7603676511277608E-3</v>
      </c>
      <c r="D7" s="45">
        <f>SUM('AEP Central'!E55)</f>
        <v>7.2441118827242523E-3</v>
      </c>
      <c r="E7" s="45">
        <f>SUM('AEP Central'!F55)</f>
        <v>8.6568777190560199E-3</v>
      </c>
      <c r="F7" s="45">
        <f>SUM('AEP Central'!G55)</f>
        <v>9.3339573589283145E-3</v>
      </c>
      <c r="G7" s="45">
        <f>SUM('AEP Central'!H55)</f>
        <v>1.0736285602190873E-2</v>
      </c>
      <c r="H7" s="45">
        <f>SUM('AEP Central'!I55)</f>
        <v>1.2865669494057071E-2</v>
      </c>
      <c r="I7" s="45">
        <f>SUM('AEP Central'!J55)</f>
        <v>1.4920040406846517E-2</v>
      </c>
      <c r="J7" s="45">
        <f>SUM('AEP Central'!K55)</f>
        <v>2.1778740977879931E-2</v>
      </c>
      <c r="K7" s="45">
        <f>SUM('AEP Central'!L55)</f>
        <v>3.8518667299335702E-2</v>
      </c>
      <c r="L7" s="45">
        <f>SUM('AEP Central'!M55)</f>
        <v>4.1563732848812499E-2</v>
      </c>
      <c r="M7" s="45">
        <f>SUM('AEP Central'!N55)</f>
        <v>4.4074223192549965E-2</v>
      </c>
      <c r="N7" s="45">
        <f>SUM('AEP Central'!O55)</f>
        <v>5.4924879188506213E-2</v>
      </c>
      <c r="O7" s="45">
        <f>SUM('AEP Central'!P55)</f>
        <v>6.4706352661081851E-2</v>
      </c>
      <c r="P7" s="45">
        <f>SUM('AEP Central'!Q55)</f>
        <v>7.4630049880490726E-2</v>
      </c>
      <c r="Q7" s="45">
        <f>SUM('AEP Central'!R55)</f>
        <v>8.7129785464182777E-2</v>
      </c>
      <c r="R7" s="45">
        <f>SUM('AEP Central'!S55)</f>
        <v>0.1017356813742302</v>
      </c>
      <c r="S7" s="45">
        <f>SUM('AEP Central'!T55)</f>
        <v>0.11467971067284176</v>
      </c>
      <c r="T7" s="45">
        <f>SUM('AEP Central'!U55)</f>
        <v>0.1310723098294089</v>
      </c>
      <c r="U7" s="45">
        <f>SUM('AEP Central'!V55)</f>
        <v>0.14542680425174254</v>
      </c>
      <c r="V7" s="45">
        <f>SUM('AEP Central'!W55)</f>
        <v>0.15848353014294592</v>
      </c>
      <c r="W7" s="45">
        <f>SUM('AEP Central'!X55)</f>
        <v>0.17998112060601101</v>
      </c>
      <c r="X7" s="45">
        <f>SUM('AEP Central'!Y55)</f>
        <v>0.19119824407930577</v>
      </c>
      <c r="Y7" s="45">
        <f>SUM('AEP Central'!Z55)</f>
        <v>0.20152112523570223</v>
      </c>
      <c r="Z7" s="45">
        <f>SUM('AEP Central'!AA55)</f>
        <v>0.19975730584070178</v>
      </c>
      <c r="AA7" s="45">
        <f>SUM('AEP Central'!AB55)</f>
        <v>0.20078041994389537</v>
      </c>
      <c r="AB7" s="45">
        <f>SUM('AEP Central'!AC55)</f>
        <v>0.20820691463460314</v>
      </c>
      <c r="AC7" s="45">
        <f>SUM('AEP Central'!AD55)</f>
        <v>0.21433393519110316</v>
      </c>
      <c r="AD7" s="45">
        <f>SUM('AEP Central'!AE55)</f>
        <v>0.22259434424807464</v>
      </c>
      <c r="AE7" s="45">
        <f>SUM('AEP Central'!AF55)</f>
        <v>0.22655029452527389</v>
      </c>
      <c r="AF7" s="45">
        <f>SUM('AEP Central'!AG55)</f>
        <v>0.23593359063302566</v>
      </c>
      <c r="AG7" s="45">
        <f>SUM('AEP Central'!AH55)</f>
        <v>0.24194819249823368</v>
      </c>
      <c r="AH7" s="45">
        <f>SUM('AEP Central'!AI55)</f>
        <v>0.25354970990241643</v>
      </c>
      <c r="AI7" s="45">
        <f>SUM('AEP Central'!AJ55)</f>
        <v>0.26308297217373106</v>
      </c>
      <c r="AJ7" s="45">
        <f>SUM('AEP Central'!AK55)</f>
        <v>0.27040758835846246</v>
      </c>
      <c r="AK7" s="45">
        <f>SUM('AEP Central'!AL55)</f>
        <v>0.27318395822164843</v>
      </c>
      <c r="AL7" s="45">
        <f>SUM('AEP Central'!AM55)</f>
        <v>0.27702831944981859</v>
      </c>
      <c r="AM7" s="45">
        <f>SUM('AEP Central'!AN55)</f>
        <v>0.2803609633751285</v>
      </c>
      <c r="AN7" s="45">
        <f>SUM('AEP Central'!AO55)</f>
        <v>0.28553286214006546</v>
      </c>
      <c r="AO7" s="45">
        <f>SUM('AEP Central'!AP55)</f>
        <v>0.28946810251313532</v>
      </c>
      <c r="AP7" s="45">
        <f>SUM('AEP Central'!AQ55)</f>
        <v>0.2953980984354147</v>
      </c>
      <c r="AQ7" s="45">
        <f>SUM('AEP Central'!AR55)</f>
        <v>0.29479703982732719</v>
      </c>
      <c r="AR7" s="45">
        <f>SUM('AEP Central'!AS55)</f>
        <v>0.2963985263263223</v>
      </c>
      <c r="AS7" s="45">
        <f>SUM('AEP Central'!AT55)</f>
        <v>0.30592075816840836</v>
      </c>
      <c r="AT7" s="45">
        <f>SUM('AEP Central'!AU55)</f>
        <v>0.31323384965662926</v>
      </c>
      <c r="AU7" s="45">
        <f>SUM('AEP Central'!AV55)</f>
        <v>0.32343704025488745</v>
      </c>
      <c r="AV7" s="45">
        <f>SUM('AEP Central'!AW55)</f>
        <v>0.32832323341420983</v>
      </c>
      <c r="AW7" s="45">
        <f>SUM('AEP Central'!AX55)</f>
        <v>0.33015321704464767</v>
      </c>
      <c r="AX7" s="45">
        <f>SUM('AEP Central'!AY55)</f>
        <v>0.33571539136267481</v>
      </c>
      <c r="AY7" s="45">
        <f>SUM('AEP Central'!AZ55)</f>
        <v>0.3386141508115047</v>
      </c>
      <c r="AZ7" s="45">
        <f>SUM('AEP Central'!BA55)</f>
        <v>0.34254954906018431</v>
      </c>
      <c r="BA7" s="45">
        <f>SUM('AEP Central'!BB55)</f>
        <v>0.35243693175520996</v>
      </c>
      <c r="BB7" s="45">
        <f>SUM('AEP Central'!BC55)</f>
        <v>0.36025406036682411</v>
      </c>
      <c r="BC7" s="45">
        <f>SUM('AEP Central'!BD55)</f>
        <v>0.36923843506050941</v>
      </c>
      <c r="BD7" s="45">
        <f>SUM('AEP Central'!BE55)</f>
        <v>0.37855114450278821</v>
      </c>
      <c r="BE7" s="45">
        <f>SUM('AEP Central'!BF55)</f>
        <v>0.38881764119528328</v>
      </c>
      <c r="BF7" s="45">
        <f>SUM('AEP Central'!BG55)</f>
        <v>0.39521285725311217</v>
      </c>
      <c r="BG7" s="45">
        <f>SUM('AEP Central'!BH55)</f>
        <v>0.40832169208989227</v>
      </c>
      <c r="BH7" s="45">
        <f>SUM('AEP Central'!BI55)</f>
        <v>0.4138217199582892</v>
      </c>
      <c r="BI7" s="45">
        <f>SUM('AEP Central'!BJ55)</f>
        <v>0.41724830557924503</v>
      </c>
      <c r="BJ7" s="45">
        <f>SUM('AEP Central'!BK55)</f>
        <v>0.42123900813730175</v>
      </c>
      <c r="BK7" s="45">
        <f>SUM('AEP Central'!BL55)</f>
        <v>0.42468161609720673</v>
      </c>
      <c r="BL7" s="45">
        <f>SUM('AEP Central'!BM55)</f>
        <v>0.42835601946278401</v>
      </c>
      <c r="BM7" s="45">
        <f>SUM('AEP Central'!BN55)</f>
        <v>0.43765284629846907</v>
      </c>
      <c r="BN7" s="45">
        <f>SUM('AEP Central'!BO55)</f>
        <v>0.44679576026085771</v>
      </c>
      <c r="BO7" s="45">
        <f>SUM('AEP Central'!BP55)</f>
        <v>0.45307474967589245</v>
      </c>
      <c r="BP7" s="45">
        <f>SUM('AEP Central'!BQ55)</f>
        <v>0.45815078321660535</v>
      </c>
      <c r="BQ7" s="45">
        <f>SUM('AEP Central'!BR55)</f>
        <v>0.46646415059676016</v>
      </c>
      <c r="BR7" s="45">
        <f>SUM('AEP Central'!BS55)</f>
        <v>0.47296194047382639</v>
      </c>
      <c r="BS7" s="45">
        <f>SUM('AEP Central'!BT55)</f>
        <v>0.48254057879653944</v>
      </c>
      <c r="BT7" s="45">
        <f>SUM('AEP Central'!BU55)</f>
        <v>0.48928038696287157</v>
      </c>
      <c r="BU7" s="45">
        <f>SUM('AEP Central'!BV55)</f>
        <v>0.49246758691597803</v>
      </c>
      <c r="BV7" s="45">
        <f>SUM('AEP Central'!BW55)</f>
        <v>0.49527418756726932</v>
      </c>
      <c r="BW7" s="45">
        <f>SUM('AEP Central'!BX55)</f>
        <v>0.50225822346267746</v>
      </c>
      <c r="BX7" s="45">
        <f>SUM('AEP Central'!BY55)</f>
        <v>0.51103559844241575</v>
      </c>
      <c r="BY7" s="45">
        <f>SUM('AEP Central'!BZ55)</f>
        <v>0.52089874074355236</v>
      </c>
      <c r="BZ7" s="45">
        <f>SUM('AEP Central'!CA55)</f>
        <v>0.52985481306282911</v>
      </c>
      <c r="CA7" s="45">
        <f>SUM('AEP Central'!CB55)</f>
        <v>0.5395724132979105</v>
      </c>
      <c r="CB7" s="45">
        <f>SUM('AEP Central'!CC55)</f>
        <v>0.54810347632734968</v>
      </c>
      <c r="CC7" s="45">
        <f>SUM('AEP Central'!CD55)</f>
        <v>0.55522193314102009</v>
      </c>
      <c r="CD7" s="45">
        <f>SUM('AEP Central'!CE55)</f>
        <v>0.56257682698386957</v>
      </c>
      <c r="CE7" s="45">
        <f>SUM('AEP Central'!CF55)</f>
        <v>0.57693258357856003</v>
      </c>
      <c r="CF7" s="45">
        <f>SUM('AEP Central'!CG55)</f>
        <v>0.58793324620933163</v>
      </c>
      <c r="CG7" s="45">
        <f>SUM('AEP Central'!CH55)</f>
        <v>0.5926590616048516</v>
      </c>
      <c r="CH7" s="45">
        <f>SUM('AEP Central'!CI55)</f>
        <v>0.60220363435217783</v>
      </c>
      <c r="CI7" s="45">
        <f>SUM('AEP Central'!CJ55)</f>
        <v>0.61111078397311713</v>
      </c>
      <c r="CJ7" s="45">
        <f>SUM('AEP Central'!CK55)</f>
        <v>0.62285651405759979</v>
      </c>
      <c r="CK7" s="45">
        <f>SUM('AEP Central'!CL55)</f>
        <v>0.63257908078503988</v>
      </c>
      <c r="CL7" s="45">
        <f>SUM('AEP Central'!CM55)</f>
        <v>0.63861620969227673</v>
      </c>
      <c r="CM7" s="45">
        <f>SUM('AEP Central'!CN55)</f>
        <v>0.64182495496970693</v>
      </c>
      <c r="CN7" s="45">
        <f>SUM('AEP Central'!CO55)</f>
        <v>0.64377372854061543</v>
      </c>
      <c r="CO7" s="45">
        <f>SUM('AEP Central'!CP55)</f>
        <v>0.64706278962024166</v>
      </c>
      <c r="CP7" s="45">
        <f>SUM('AEP Central'!CQ55)</f>
        <v>0.654324878901687</v>
      </c>
      <c r="CQ7" s="45">
        <f>SUM('AEP Central'!CR55)</f>
        <v>0.66317059896661523</v>
      </c>
      <c r="CR7" s="45">
        <f>SUM('AEP Central'!CS55)</f>
        <v>0.67100392065412251</v>
      </c>
      <c r="CS7" s="45">
        <f>SUM('AEP Central'!CT55)</f>
        <v>0.67234893906056603</v>
      </c>
      <c r="CT7" s="45">
        <f>SUM('AEP Central'!CU55)</f>
        <v>0.67258440155831734</v>
      </c>
      <c r="CU7" s="45">
        <f>SUM('AEP Central'!CV55)</f>
        <v>0.67597012006726898</v>
      </c>
      <c r="CV7" s="45">
        <f>SUM('AEP Central'!CW55)</f>
        <v>0.68019783582335791</v>
      </c>
      <c r="CW7" s="45">
        <f>SUM('AEP Central'!CX55)</f>
        <v>0.68803249195658878</v>
      </c>
      <c r="CX7" s="45">
        <f>SUM('AEP Central'!CY55)</f>
        <v>0.69462245524138477</v>
      </c>
      <c r="CY7" s="45">
        <f>SUM('AEP Central'!CZ55)</f>
        <v>0.69502248914085762</v>
      </c>
      <c r="CZ7" s="45">
        <f>SUM('AEP Central'!DA55)</f>
        <v>0.69686940101247175</v>
      </c>
      <c r="DA7" s="45">
        <f>SUM('AEP Central'!DB55)</f>
        <v>0.69916909889011336</v>
      </c>
      <c r="DB7" s="45">
        <f>SUM('AEP Central'!DC55)</f>
        <v>0.70354716701733166</v>
      </c>
      <c r="DC7" s="45">
        <f>SUM('AEP Central'!DD55)</f>
        <v>0.70770753696462885</v>
      </c>
      <c r="DD7" s="45">
        <f>SUM('AEP Central'!DE55)</f>
        <v>0.71062071074082367</v>
      </c>
      <c r="DE7" s="45">
        <f>SUM('AEP Central'!DF55)</f>
        <v>0.70811300643360331</v>
      </c>
      <c r="DF7" s="45">
        <f>SUM('AEP Central'!DG55)</f>
        <v>0.70894362586944959</v>
      </c>
      <c r="DG7" s="45">
        <f>SUM('AEP Central'!DH55)</f>
        <v>0.71009700059765912</v>
      </c>
      <c r="DH7" s="45">
        <f>SUM('AEP Central'!DI55)</f>
        <v>0.7159203467156644</v>
      </c>
      <c r="DI7" s="45">
        <f>SUM('AEP Central'!DJ55)</f>
        <v>0.71784812990584268</v>
      </c>
      <c r="DJ7" s="45">
        <f>SUM('AEP Central'!DK55)</f>
        <v>0.71853039467793822</v>
      </c>
      <c r="DK7" s="45">
        <f>SUM('AEP Central'!DL55)</f>
        <v>0.71758044498420659</v>
      </c>
      <c r="DL7" s="45">
        <f>SUM('AEP Central'!DM55)</f>
        <v>0.71674677158320155</v>
      </c>
      <c r="DM7" s="45">
        <f>SUM('AEP Central'!DN55)</f>
        <v>0.71754865087235242</v>
      </c>
      <c r="DN7" s="45">
        <f>SUM('AEP Central'!DO55)</f>
        <v>0.72017914257033822</v>
      </c>
      <c r="DO7" s="45">
        <f>SUM('AEP Central'!DP55)</f>
        <v>0.72190913262964662</v>
      </c>
      <c r="DP7" s="45">
        <f>SUM('AEP Central'!DQ55)</f>
        <v>0.72818379452887116</v>
      </c>
      <c r="DQ7" s="45">
        <f>SUM('AEP Central'!DR55)</f>
        <v>0.72583945797803129</v>
      </c>
      <c r="DR7" s="45">
        <f>SUM('AEP Central'!DS55)</f>
        <v>0.7228847166496577</v>
      </c>
      <c r="DS7" s="45">
        <f>SUM('AEP Central'!DT55)</f>
        <v>0.72447580229275621</v>
      </c>
      <c r="DT7" s="45">
        <f>SUM('AEP Central'!DU55)</f>
        <v>0.72984051575384212</v>
      </c>
      <c r="DU7" s="45">
        <f>SUM('AEP Central'!DV55)</f>
        <v>0.73468379370112158</v>
      </c>
      <c r="DV7" s="45">
        <f>SUM('AEP Central'!DW55)</f>
        <v>0.73593259896216967</v>
      </c>
      <c r="DW7" s="45">
        <f>SUM('AEP Central'!DX55)</f>
        <v>0.73509528409876823</v>
      </c>
      <c r="DX7" s="45">
        <f>SUM('AEP Central'!DY55)</f>
        <v>0.7354681918444631</v>
      </c>
      <c r="DY7" s="45">
        <f>SUM('AEP Central'!DZ55)</f>
        <v>0.73564858333819438</v>
      </c>
      <c r="DZ7" s="45">
        <f>SUM('AEP Central'!EA55)</f>
        <v>0.73817869995984287</v>
      </c>
      <c r="EA7" s="45">
        <f>SUM('AEP Central'!EB55)</f>
        <v>0.74251105109422222</v>
      </c>
      <c r="EB7" s="45">
        <f>SUM('AEP Central'!EC55)</f>
        <v>0.74464659280573364</v>
      </c>
      <c r="EC7" s="45">
        <f>SUM('AEP Central'!ED55)</f>
        <v>0.74488037860118206</v>
      </c>
      <c r="ED7" s="45">
        <f>SUM('AEP Central'!EE55)</f>
        <v>0.74255450418563573</v>
      </c>
      <c r="EE7" s="45">
        <f>SUM('AEP Central'!EF55)</f>
        <v>0.74662728745997053</v>
      </c>
      <c r="EF7" s="45">
        <f>SUM('AEP Central'!EG55)</f>
        <v>0.74792101761923857</v>
      </c>
      <c r="EG7" s="45">
        <f>SUM('AEP Central'!EH55)</f>
        <v>0.75122815173571844</v>
      </c>
      <c r="EH7" s="45">
        <f>SUM('AEP Central'!EI55)</f>
        <v>0.75321692007118224</v>
      </c>
      <c r="EI7" s="45">
        <f>SUM('AEP Central'!EJ55)</f>
        <v>0.75203504971721347</v>
      </c>
      <c r="EJ7" s="45">
        <f>SUM('AEP Central'!EK55)</f>
        <v>0.75047821881808141</v>
      </c>
      <c r="EK7" s="45">
        <f>SUM('AEP Central'!EL55)</f>
        <v>0.74995213810393779</v>
      </c>
      <c r="EL7" s="45">
        <f>SUM('AEP Central'!EM55)</f>
        <v>0.75193710141684555</v>
      </c>
      <c r="EM7" s="45">
        <f>SUM('AEP Central'!EN55)</f>
        <v>0.75478413962033064</v>
      </c>
      <c r="EN7" s="45">
        <f>SUM('AEP Central'!EO55)</f>
        <v>0.75626449224304693</v>
      </c>
      <c r="EO7" s="45">
        <f>SUM('AEP Central'!EP55)</f>
        <v>0.75131517180149199</v>
      </c>
      <c r="EP7" s="45">
        <f>SUM('AEP Central'!EQ55)</f>
        <v>0.74932833334514803</v>
      </c>
      <c r="EQ7" s="45">
        <f>SUM('AEP Central'!ER55)</f>
        <v>0.75301472841480099</v>
      </c>
      <c r="ER7" s="45">
        <f>SUM('AEP Central'!ES55)</f>
        <v>0.75602062214586796</v>
      </c>
      <c r="ES7" s="45">
        <f>SUM('AEP Central'!ET55)</f>
        <v>0.75966310312411189</v>
      </c>
      <c r="ET7" s="45">
        <f>SUM('AEP Central'!EU55)</f>
        <v>0.76126316238547909</v>
      </c>
      <c r="EU7" s="45">
        <f>SUM('AEP Central'!EV55)</f>
        <v>0.76012221761181853</v>
      </c>
      <c r="EV7" s="45">
        <f>SUM('AEP Central'!EW55)</f>
        <v>0.75787401766998008</v>
      </c>
      <c r="EW7" s="45">
        <f>SUM('AEP Central'!EX55)</f>
        <v>0.75796090017885842</v>
      </c>
      <c r="EX7" s="45">
        <f>SUM('AEP Central'!EY55)</f>
        <v>0.75947302456296828</v>
      </c>
      <c r="EY7" s="45">
        <f>SUM('AEP Central'!EZ55)</f>
        <v>0.76611471412328935</v>
      </c>
      <c r="EZ7" s="45">
        <f>SUM('AEP Central'!FA55)</f>
        <v>0.76826560875091476</v>
      </c>
      <c r="FA7" s="45">
        <f>SUM('AEP Central'!FB55)</f>
        <v>0.76633392554383972</v>
      </c>
      <c r="FB7" s="45">
        <f>SUM('AEP Central'!FC55)</f>
        <v>0.76385999669803528</v>
      </c>
      <c r="FC7" s="45">
        <f>SUM('AEP Central'!FD55)</f>
        <v>0.76685263872652309</v>
      </c>
      <c r="FD7" s="45">
        <f>SUM('AEP Central'!FE55)</f>
        <v>0.77004132321182595</v>
      </c>
      <c r="FE7" s="45">
        <f>SUM('AEP Central'!FF55)</f>
        <v>0.77879978582877596</v>
      </c>
      <c r="FF7" s="45">
        <f>SUM('AEP Central'!FG55)</f>
        <v>0.78260895320802559</v>
      </c>
      <c r="FG7" s="45">
        <f>SUM('AEP Central'!FH55)</f>
        <v>0.78175596539358116</v>
      </c>
      <c r="FH7" s="45">
        <f>SUM('AEP Central'!FI55)</f>
        <v>0.7808765257007465</v>
      </c>
      <c r="FI7" s="45">
        <f>SUM('AEP Central'!FJ55)</f>
        <v>0.78074059907020543</v>
      </c>
      <c r="FJ7" s="45">
        <f>SUM('AEP Central'!FK55)</f>
        <v>0.78381769794388556</v>
      </c>
      <c r="FK7" s="45">
        <f>SUM('AEP Central'!FL55)</f>
        <v>0.78813928399957267</v>
      </c>
      <c r="FL7" s="45">
        <f>SUM('AEP Central'!FM55)</f>
        <v>0.79321455391501039</v>
      </c>
      <c r="FM7" s="45">
        <f>SUM('AEP Central'!FN55)</f>
        <v>0.79125387505357037</v>
      </c>
      <c r="FN7" s="45">
        <f>SUM('AEP Central'!FO55)</f>
        <v>0.78930319948601813</v>
      </c>
      <c r="FO7" s="45">
        <f>SUM('AEP Central'!FP55)</f>
        <v>0.79136524586800372</v>
      </c>
      <c r="FP7" s="45">
        <f>SUM('AEP Central'!FQ55)</f>
        <v>0.79888716738659526</v>
      </c>
      <c r="FQ7" s="45">
        <f>SUM('AEP Central'!FR55)</f>
        <v>0.8024237844459684</v>
      </c>
      <c r="FR7" s="45">
        <f>SUM('AEP Central'!FS55)</f>
        <v>0.80413963420597923</v>
      </c>
      <c r="FS7" s="45">
        <f>SUM('AEP Central'!FT55)</f>
        <v>0.80274810509895744</v>
      </c>
    </row>
    <row r="8" spans="1:175" x14ac:dyDescent="0.25">
      <c r="A8" s="44" t="s">
        <v>75</v>
      </c>
      <c r="B8" s="45">
        <f>SUM('AEP North'!C55)</f>
        <v>1.6933429414416851E-2</v>
      </c>
      <c r="C8" s="45">
        <f>SUM('AEP North'!D55)</f>
        <v>1.5180301331354323E-2</v>
      </c>
      <c r="D8" s="45">
        <f>SUM('AEP North'!E55)</f>
        <v>1.6976738100210165E-2</v>
      </c>
      <c r="E8" s="45">
        <f>SUM('AEP North'!F55)</f>
        <v>1.9708724915939776E-2</v>
      </c>
      <c r="F8" s="45">
        <f>SUM('AEP North'!G55)</f>
        <v>2.144196554240594E-2</v>
      </c>
      <c r="G8" s="45">
        <f>SUM('AEP North'!H55)</f>
        <v>2.3197561292419455E-2</v>
      </c>
      <c r="H8" s="45">
        <f>SUM('AEP North'!I55)</f>
        <v>2.6165746050621542E-2</v>
      </c>
      <c r="I8" s="45">
        <f>SUM('AEP North'!J55)</f>
        <v>3.2860344992672312E-2</v>
      </c>
      <c r="J8" s="45">
        <f>SUM('AEP North'!K55)</f>
        <v>3.8111513657355794E-2</v>
      </c>
      <c r="K8" s="45">
        <f>SUM('AEP North'!L55)</f>
        <v>4.7759491025439041E-2</v>
      </c>
      <c r="L8" s="45">
        <f>SUM('AEP North'!M55)</f>
        <v>5.5299726533371063E-2</v>
      </c>
      <c r="M8" s="45">
        <f>SUM('AEP North'!N55)</f>
        <v>5.7653729006007674E-2</v>
      </c>
      <c r="N8" s="45">
        <f>SUM('AEP North'!O55)</f>
        <v>7.0360296961282182E-2</v>
      </c>
      <c r="O8" s="45">
        <f>SUM('AEP North'!P55)</f>
        <v>7.7762302692664806E-2</v>
      </c>
      <c r="P8" s="45">
        <f>SUM('AEP North'!Q55)</f>
        <v>8.3167740594471004E-2</v>
      </c>
      <c r="Q8" s="45">
        <f>SUM('AEP North'!R55)</f>
        <v>8.7838048274072156E-2</v>
      </c>
      <c r="R8" s="45">
        <f>SUM('AEP North'!S55)</f>
        <v>0.10004443187785272</v>
      </c>
      <c r="S8" s="45">
        <f>SUM('AEP North'!T55)</f>
        <v>0.11866526817764285</v>
      </c>
      <c r="T8" s="45">
        <f>SUM('AEP North'!U55)</f>
        <v>0.14329311906919079</v>
      </c>
      <c r="U8" s="45">
        <f>SUM('AEP North'!V55)</f>
        <v>0.15854370599347414</v>
      </c>
      <c r="V8" s="45">
        <f>SUM('AEP North'!W55)</f>
        <v>0.17240824690681425</v>
      </c>
      <c r="W8" s="45">
        <f>SUM('AEP North'!X55)</f>
        <v>0.19744030498493798</v>
      </c>
      <c r="X8" s="45">
        <f>SUM('AEP North'!Y55)</f>
        <v>0.22491012951199094</v>
      </c>
      <c r="Y8" s="45">
        <f>SUM('AEP North'!Z55)</f>
        <v>0.23087617226110785</v>
      </c>
      <c r="Z8" s="45">
        <f>SUM('AEP North'!AA55)</f>
        <v>0.22933521904009208</v>
      </c>
      <c r="AA8" s="45">
        <f>SUM('AEP North'!AB55)</f>
        <v>0.23510417162533123</v>
      </c>
      <c r="AB8" s="45">
        <f>SUM('AEP North'!AC55)</f>
        <v>0.24427535884019011</v>
      </c>
      <c r="AC8" s="45">
        <f>SUM('AEP North'!AD55)</f>
        <v>0.25382886414719563</v>
      </c>
      <c r="AD8" s="45">
        <f>SUM('AEP North'!AE55)</f>
        <v>0.26608219509003611</v>
      </c>
      <c r="AE8" s="45">
        <f>SUM('AEP North'!AF55)</f>
        <v>0.27752026040807853</v>
      </c>
      <c r="AF8" s="45">
        <f>SUM('AEP North'!AG55)</f>
        <v>0.28897265235896041</v>
      </c>
      <c r="AG8" s="45">
        <f>SUM('AEP North'!AH55)</f>
        <v>0.30318372383853853</v>
      </c>
      <c r="AH8" s="45">
        <f>SUM('AEP North'!AI55)</f>
        <v>0.32112795991222609</v>
      </c>
      <c r="AI8" s="45">
        <f>SUM('AEP North'!AJ55)</f>
        <v>0.3262088567920105</v>
      </c>
      <c r="AJ8" s="45">
        <f>SUM('AEP North'!AK55)</f>
        <v>0.32611853879355723</v>
      </c>
      <c r="AK8" s="45">
        <f>SUM('AEP North'!AL55)</f>
        <v>0.32895853685879473</v>
      </c>
      <c r="AL8" s="45">
        <f>SUM('AEP North'!AM55)</f>
        <v>0.33132470676464204</v>
      </c>
      <c r="AM8" s="45">
        <f>SUM('AEP North'!AN55)</f>
        <v>0.33936628898024668</v>
      </c>
      <c r="AN8" s="45">
        <f>SUM('AEP North'!AO55)</f>
        <v>0.34028849687614848</v>
      </c>
      <c r="AO8" s="45">
        <f>SUM('AEP North'!AP55)</f>
        <v>0.35188157852210167</v>
      </c>
      <c r="AP8" s="45">
        <f>SUM('AEP North'!AQ55)</f>
        <v>0.35881411243150052</v>
      </c>
      <c r="AQ8" s="45">
        <f>SUM('AEP North'!AR55)</f>
        <v>0.36822720685024396</v>
      </c>
      <c r="AR8" s="45">
        <f>SUM('AEP North'!AS55)</f>
        <v>0.37550111121744773</v>
      </c>
      <c r="AS8" s="45">
        <f>SUM('AEP North'!AT55)</f>
        <v>0.37600984040612523</v>
      </c>
      <c r="AT8" s="45">
        <f>SUM('AEP North'!AU55)</f>
        <v>0.39311898470057494</v>
      </c>
      <c r="AU8" s="45">
        <f>SUM('AEP North'!AV55)</f>
        <v>0.40293871786002539</v>
      </c>
      <c r="AV8" s="45">
        <f>SUM('AEP North'!AW55)</f>
        <v>0.40404856577856219</v>
      </c>
      <c r="AW8" s="45">
        <f>SUM('AEP North'!AX55)</f>
        <v>0.40395138438961181</v>
      </c>
      <c r="AX8" s="45">
        <f>SUM('AEP North'!AY55)</f>
        <v>0.40755334281650069</v>
      </c>
      <c r="AY8" s="45">
        <f>SUM('AEP North'!AZ55)</f>
        <v>0.41723451287016572</v>
      </c>
      <c r="AZ8" s="45">
        <f>SUM('AEP North'!BA55)</f>
        <v>0.42373052631578945</v>
      </c>
      <c r="BA8" s="45">
        <f>SUM('AEP North'!BB55)</f>
        <v>0.44248498688996024</v>
      </c>
      <c r="BB8" s="45">
        <f>SUM('AEP North'!BC55)</f>
        <v>0.45563496693893429</v>
      </c>
      <c r="BC8" s="45">
        <f>SUM('AEP North'!BD55)</f>
        <v>0.47154480575379742</v>
      </c>
      <c r="BD8" s="45">
        <f>SUM('AEP North'!BE55)</f>
        <v>0.48545532144301179</v>
      </c>
      <c r="BE8" s="45">
        <f>SUM('AEP North'!BF55)</f>
        <v>0.50118968643580553</v>
      </c>
      <c r="BF8" s="45">
        <f>SUM('AEP North'!BG55)</f>
        <v>0.51684715647493673</v>
      </c>
      <c r="BG8" s="45">
        <f>SUM('AEP North'!BH55)</f>
        <v>0.52443371277452</v>
      </c>
      <c r="BH8" s="45">
        <f>SUM('AEP North'!BI55)</f>
        <v>0.52603188692772529</v>
      </c>
      <c r="BI8" s="45">
        <f>SUM('AEP North'!BJ55)</f>
        <v>0.52815104166666671</v>
      </c>
      <c r="BJ8" s="45">
        <f>SUM('AEP North'!BK55)</f>
        <v>0.52187120665964226</v>
      </c>
      <c r="BK8" s="45">
        <f>SUM('AEP North'!BL55)</f>
        <v>0.52988669330559968</v>
      </c>
      <c r="BL8" s="45">
        <f>SUM('AEP North'!BM55)</f>
        <v>0.53282418651959285</v>
      </c>
      <c r="BM8" s="45">
        <f>SUM('AEP North'!BN55)</f>
        <v>0.54854821889236516</v>
      </c>
      <c r="BN8" s="45">
        <f>SUM('AEP North'!BO55)</f>
        <v>0.56004394407824376</v>
      </c>
      <c r="BO8" s="45">
        <f>SUM('AEP North'!BP55)</f>
        <v>0.57240687768173626</v>
      </c>
      <c r="BP8" s="45">
        <f>SUM('AEP North'!BQ55)</f>
        <v>0.57794524443525241</v>
      </c>
      <c r="BQ8" s="45">
        <f>SUM('AEP North'!BR55)</f>
        <v>0.58031884852178872</v>
      </c>
      <c r="BR8" s="45">
        <f>SUM('AEP North'!BS55)</f>
        <v>0.59123317496690431</v>
      </c>
      <c r="BS8" s="45">
        <f>SUM('AEP North'!BT55)</f>
        <v>0.59628781741978654</v>
      </c>
      <c r="BT8" s="45">
        <f>SUM('AEP North'!BU55)</f>
        <v>0.59581244470657624</v>
      </c>
      <c r="BU8" s="45">
        <f>SUM('AEP North'!BV55)</f>
        <v>0.59408963148032479</v>
      </c>
      <c r="BV8" s="45">
        <f>SUM('AEP North'!BW55)</f>
        <v>0.59743910823021018</v>
      </c>
      <c r="BW8" s="45">
        <f>SUM('AEP North'!BX55)</f>
        <v>0.60267472599281191</v>
      </c>
      <c r="BX8" s="45">
        <f>SUM('AEP North'!BY55)</f>
        <v>0.60800724832696418</v>
      </c>
      <c r="BY8" s="45">
        <f>SUM('AEP North'!BZ55)</f>
        <v>0.61770710882880653</v>
      </c>
      <c r="BZ8" s="45">
        <f>SUM('AEP North'!CA55)</f>
        <v>0.63088734537792168</v>
      </c>
      <c r="CA8" s="45">
        <f>SUM('AEP North'!CB55)</f>
        <v>0.6399988068961403</v>
      </c>
      <c r="CB8" s="45">
        <f>SUM('AEP North'!CC55)</f>
        <v>0.64270187100624765</v>
      </c>
      <c r="CC8" s="45">
        <f>SUM('AEP North'!CD55)</f>
        <v>0.64601210512176233</v>
      </c>
      <c r="CD8" s="45">
        <f>SUM('AEP North'!CE55)</f>
        <v>0.64892151197861436</v>
      </c>
      <c r="CE8" s="45">
        <f>SUM('AEP North'!CF55)</f>
        <v>0.65308076424426065</v>
      </c>
      <c r="CF8" s="45">
        <f>SUM('AEP North'!CG55)</f>
        <v>0.64956415601810347</v>
      </c>
      <c r="CG8" s="45">
        <f>SUM('AEP North'!CH55)</f>
        <v>0.64724473695109586</v>
      </c>
      <c r="CH8" s="45">
        <f>SUM('AEP North'!CI55)</f>
        <v>0.64979989672088823</v>
      </c>
      <c r="CI8" s="45">
        <f>SUM('AEP North'!CJ55)</f>
        <v>0.65237665463297234</v>
      </c>
      <c r="CJ8" s="45">
        <f>SUM('AEP North'!CK55)</f>
        <v>0.65512258561726311</v>
      </c>
      <c r="CK8" s="45">
        <f>SUM('AEP North'!CL55)</f>
        <v>0.63718409793085973</v>
      </c>
      <c r="CL8" s="45">
        <f>SUM('AEP North'!CM55)</f>
        <v>0.66644003638334814</v>
      </c>
      <c r="CM8" s="45">
        <f>SUM('AEP North'!CN55)</f>
        <v>0.67238011216837856</v>
      </c>
      <c r="CN8" s="45">
        <f>SUM('AEP North'!CO55)</f>
        <v>0.67212633645531317</v>
      </c>
      <c r="CO8" s="45">
        <f>SUM('AEP North'!CP55)</f>
        <v>0.67673661360347326</v>
      </c>
      <c r="CP8" s="45">
        <f>SUM('AEP North'!CQ55)</f>
        <v>0.68222214655407243</v>
      </c>
      <c r="CQ8" s="45">
        <f>SUM('AEP North'!CR55)</f>
        <v>0.68471707266364046</v>
      </c>
      <c r="CR8" s="45">
        <f>SUM('AEP North'!CS55)</f>
        <v>0.68242786837788283</v>
      </c>
      <c r="CS8" s="45">
        <f>SUM('AEP North'!CT55)</f>
        <v>0.68228890850250079</v>
      </c>
      <c r="CT8" s="45">
        <f>SUM('AEP North'!CU55)</f>
        <v>0.68594929960337225</v>
      </c>
      <c r="CU8" s="45">
        <f>SUM('AEP North'!CV55)</f>
        <v>0.68913813994777395</v>
      </c>
      <c r="CV8" s="45">
        <f>SUM('AEP North'!CW55)</f>
        <v>0.68838145367288495</v>
      </c>
      <c r="CW8" s="45">
        <f>SUM('AEP North'!CX55)</f>
        <v>0.69455935999374074</v>
      </c>
      <c r="CX8" s="45">
        <f>SUM('AEP North'!CY55)</f>
        <v>0.70049312224240856</v>
      </c>
      <c r="CY8" s="45">
        <f>SUM('AEP North'!CZ55)</f>
        <v>0.70227483103610056</v>
      </c>
      <c r="CZ8" s="45">
        <f>SUM('AEP North'!DA55)</f>
        <v>0.70283096753575325</v>
      </c>
      <c r="DA8" s="45">
        <f>SUM('AEP North'!DB55)</f>
        <v>0.70170356229835784</v>
      </c>
      <c r="DB8" s="45">
        <f>SUM('AEP North'!DC55)</f>
        <v>0.70663836811696734</v>
      </c>
      <c r="DC8" s="45">
        <f>SUM('AEP North'!DD55)</f>
        <v>0.70919220055710308</v>
      </c>
      <c r="DD8" s="45">
        <f>SUM('AEP North'!DE55)</f>
        <v>0.70812174243016102</v>
      </c>
      <c r="DE8" s="45">
        <f>SUM('AEP North'!DF55)</f>
        <v>0.70383855691202013</v>
      </c>
      <c r="DF8" s="45">
        <f>SUM('AEP North'!DG55)</f>
        <v>0.70377948964853154</v>
      </c>
      <c r="DG8" s="45">
        <f>SUM('AEP North'!DH55)</f>
        <v>0.71149693198989361</v>
      </c>
      <c r="DH8" s="45">
        <f>SUM('AEP North'!DI55)</f>
        <v>0.71204089360090872</v>
      </c>
      <c r="DI8" s="45">
        <f>SUM('AEP North'!DJ55)</f>
        <v>0.71928970811691217</v>
      </c>
      <c r="DJ8" s="45">
        <f>SUM('AEP North'!DK55)</f>
        <v>0.72075890693432265</v>
      </c>
      <c r="DK8" s="45">
        <f>SUM('AEP North'!DL55)</f>
        <v>0.7198956028724901</v>
      </c>
      <c r="DL8" s="45">
        <f>SUM('AEP North'!DM55)</f>
        <v>0.71761708025227411</v>
      </c>
      <c r="DM8" s="45">
        <f>SUM('AEP North'!DN55)</f>
        <v>0.71739984695249326</v>
      </c>
      <c r="DN8" s="45">
        <f>SUM('AEP North'!DO55)</f>
        <v>0.7187645169760255</v>
      </c>
      <c r="DO8" s="45">
        <f>SUM('AEP North'!DP55)</f>
        <v>0.72115301495493089</v>
      </c>
      <c r="DP8" s="45">
        <f>SUM('AEP North'!DQ55)</f>
        <v>0.71849975161450574</v>
      </c>
      <c r="DQ8" s="45">
        <f>SUM('AEP North'!DR55)</f>
        <v>0.71455891571905827</v>
      </c>
      <c r="DR8" s="45">
        <f>SUM('AEP North'!DS55)</f>
        <v>0.71276234001169736</v>
      </c>
      <c r="DS8" s="45">
        <f>SUM('AEP North'!DT55)</f>
        <v>0.71420543393275993</v>
      </c>
      <c r="DT8" s="45">
        <f>SUM('AEP North'!DU55)</f>
        <v>0.71544107833978376</v>
      </c>
      <c r="DU8" s="45">
        <f>SUM('AEP North'!DV55)</f>
        <v>0.72236392556966311</v>
      </c>
      <c r="DV8" s="45">
        <f>SUM('AEP North'!DW55)</f>
        <v>0.72389824209019671</v>
      </c>
      <c r="DW8" s="45">
        <f>SUM('AEP North'!DX55)</f>
        <v>0.72096044625350875</v>
      </c>
      <c r="DX8" s="45">
        <f>SUM('AEP North'!DY55)</f>
        <v>0.72093248820325795</v>
      </c>
      <c r="DY8" s="45">
        <f>SUM('AEP North'!DZ55)</f>
        <v>0.71986184840512069</v>
      </c>
      <c r="DZ8" s="45">
        <f>SUM('AEP North'!EA55)</f>
        <v>0.72181235048796499</v>
      </c>
      <c r="EA8" s="45">
        <f>SUM('AEP North'!EB55)</f>
        <v>0.72398400960687648</v>
      </c>
      <c r="EB8" s="45">
        <f>SUM('AEP North'!EC55)</f>
        <v>0.72274095223396873</v>
      </c>
      <c r="EC8" s="45">
        <f>SUM('AEP North'!ED55)</f>
        <v>0.72140353236883914</v>
      </c>
      <c r="ED8" s="45">
        <f>SUM('AEP North'!EE55)</f>
        <v>0.72035877475038079</v>
      </c>
      <c r="EE8" s="45">
        <f>SUM('AEP North'!EF55)</f>
        <v>0.72204983544898915</v>
      </c>
      <c r="EF8" s="45">
        <f>SUM('AEP North'!EG55)</f>
        <v>0.72478977407044676</v>
      </c>
      <c r="EG8" s="45">
        <f>SUM('AEP North'!EH55)</f>
        <v>0.73003557297905552</v>
      </c>
      <c r="EH8" s="45">
        <f>SUM('AEP North'!EI55)</f>
        <v>0.732913383044139</v>
      </c>
      <c r="EI8" s="45">
        <f>SUM('AEP North'!EJ55)</f>
        <v>0.73246716789532784</v>
      </c>
      <c r="EJ8" s="45">
        <f>SUM('AEP North'!EK55)</f>
        <v>0.73240432870035732</v>
      </c>
      <c r="EK8" s="45">
        <f>SUM('AEP North'!EL55)</f>
        <v>0.73294819794885213</v>
      </c>
      <c r="EL8" s="45">
        <f>SUM('AEP North'!EM55)</f>
        <v>0.73607677692197682</v>
      </c>
      <c r="EM8" s="45">
        <f>SUM('AEP North'!EN55)</f>
        <v>0.74092299117782945</v>
      </c>
      <c r="EN8" s="45">
        <f>SUM('AEP North'!EO55)</f>
        <v>0.74097359439554522</v>
      </c>
      <c r="EO8" s="45">
        <f>SUM('AEP North'!EP55)</f>
        <v>0.73952633326365236</v>
      </c>
      <c r="EP8" s="45">
        <f>SUM('AEP North'!EQ55)</f>
        <v>0.7382303876498213</v>
      </c>
      <c r="EQ8" s="45">
        <f>SUM('AEP North'!ER55)</f>
        <v>0.74483257046494822</v>
      </c>
      <c r="ER8" s="45">
        <f>SUM('AEP North'!ES55)</f>
        <v>0.74673245877963657</v>
      </c>
      <c r="ES8" s="45">
        <f>SUM('AEP North'!ET55)</f>
        <v>0.74793609539825712</v>
      </c>
      <c r="ET8" s="45">
        <f>SUM('AEP North'!EU55)</f>
        <v>0.7520303015266544</v>
      </c>
      <c r="EU8" s="45">
        <f>SUM('AEP North'!EV55)</f>
        <v>0.7511867819570911</v>
      </c>
      <c r="EV8" s="45">
        <f>SUM('AEP North'!EW55)</f>
        <v>0.75231208291311713</v>
      </c>
      <c r="EW8" s="45">
        <f>SUM('AEP North'!EX55)</f>
        <v>0.75455090811302805</v>
      </c>
      <c r="EX8" s="45">
        <f>SUM('AEP North'!EY55)</f>
        <v>0.7528768806299746</v>
      </c>
      <c r="EY8" s="45">
        <f>SUM('AEP North'!EZ55)</f>
        <v>0.76513605192440415</v>
      </c>
      <c r="EZ8" s="45">
        <f>SUM('AEP North'!FA55)</f>
        <v>0.76416587807660674</v>
      </c>
      <c r="FA8" s="45">
        <f>SUM('AEP North'!FB55)</f>
        <v>0.75995964275310313</v>
      </c>
      <c r="FB8" s="45">
        <f>SUM('AEP North'!FC55)</f>
        <v>0.76013657929039991</v>
      </c>
      <c r="FC8" s="45">
        <f>SUM('AEP North'!FD55)</f>
        <v>0.76295196245965224</v>
      </c>
      <c r="FD8" s="45">
        <f>SUM('AEP North'!FE55)</f>
        <v>0.76647689590187074</v>
      </c>
      <c r="FE8" s="45">
        <f>SUM('AEP North'!FF55)</f>
        <v>0.77034525861252623</v>
      </c>
      <c r="FF8" s="45">
        <f>SUM('AEP North'!FG55)</f>
        <v>0.77503135201370876</v>
      </c>
      <c r="FG8" s="45">
        <f>SUM('AEP North'!FH55)</f>
        <v>0.77583468063625649</v>
      </c>
      <c r="FH8" s="45">
        <f>SUM('AEP North'!FI55)</f>
        <v>0.77496861919050974</v>
      </c>
      <c r="FI8" s="45">
        <f>SUM('AEP North'!FJ55)</f>
        <v>0.77542221637767461</v>
      </c>
      <c r="FJ8" s="45">
        <f>SUM('AEP North'!FK55)</f>
        <v>0.77880335166273895</v>
      </c>
      <c r="FK8" s="45">
        <f>SUM('AEP North'!FL55)</f>
        <v>0.78312030428880552</v>
      </c>
      <c r="FL8" s="45">
        <f>SUM('AEP North'!FM55)</f>
        <v>0.78527564757586876</v>
      </c>
      <c r="FM8" s="45">
        <f>SUM('AEP North'!FN55)</f>
        <v>0.78276377521571183</v>
      </c>
      <c r="FN8" s="45">
        <f>SUM('AEP North'!FO55)</f>
        <v>0.78397818325599788</v>
      </c>
      <c r="FO8" s="45">
        <f>SUM('AEP North'!FP55)</f>
        <v>0.78585052378297482</v>
      </c>
      <c r="FP8" s="45">
        <f>SUM('AEP North'!FQ55)</f>
        <v>0.78823586226879794</v>
      </c>
      <c r="FQ8" s="45">
        <f>SUM('AEP North'!FR55)</f>
        <v>0.79309161037571063</v>
      </c>
      <c r="FR8" s="45">
        <f>SUM('AEP North'!FS55)</f>
        <v>0.79794027961567227</v>
      </c>
      <c r="FS8" s="45">
        <f>SUM('AEP North'!FT55)</f>
        <v>0.798650834623989</v>
      </c>
    </row>
    <row r="9" spans="1:175" x14ac:dyDescent="0.25">
      <c r="A9" s="44" t="s">
        <v>0</v>
      </c>
      <c r="B9" s="45">
        <f>SUM(TNMP!C55)</f>
        <v>1.1153999048441906E-2</v>
      </c>
      <c r="C9" s="45">
        <f>SUM(TNMP!D55)</f>
        <v>1.3152837811250343E-2</v>
      </c>
      <c r="D9" s="45">
        <f>SUM(TNMP!E55)</f>
        <v>1.7160423599074919E-2</v>
      </c>
      <c r="E9" s="45">
        <f>SUM(TNMP!F55)</f>
        <v>2.335131814296235E-2</v>
      </c>
      <c r="F9" s="45">
        <f>SUM(TNMP!G55)</f>
        <v>2.5344002209472367E-2</v>
      </c>
      <c r="G9" s="45">
        <f>SUM(TNMP!H55)</f>
        <v>2.2670135190885878E-2</v>
      </c>
      <c r="H9" s="45">
        <f>SUM(TNMP!I55)</f>
        <v>3.0353008764371008E-2</v>
      </c>
      <c r="I9" s="45">
        <f>SUM(TNMP!J55)</f>
        <v>3.8421489577464787E-2</v>
      </c>
      <c r="J9" s="45">
        <f>SUM(TNMP!K55)</f>
        <v>4.1055211006268424E-2</v>
      </c>
      <c r="K9" s="45">
        <f>SUM(TNMP!L55)</f>
        <v>4.6389650835388541E-2</v>
      </c>
      <c r="L9" s="45">
        <f>SUM(TNMP!M55)</f>
        <v>5.4102829425850145E-2</v>
      </c>
      <c r="M9" s="45">
        <f>SUM(TNMP!N55)</f>
        <v>6.2536819024899298E-2</v>
      </c>
      <c r="N9" s="45">
        <f>SUM(TNMP!O55)</f>
        <v>6.3788994510644001E-2</v>
      </c>
      <c r="O9" s="45">
        <f>SUM(TNMP!P55)</f>
        <v>6.6042893187552562E-2</v>
      </c>
      <c r="P9" s="45">
        <f>SUM(TNMP!Q55)</f>
        <v>6.8434931160304524E-2</v>
      </c>
      <c r="Q9" s="45">
        <f>SUM(TNMP!R55)</f>
        <v>6.7013852571918012E-2</v>
      </c>
      <c r="R9" s="45">
        <f>SUM(TNMP!S55)</f>
        <v>6.6905243936153505E-2</v>
      </c>
      <c r="S9" s="45">
        <f>SUM(TNMP!T55)</f>
        <v>7.4046441504541913E-2</v>
      </c>
      <c r="T9" s="45">
        <f>SUM(TNMP!U55)</f>
        <v>9.9813027962140935E-2</v>
      </c>
      <c r="U9" s="45">
        <f>SUM(TNMP!V55)</f>
        <v>0.11080691671626902</v>
      </c>
      <c r="V9" s="45">
        <f>SUM(TNMP!W55)</f>
        <v>0.1212170809618122</v>
      </c>
      <c r="W9" s="45">
        <f>SUM(TNMP!X55)</f>
        <v>0.13463277804346876</v>
      </c>
      <c r="X9" s="45">
        <f>SUM(TNMP!Y55)</f>
        <v>0.14402606225382597</v>
      </c>
      <c r="Y9" s="45">
        <f>SUM(TNMP!Z55)</f>
        <v>0.15129771428934935</v>
      </c>
      <c r="Z9" s="45">
        <f>SUM(TNMP!AA55)</f>
        <v>0.15936410464554357</v>
      </c>
      <c r="AA9" s="45">
        <f>SUM(TNMP!AB55)</f>
        <v>0.16064996169460741</v>
      </c>
      <c r="AB9" s="45">
        <f>SUM(TNMP!AC55)</f>
        <v>0.16644013482611356</v>
      </c>
      <c r="AC9" s="45">
        <f>SUM(TNMP!AD55)</f>
        <v>0.17893468278131905</v>
      </c>
      <c r="AD9" s="45">
        <f>SUM(TNMP!AE55)</f>
        <v>0.19103324908301272</v>
      </c>
      <c r="AE9" s="45">
        <f>SUM(TNMP!AF55)</f>
        <v>0.20713313232628233</v>
      </c>
      <c r="AF9" s="45">
        <f>SUM(TNMP!AG55)</f>
        <v>0.21406992957797291</v>
      </c>
      <c r="AG9" s="45">
        <f>SUM(TNMP!AH55)</f>
        <v>0.21762761285792073</v>
      </c>
      <c r="AH9" s="45">
        <f>SUM(TNMP!AI55)</f>
        <v>0.23239497603528475</v>
      </c>
      <c r="AI9" s="45">
        <f>SUM(TNMP!AJ55)</f>
        <v>0.23960008744874819</v>
      </c>
      <c r="AJ9" s="45">
        <f>SUM(TNMP!AK55)</f>
        <v>0.24266764860062573</v>
      </c>
      <c r="AK9" s="45">
        <f>SUM(TNMP!AL55)</f>
        <v>0.24024173737662641</v>
      </c>
      <c r="AL9" s="45">
        <f>SUM(TNMP!AM55)</f>
        <v>0.24290698858200477</v>
      </c>
      <c r="AM9" s="45">
        <f>SUM(TNMP!AN55)</f>
        <v>0.24582686080829133</v>
      </c>
      <c r="AN9" s="45">
        <f>SUM(TNMP!AO55)</f>
        <v>0.25244394081025057</v>
      </c>
      <c r="AO9" s="45">
        <f>SUM(TNMP!AP55)</f>
        <v>0.26395941574216192</v>
      </c>
      <c r="AP9" s="45">
        <f>SUM(TNMP!AQ55)</f>
        <v>0.27559497353576923</v>
      </c>
      <c r="AQ9" s="45">
        <f>SUM(TNMP!AR55)</f>
        <v>0.28137111540545595</v>
      </c>
      <c r="AR9" s="45">
        <f>SUM(TNMP!AS55)</f>
        <v>0.2838069386175931</v>
      </c>
      <c r="AS9" s="45">
        <f>SUM(TNMP!AT55)</f>
        <v>0.29142787855206104</v>
      </c>
      <c r="AT9" s="45">
        <f>SUM(TNMP!AU55)</f>
        <v>0.29865428634153324</v>
      </c>
      <c r="AU9" s="45">
        <f>SUM(TNMP!AV55)</f>
        <v>0.31013127838081367</v>
      </c>
      <c r="AV9" s="45">
        <f>SUM(TNMP!AW55)</f>
        <v>0.31531853045992148</v>
      </c>
      <c r="AW9" s="45">
        <f>SUM(TNMP!AX55)</f>
        <v>0.3128643129903611</v>
      </c>
      <c r="AX9" s="45">
        <f>SUM(TNMP!AY55)</f>
        <v>0.31683792206490968</v>
      </c>
      <c r="AY9" s="45">
        <f>SUM(TNMP!AZ55)</f>
        <v>0.32553797822504571</v>
      </c>
      <c r="AZ9" s="45">
        <f>SUM(TNMP!BA55)</f>
        <v>0.33282695913914795</v>
      </c>
      <c r="BA9" s="45">
        <f>SUM(TNMP!BB55)</f>
        <v>0.34817501316805599</v>
      </c>
      <c r="BB9" s="45">
        <f>SUM(TNMP!BC55)</f>
        <v>0.35879391022315876</v>
      </c>
      <c r="BC9" s="45">
        <f>SUM(TNMP!BD55)</f>
        <v>0.36062243722704446</v>
      </c>
      <c r="BD9" s="45">
        <f>SUM(TNMP!BE55)</f>
        <v>0.36751287587286774</v>
      </c>
      <c r="BE9" s="45">
        <f>SUM(TNMP!BF55)</f>
        <v>0.36851839002194658</v>
      </c>
      <c r="BF9" s="45">
        <f>SUM(TNMP!BG55)</f>
        <v>0.37568180788950772</v>
      </c>
      <c r="BG9" s="45">
        <f>SUM(TNMP!BH55)</f>
        <v>0.38585634581066741</v>
      </c>
      <c r="BH9" s="45">
        <f>SUM(TNMP!BI55)</f>
        <v>0.38767573100160019</v>
      </c>
      <c r="BI9" s="45">
        <f>SUM(TNMP!BJ55)</f>
        <v>0.38200725952979064</v>
      </c>
      <c r="BJ9" s="45">
        <f>SUM(TNMP!BK55)</f>
        <v>0.38459753309426387</v>
      </c>
      <c r="BK9" s="45">
        <f>SUM(TNMP!BL55)</f>
        <v>0.38556487084144209</v>
      </c>
      <c r="BL9" s="45">
        <f>SUM(TNMP!BM55)</f>
        <v>0.39694960746923996</v>
      </c>
      <c r="BM9" s="45">
        <f>SUM(TNMP!BN55)</f>
        <v>0.42421692171398367</v>
      </c>
      <c r="BN9" s="45">
        <f>SUM(TNMP!BO55)</f>
        <v>0.43045992370023967</v>
      </c>
      <c r="BO9" s="45">
        <f>SUM(TNMP!BP55)</f>
        <v>0.44178246033715951</v>
      </c>
      <c r="BP9" s="45">
        <f>SUM(TNMP!BQ55)</f>
        <v>0.44566328753662604</v>
      </c>
      <c r="BQ9" s="45">
        <f>SUM(TNMP!BR55)</f>
        <v>0.45368112980110636</v>
      </c>
      <c r="BR9" s="45">
        <f>SUM(TNMP!BS55)</f>
        <v>0.45955338908874405</v>
      </c>
      <c r="BS9" s="45">
        <f>SUM(TNMP!BT55)</f>
        <v>0.47247520611114568</v>
      </c>
      <c r="BT9" s="45">
        <f>SUM(TNMP!BU55)</f>
        <v>0.48103687052329358</v>
      </c>
      <c r="BU9" s="45">
        <f>SUM(TNMP!BV55)</f>
        <v>0.48575546677845466</v>
      </c>
      <c r="BV9" s="45">
        <f>SUM(TNMP!BW55)</f>
        <v>0.48583026787172123</v>
      </c>
      <c r="BW9" s="45">
        <f>SUM(TNMP!BX55)</f>
        <v>0.49530438506854213</v>
      </c>
      <c r="BX9" s="45">
        <f>SUM(TNMP!BY55)</f>
        <v>0.49791228840844431</v>
      </c>
      <c r="BY9" s="45">
        <f>SUM(TNMP!BZ55)</f>
        <v>0.524313338514793</v>
      </c>
      <c r="BZ9" s="45">
        <f>SUM(TNMP!CA55)</f>
        <v>0.53753118002540967</v>
      </c>
      <c r="CA9" s="45">
        <f>SUM(TNMP!CB55)</f>
        <v>0.54411355904381353</v>
      </c>
      <c r="CB9" s="45">
        <f>SUM(TNMP!CC55)</f>
        <v>0.55260328219094534</v>
      </c>
      <c r="CC9" s="45">
        <f>SUM(TNMP!CD55)</f>
        <v>0.57402067203335272</v>
      </c>
      <c r="CD9" s="45">
        <f>SUM(TNMP!CE55)</f>
        <v>0.60794596280809965</v>
      </c>
      <c r="CE9" s="45">
        <f>SUM(TNMP!CF55)</f>
        <v>0.65679465503758205</v>
      </c>
      <c r="CF9" s="45">
        <f>SUM(TNMP!CG55)</f>
        <v>0.66528291573322662</v>
      </c>
      <c r="CG9" s="45">
        <f>SUM(TNMP!CH55)</f>
        <v>0.6630293161426648</v>
      </c>
      <c r="CH9" s="45">
        <f>SUM(TNMP!CI55)</f>
        <v>0.6653304048937998</v>
      </c>
      <c r="CI9" s="45">
        <f>SUM(TNMP!CJ55)</f>
        <v>0.66564020701980997</v>
      </c>
      <c r="CJ9" s="45">
        <f>SUM(TNMP!CK55)</f>
        <v>0.67423369399164856</v>
      </c>
      <c r="CK9" s="45">
        <f>SUM(TNMP!CL55)</f>
        <v>0.68016976706463772</v>
      </c>
      <c r="CL9" s="45">
        <f>SUM(TNMP!CM55)</f>
        <v>0.69134012514759646</v>
      </c>
      <c r="CM9" s="45">
        <f>SUM(TNMP!CN55)</f>
        <v>0.69372817446991386</v>
      </c>
      <c r="CN9" s="45">
        <f>SUM(TNMP!CO55)</f>
        <v>0.69282014812361858</v>
      </c>
      <c r="CO9" s="45">
        <f>SUM(TNMP!CP55)</f>
        <v>0.69403006135964695</v>
      </c>
      <c r="CP9" s="45">
        <f>SUM(TNMP!CQ55)</f>
        <v>0.70008492440255088</v>
      </c>
      <c r="CQ9" s="45">
        <f>SUM(TNMP!CR55)</f>
        <v>0.70864217461118695</v>
      </c>
      <c r="CR9" s="45">
        <f>SUM(TNMP!CS55)</f>
        <v>0.70835675436320034</v>
      </c>
      <c r="CS9" s="45">
        <f>SUM(TNMP!CT55)</f>
        <v>0.700243836733906</v>
      </c>
      <c r="CT9" s="45">
        <f>SUM(TNMP!CU55)</f>
        <v>0.6984352570980682</v>
      </c>
      <c r="CU9" s="45">
        <f>SUM(TNMP!CV55)</f>
        <v>0.70069822497010104</v>
      </c>
      <c r="CV9" s="45">
        <f>SUM(TNMP!CW55)</f>
        <v>0.70375462273729317</v>
      </c>
      <c r="CW9" s="45">
        <f>SUM(TNMP!CX55)</f>
        <v>0.72040685722619302</v>
      </c>
      <c r="CX9" s="45">
        <f>SUM(TNMP!CY55)</f>
        <v>0.73213387986467227</v>
      </c>
      <c r="CY9" s="45">
        <f>SUM(TNMP!CZ55)</f>
        <v>0.73418950128395988</v>
      </c>
      <c r="CZ9" s="45">
        <f>SUM(TNMP!DA55)</f>
        <v>0.73484626333493586</v>
      </c>
      <c r="DA9" s="45">
        <f>SUM(TNMP!DB55)</f>
        <v>0.73778253833128526</v>
      </c>
      <c r="DB9" s="45">
        <f>SUM(TNMP!DC55)</f>
        <v>0.742583404628265</v>
      </c>
      <c r="DC9" s="45">
        <f>SUM(TNMP!DD55)</f>
        <v>0.74817025230866407</v>
      </c>
      <c r="DD9" s="45">
        <f>SUM(TNMP!DE55)</f>
        <v>0.7542587901047938</v>
      </c>
      <c r="DE9" s="45">
        <f>SUM(TNMP!DF55)</f>
        <v>0.74844661563690484</v>
      </c>
      <c r="DF9" s="45">
        <f>SUM(TNMP!DG55)</f>
        <v>0.74747649607757904</v>
      </c>
      <c r="DG9" s="45">
        <f>SUM(TNMP!DH55)</f>
        <v>0.74660340677262116</v>
      </c>
      <c r="DH9" s="45">
        <f>SUM(TNMP!DI55)</f>
        <v>0.75238600985860682</v>
      </c>
      <c r="DI9" s="45">
        <f>SUM(TNMP!DJ55)</f>
        <v>0.77085918321339231</v>
      </c>
      <c r="DJ9" s="45">
        <f>SUM(TNMP!DK55)</f>
        <v>0.77153400139922423</v>
      </c>
      <c r="DK9" s="45">
        <f>SUM(TNMP!DL55)</f>
        <v>0.77400791284305681</v>
      </c>
      <c r="DL9" s="45">
        <f>SUM(TNMP!DM55)</f>
        <v>0.76928955556533929</v>
      </c>
      <c r="DM9" s="45">
        <f>SUM(TNMP!DN55)</f>
        <v>0.76868167674292209</v>
      </c>
      <c r="DN9" s="45">
        <f>SUM(TNMP!DO55)</f>
        <v>0.77299505762111842</v>
      </c>
      <c r="DO9" s="45">
        <f>SUM(TNMP!DP55)</f>
        <v>0.7816671902329746</v>
      </c>
      <c r="DP9" s="45">
        <f>SUM(TNMP!DQ55)</f>
        <v>0.78237574963389256</v>
      </c>
      <c r="DQ9" s="45">
        <f>SUM(TNMP!DR55)</f>
        <v>0.77815107503110981</v>
      </c>
      <c r="DR9" s="45">
        <f>SUM(TNMP!DS55)</f>
        <v>0.77553170641157254</v>
      </c>
      <c r="DS9" s="45">
        <f>SUM(TNMP!DT55)</f>
        <v>0.77770471124145202</v>
      </c>
      <c r="DT9" s="45">
        <f>SUM(TNMP!DU55)</f>
        <v>0.78405801836221656</v>
      </c>
      <c r="DU9" s="45">
        <f>SUM(TNMP!DV55)</f>
        <v>0.81224404818346763</v>
      </c>
      <c r="DV9" s="45">
        <f>SUM(TNMP!DW55)</f>
        <v>0.79804206688922108</v>
      </c>
      <c r="DW9" s="45">
        <f>SUM(TNMP!DX55)</f>
        <v>0.79764330312650833</v>
      </c>
      <c r="DX9" s="45">
        <f>SUM(TNMP!DY55)</f>
        <v>0.79673098970440714</v>
      </c>
      <c r="DY9" s="45">
        <f>SUM(TNMP!DZ55)</f>
        <v>0.79695498424034272</v>
      </c>
      <c r="DZ9" s="45">
        <f>SUM(TNMP!EA55)</f>
        <v>0.80096879124852727</v>
      </c>
      <c r="EA9" s="45">
        <f>SUM(TNMP!EB55)</f>
        <v>0.80599051677103895</v>
      </c>
      <c r="EB9" s="45">
        <f>SUM(TNMP!EC55)</f>
        <v>0.80705604881710069</v>
      </c>
      <c r="EC9" s="45">
        <f>SUM(TNMP!ED55)</f>
        <v>0.80338569454293873</v>
      </c>
      <c r="ED9" s="45">
        <f>SUM(TNMP!EE55)</f>
        <v>0.79852440431288108</v>
      </c>
      <c r="EE9" s="45">
        <f>SUM(TNMP!EF55)</f>
        <v>0.79943112109965697</v>
      </c>
      <c r="EF9" s="45">
        <f>SUM(TNMP!EG55)</f>
        <v>0.80398793563445703</v>
      </c>
      <c r="EG9" s="45">
        <f>SUM(TNMP!EH55)</f>
        <v>0.81035673910113204</v>
      </c>
      <c r="EH9" s="45">
        <f>SUM(TNMP!EI55)</f>
        <v>0.81143789924073551</v>
      </c>
      <c r="EI9" s="45">
        <f>SUM(TNMP!EJ55)</f>
        <v>0.8159876291882503</v>
      </c>
      <c r="EJ9" s="45">
        <f>SUM(TNMP!EK55)</f>
        <v>0.81444169948624545</v>
      </c>
      <c r="EK9" s="45">
        <f>SUM(TNMP!EL55)</f>
        <v>0.81388617205192337</v>
      </c>
      <c r="EL9" s="45">
        <f>SUM(TNMP!EM55)</f>
        <v>0.81470997827190739</v>
      </c>
      <c r="EM9" s="45">
        <f>SUM(TNMP!EN55)</f>
        <v>0.81829337803968671</v>
      </c>
      <c r="EN9" s="45">
        <f>SUM(TNMP!EO55)</f>
        <v>0.81855498588495434</v>
      </c>
      <c r="EO9" s="45">
        <f>SUM(TNMP!EP55)</f>
        <v>0.81302721818857937</v>
      </c>
      <c r="EP9" s="45">
        <f>SUM(TNMP!EQ55)</f>
        <v>0.81091509854684196</v>
      </c>
      <c r="EQ9" s="45">
        <f>SUM(TNMP!ER55)</f>
        <v>0.81222254114762804</v>
      </c>
      <c r="ER9" s="45">
        <f>SUM(TNMP!ES55)</f>
        <v>0.81515697388090314</v>
      </c>
      <c r="ES9" s="45">
        <f>SUM(TNMP!ET55)</f>
        <v>0.84192046436295476</v>
      </c>
      <c r="ET9" s="45">
        <f>SUM(TNMP!EU55)</f>
        <v>0.81245294478792529</v>
      </c>
      <c r="EU9" s="45">
        <f>SUM(TNMP!EV55)</f>
        <v>0.83080477521981833</v>
      </c>
      <c r="EV9" s="45">
        <f>SUM(TNMP!EW55)</f>
        <v>0.82793216431638461</v>
      </c>
      <c r="EW9" s="45">
        <f>SUM(TNMP!EX55)</f>
        <v>0.82872320622889273</v>
      </c>
      <c r="EX9" s="45">
        <f>SUM(TNMP!EY55)</f>
        <v>0.83078917906067773</v>
      </c>
      <c r="EY9" s="45">
        <f>SUM(TNMP!EZ55)</f>
        <v>0.83512245397539564</v>
      </c>
      <c r="EZ9" s="45">
        <f>SUM(TNMP!FA55)</f>
        <v>0.83464077998557096</v>
      </c>
      <c r="FA9" s="45">
        <f>SUM(TNMP!FB55)</f>
        <v>0.82996668905125492</v>
      </c>
      <c r="FB9" s="45">
        <f>SUM(TNMP!FC55)</f>
        <v>0.82978872538505644</v>
      </c>
      <c r="FC9" s="45">
        <f>SUM(TNMP!FD55)</f>
        <v>0.83032951551516321</v>
      </c>
      <c r="FD9" s="45">
        <f>SUM(TNMP!FE55)</f>
        <v>0.83223524187231424</v>
      </c>
      <c r="FE9" s="45">
        <f>SUM(TNMP!FF55)</f>
        <v>0.84364248381353657</v>
      </c>
      <c r="FF9" s="45">
        <f>SUM(TNMP!FG55)</f>
        <v>0.84668209103893166</v>
      </c>
      <c r="FG9" s="45">
        <f>SUM(TNMP!FH55)</f>
        <v>0.84613598365223852</v>
      </c>
      <c r="FH9" s="45">
        <f>SUM(TNMP!FI55)</f>
        <v>0.84325961799313764</v>
      </c>
      <c r="FI9" s="45">
        <f>SUM(TNMP!FJ55)</f>
        <v>0.84166225668595229</v>
      </c>
      <c r="FJ9" s="45">
        <f>SUM(TNMP!FK55)</f>
        <v>0.84377498254055427</v>
      </c>
      <c r="FK9" s="45">
        <f>SUM(TNMP!FL55)</f>
        <v>0.8482022669261039</v>
      </c>
      <c r="FL9" s="45">
        <f>SUM(TNMP!FM55)</f>
        <v>0.850074404340593</v>
      </c>
      <c r="FM9" s="45">
        <f>SUM(TNMP!FN55)</f>
        <v>0.84740474148755929</v>
      </c>
      <c r="FN9" s="45">
        <f>SUM(TNMP!FO55)</f>
        <v>0.84543555177861718</v>
      </c>
      <c r="FO9" s="45">
        <f>SUM(TNMP!FP55)</f>
        <v>0.84487943640054486</v>
      </c>
      <c r="FP9" s="45">
        <f>SUM(TNMP!FQ55)</f>
        <v>0.85008849878276416</v>
      </c>
      <c r="FQ9" s="45">
        <f>SUM(TNMP!FR55)</f>
        <v>0.85530610684005837</v>
      </c>
      <c r="FR9" s="45">
        <f>SUM(TNMP!FS55)</f>
        <v>0.85899490270989243</v>
      </c>
      <c r="FS9" s="45">
        <f>SUM(TNMP!FT55)</f>
        <v>0.85776271873690912</v>
      </c>
    </row>
    <row r="10" spans="1:175" x14ac:dyDescent="0.25">
      <c r="A10" s="561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</row>
    <row r="11" spans="1:175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</row>
    <row r="12" spans="1:175" x14ac:dyDescent="0.25">
      <c r="A12" s="46" t="s">
        <v>9</v>
      </c>
      <c r="B12" s="47">
        <f>TOTAL!C55</f>
        <v>1.2315423384910439E-2</v>
      </c>
      <c r="C12" s="47">
        <f>TOTAL!D55</f>
        <v>2.5050109467180844E-2</v>
      </c>
      <c r="D12" s="47">
        <f>TOTAL!E55</f>
        <v>2.5605424545919225E-2</v>
      </c>
      <c r="E12" s="47">
        <f>TOTAL!F55</f>
        <v>2.7704676564813041E-2</v>
      </c>
      <c r="F12" s="47">
        <f>TOTAL!G55</f>
        <v>3.199701432370821E-2</v>
      </c>
      <c r="G12" s="47">
        <f>TOTAL!H55</f>
        <v>3.9910761839596604E-2</v>
      </c>
      <c r="H12" s="47">
        <f>TOTAL!I55</f>
        <v>4.790358623364506E-2</v>
      </c>
      <c r="I12" s="47">
        <f>TOTAL!J55</f>
        <v>5.4618866392296017E-2</v>
      </c>
      <c r="J12" s="47">
        <f>TOTAL!K55</f>
        <v>6.3055373544163185E-2</v>
      </c>
      <c r="K12" s="47">
        <f>TOTAL!L55</f>
        <v>6.9718583000120682E-2</v>
      </c>
      <c r="L12" s="47">
        <f>TOTAL!M55</f>
        <v>7.3105408073989353E-2</v>
      </c>
      <c r="M12" s="47">
        <f>TOTAL!N55</f>
        <v>7.3290042515765208E-2</v>
      </c>
      <c r="N12" s="47">
        <f>TOTAL!O55</f>
        <v>7.9204555722582282E-2</v>
      </c>
      <c r="O12" s="47">
        <f>TOTAL!P55</f>
        <v>8.1100160134963753E-2</v>
      </c>
      <c r="P12" s="47">
        <f>TOTAL!Q55</f>
        <v>8.5177140755086478E-2</v>
      </c>
      <c r="Q12" s="47">
        <f>TOTAL!R55</f>
        <v>9.0146060954488377E-2</v>
      </c>
      <c r="R12" s="47">
        <f>TOTAL!S55</f>
        <v>9.7228030904775067E-2</v>
      </c>
      <c r="S12" s="47">
        <f>TOTAL!T55</f>
        <v>0.10230651101004706</v>
      </c>
      <c r="T12" s="47">
        <f>TOTAL!U55</f>
        <v>0.10971728756398577</v>
      </c>
      <c r="U12" s="47">
        <f>TOTAL!V55</f>
        <v>0.11705877007945212</v>
      </c>
      <c r="V12" s="47">
        <f>TOTAL!W55</f>
        <v>0.12432505745979304</v>
      </c>
      <c r="W12" s="47">
        <f>TOTAL!X55</f>
        <v>0.13505484524302616</v>
      </c>
      <c r="X12" s="47">
        <f>TOTAL!Y55</f>
        <v>0.14295653235603895</v>
      </c>
      <c r="Y12" s="47">
        <f>TOTAL!Z55</f>
        <v>0.15001275981358189</v>
      </c>
      <c r="Z12" s="47">
        <f>TOTAL!AA55</f>
        <v>0.15069853208030276</v>
      </c>
      <c r="AA12" s="47">
        <f>TOTAL!AB55</f>
        <v>0.15227316589546822</v>
      </c>
      <c r="AB12" s="47">
        <f>TOTAL!AC55</f>
        <v>0.1562631598960304</v>
      </c>
      <c r="AC12" s="47">
        <f>TOTAL!AD55</f>
        <v>0.16057878180951352</v>
      </c>
      <c r="AD12" s="47">
        <f>TOTAL!AE55</f>
        <v>0.16389915500121588</v>
      </c>
      <c r="AE12" s="47">
        <f>TOTAL!AF55</f>
        <v>0.1696379480725857</v>
      </c>
      <c r="AF12" s="47">
        <f>TOTAL!AG55</f>
        <v>0.17323904959679925</v>
      </c>
      <c r="AG12" s="47">
        <f>TOTAL!AH55</f>
        <v>0.18046995794882209</v>
      </c>
      <c r="AH12" s="47">
        <f>TOTAL!AI55</f>
        <v>0.18919340393510095</v>
      </c>
      <c r="AI12" s="47">
        <f>TOTAL!AJ55</f>
        <v>0.19721410128744293</v>
      </c>
      <c r="AJ12" s="47">
        <f>TOTAL!AK55</f>
        <v>0.2041859560082952</v>
      </c>
      <c r="AK12" s="47">
        <f>TOTAL!AL55</f>
        <v>0.21038033246523169</v>
      </c>
      <c r="AL12" s="47">
        <f>TOTAL!AM55</f>
        <v>0.21533368218302781</v>
      </c>
      <c r="AM12" s="47">
        <f>TOTAL!AN55</f>
        <v>0.21968150328440228</v>
      </c>
      <c r="AN12" s="47">
        <f>TOTAL!AO55</f>
        <v>0.22486470662403477</v>
      </c>
      <c r="AO12" s="47">
        <f>TOTAL!AP55</f>
        <v>0.23224967117183165</v>
      </c>
      <c r="AP12" s="47">
        <f>TOTAL!AQ55</f>
        <v>0.23988297916805459</v>
      </c>
      <c r="AQ12" s="47">
        <f>TOTAL!AR55</f>
        <v>0.24638692444096097</v>
      </c>
      <c r="AR12" s="47">
        <f>TOTAL!AS55</f>
        <v>0.2537305519434791</v>
      </c>
      <c r="AS12" s="47">
        <f>TOTAL!AT55</f>
        <v>0.26486867317965868</v>
      </c>
      <c r="AT12" s="47">
        <f>TOTAL!AU55</f>
        <v>0.27452924613844687</v>
      </c>
      <c r="AU12" s="47">
        <f>TOTAL!AV55</f>
        <v>0.28665041434417038</v>
      </c>
      <c r="AV12" s="47">
        <f>TOTAL!AW55</f>
        <v>0.29655120340494368</v>
      </c>
      <c r="AW12" s="47">
        <f>TOTAL!AX55</f>
        <v>0.30105559428533207</v>
      </c>
      <c r="AX12" s="47">
        <f>TOTAL!AY55</f>
        <v>0.30433511429853743</v>
      </c>
      <c r="AY12" s="47">
        <f>TOTAL!AZ55</f>
        <v>0.30714632934365088</v>
      </c>
      <c r="AZ12" s="47">
        <f>TOTAL!BA55</f>
        <v>0.31184205412471044</v>
      </c>
      <c r="BA12" s="47">
        <f>TOTAL!BB55</f>
        <v>0.31655894930366912</v>
      </c>
      <c r="BB12" s="47">
        <f>TOTAL!BC55</f>
        <v>0.32315658529842156</v>
      </c>
      <c r="BC12" s="47">
        <f>TOTAL!BD55</f>
        <v>0.32815191813378225</v>
      </c>
      <c r="BD12" s="47">
        <f>TOTAL!BE55</f>
        <v>0.335452429130427</v>
      </c>
      <c r="BE12" s="47">
        <f>TOTAL!BF55</f>
        <v>0.34260343401520094</v>
      </c>
      <c r="BF12" s="47">
        <f>TOTAL!BG55</f>
        <v>0.35016385786674253</v>
      </c>
      <c r="BG12" s="47">
        <f>TOTAL!BH55</f>
        <v>0.36310450278153228</v>
      </c>
      <c r="BH12" s="47">
        <f>TOTAL!BI55</f>
        <v>0.37119215731243765</v>
      </c>
      <c r="BI12" s="47">
        <f>TOTAL!BJ55</f>
        <v>0.37622229351718978</v>
      </c>
      <c r="BJ12" s="47">
        <f>TOTAL!BK55</f>
        <v>0.3824715866056525</v>
      </c>
      <c r="BK12" s="47">
        <f>TOTAL!BL55</f>
        <v>0.38643690398249653</v>
      </c>
      <c r="BL12" s="47">
        <f>TOTAL!BM55</f>
        <v>0.39036903938733458</v>
      </c>
      <c r="BM12" s="47">
        <f>TOTAL!BN55</f>
        <v>0.39791536896420188</v>
      </c>
      <c r="BN12" s="47">
        <f>TOTAL!BO55</f>
        <v>0.40579939073923393</v>
      </c>
      <c r="BO12" s="47">
        <f>TOTAL!BP55</f>
        <v>0.41013113416157193</v>
      </c>
      <c r="BP12" s="47">
        <f>TOTAL!BQ55</f>
        <v>0.41258105575253334</v>
      </c>
      <c r="BQ12" s="47">
        <f>TOTAL!BR55</f>
        <v>0.41517867074608034</v>
      </c>
      <c r="BR12" s="47">
        <f>TOTAL!BS55</f>
        <v>0.41620876674794727</v>
      </c>
      <c r="BS12" s="47">
        <f>TOTAL!BT55</f>
        <v>0.42363301551495758</v>
      </c>
      <c r="BT12" s="47">
        <f>TOTAL!BU55</f>
        <v>0.429115936135053</v>
      </c>
      <c r="BU12" s="47">
        <f>TOTAL!BV55</f>
        <v>0.43325732557817814</v>
      </c>
      <c r="BV12" s="47">
        <f>TOTAL!BW55</f>
        <v>0.433607914556003</v>
      </c>
      <c r="BW12" s="47">
        <f>TOTAL!BX55</f>
        <v>0.43588242167509622</v>
      </c>
      <c r="BX12" s="47">
        <f>TOTAL!BY55</f>
        <v>0.4388177190658693</v>
      </c>
      <c r="BY12" s="47">
        <f>TOTAL!BZ55</f>
        <v>0.44731115185564468</v>
      </c>
      <c r="BZ12" s="47">
        <f>TOTAL!CA55</f>
        <v>0.45447013757494181</v>
      </c>
      <c r="CA12" s="47">
        <f>TOTAL!CB55</f>
        <v>0.45171862667716389</v>
      </c>
      <c r="CB12" s="47">
        <f>TOTAL!CC55</f>
        <v>0.4482966613614997</v>
      </c>
      <c r="CC12" s="47">
        <f>TOTAL!CD55</f>
        <v>0.44770323945933505</v>
      </c>
      <c r="CD12" s="47">
        <f>TOTAL!CE55</f>
        <v>0.45035283275083576</v>
      </c>
      <c r="CE12" s="47">
        <f>TOTAL!CF55</f>
        <v>0.45781126555417823</v>
      </c>
      <c r="CF12" s="47">
        <f>TOTAL!CG55</f>
        <v>0.46256286903255545</v>
      </c>
      <c r="CG12" s="47">
        <f>TOTAL!CH55</f>
        <v>0.46052353264859924</v>
      </c>
      <c r="CH12" s="47">
        <f>TOTAL!CI55</f>
        <v>0.46040890051623934</v>
      </c>
      <c r="CI12" s="47">
        <f>TOTAL!CJ55</f>
        <v>0.46135832057994186</v>
      </c>
      <c r="CJ12" s="47">
        <f>TOTAL!CK55</f>
        <v>0.46647711404674846</v>
      </c>
      <c r="CK12" s="47">
        <f>TOTAL!CL55</f>
        <v>0.47095624411269654</v>
      </c>
      <c r="CL12" s="47">
        <f>TOTAL!CM55</f>
        <v>0.4817807408705882</v>
      </c>
      <c r="CM12" s="47">
        <f>TOTAL!CN55</f>
        <v>0.47946242384452331</v>
      </c>
      <c r="CN12" s="47">
        <f>TOTAL!CO55</f>
        <v>0.47595555106455584</v>
      </c>
      <c r="CO12" s="47">
        <f>TOTAL!CP55</f>
        <v>0.48262899437054119</v>
      </c>
      <c r="CP12" s="47">
        <f>TOTAL!CQ55</f>
        <v>0.48851919863052573</v>
      </c>
      <c r="CQ12" s="281">
        <f>TOTAL!CR55</f>
        <v>0.5031896199913809</v>
      </c>
      <c r="CR12" s="281">
        <f>TOTAL!CS55</f>
        <v>0.50863870945189227</v>
      </c>
      <c r="CS12" s="281">
        <f>TOTAL!CT55</f>
        <v>0.50181399805613536</v>
      </c>
      <c r="CT12" s="281">
        <f>TOTAL!CU55</f>
        <v>0.50075662114868402</v>
      </c>
      <c r="CU12" s="281">
        <f>TOTAL!CV55</f>
        <v>0.5058607365658021</v>
      </c>
      <c r="CV12" s="281">
        <f>TOTAL!CW55</f>
        <v>0.5084381216921724</v>
      </c>
      <c r="CW12" s="281">
        <f>TOTAL!CX55</f>
        <v>0.51591562380417055</v>
      </c>
      <c r="CX12" s="281">
        <f>TOTAL!CY55</f>
        <v>0.52770279050745006</v>
      </c>
      <c r="CY12" s="281">
        <f>TOTAL!CZ55</f>
        <v>0.52211468998788035</v>
      </c>
      <c r="CZ12" s="281">
        <f>TOTAL!DA55</f>
        <v>0.52241606985454603</v>
      </c>
      <c r="DA12" s="281">
        <f>TOTAL!DB55</f>
        <v>0.52241122443596488</v>
      </c>
      <c r="DB12" s="281">
        <f>TOTAL!DC55</f>
        <v>0.53062470566446129</v>
      </c>
      <c r="DC12" s="281">
        <f>TOTAL!DD55</f>
        <v>0.54005268117895722</v>
      </c>
      <c r="DD12" s="281">
        <f>TOTAL!DE55</f>
        <v>0.54913096890923063</v>
      </c>
      <c r="DE12" s="281">
        <f>TOTAL!DF55</f>
        <v>0.54470348327787532</v>
      </c>
      <c r="DF12" s="281">
        <f>TOTAL!DG55</f>
        <v>0.54203016339915622</v>
      </c>
      <c r="DG12" s="281">
        <f>TOTAL!DH55</f>
        <v>0.55086979365828237</v>
      </c>
      <c r="DH12" s="281">
        <f>TOTAL!DI55</f>
        <v>0.55734196389955348</v>
      </c>
      <c r="DI12" s="281">
        <f>TOTAL!DJ55</f>
        <v>0.56301275046470767</v>
      </c>
      <c r="DJ12" s="281">
        <f>TOTAL!DK55</f>
        <v>0.56608177593781117</v>
      </c>
      <c r="DK12" s="281">
        <f>TOTAL!DL55</f>
        <v>0.56243204011766113</v>
      </c>
      <c r="DL12" s="281">
        <f>TOTAL!DM55</f>
        <v>0.5567673394629381</v>
      </c>
      <c r="DM12" s="281">
        <f>TOTAL!DN55</f>
        <v>0.55978977209564407</v>
      </c>
      <c r="DN12" s="281">
        <f>TOTAL!DO55</f>
        <v>0.56577585820684095</v>
      </c>
      <c r="DO12" s="281">
        <f>TOTAL!DP55</f>
        <v>0.57492677440138973</v>
      </c>
      <c r="DP12" s="281">
        <f>TOTAL!DQ55</f>
        <v>0.58227815852130305</v>
      </c>
      <c r="DQ12" s="281">
        <f>TOTAL!DR55</f>
        <v>0.57939959938553875</v>
      </c>
      <c r="DR12" s="281">
        <f>TOTAL!DS55</f>
        <v>0.57982513981539108</v>
      </c>
      <c r="DS12" s="281">
        <f>TOTAL!DT55</f>
        <v>0.58368059452891818</v>
      </c>
      <c r="DT12" s="281">
        <f>TOTAL!DU55</f>
        <v>0.59011715440695434</v>
      </c>
      <c r="DU12" s="281">
        <f>TOTAL!DV55</f>
        <v>0.59938035179710825</v>
      </c>
      <c r="DV12" s="281">
        <f>TOTAL!DW55</f>
        <v>0.59863732662880831</v>
      </c>
      <c r="DW12" s="281">
        <f>TOTAL!DX55</f>
        <v>0.59585916219657709</v>
      </c>
      <c r="DX12" s="281">
        <f>TOTAL!DY55</f>
        <v>0.59388203192329703</v>
      </c>
      <c r="DY12" s="281">
        <f>TOTAL!DZ55</f>
        <v>0.59451037703362142</v>
      </c>
      <c r="DZ12" s="281">
        <f>TOTAL!EA55</f>
        <v>0.59910777196163101</v>
      </c>
      <c r="EA12" s="281">
        <f>TOTAL!EB55</f>
        <v>0.60577448592471428</v>
      </c>
      <c r="EB12" s="281">
        <f>TOTAL!EC55</f>
        <v>0.61187026766679076</v>
      </c>
      <c r="EC12" s="281">
        <f>TOTAL!ED55</f>
        <v>0.61112901417817733</v>
      </c>
      <c r="ED12" s="281">
        <f>TOTAL!EE55</f>
        <v>0.61131933020656315</v>
      </c>
      <c r="EE12" s="281">
        <f>TOTAL!EF55</f>
        <v>0.61199444753050536</v>
      </c>
      <c r="EF12" s="281">
        <f>TOTAL!EG55</f>
        <v>0.61357676951284312</v>
      </c>
      <c r="EG12" s="281">
        <f>TOTAL!EH55</f>
        <v>0.62022570484969919</v>
      </c>
      <c r="EH12" s="281">
        <f>TOTAL!EI55</f>
        <v>0.62456763009553606</v>
      </c>
      <c r="EI12" s="281">
        <f>TOTAL!EJ55</f>
        <v>0.62296734799626396</v>
      </c>
      <c r="EJ12" s="281">
        <f>TOTAL!EK55</f>
        <v>0.6189708694451046</v>
      </c>
      <c r="EK12" s="281">
        <f>TOTAL!EL55</f>
        <v>0.61919446798591815</v>
      </c>
      <c r="EL12" s="281">
        <f>TOTAL!EM55</f>
        <v>0.61947615356019703</v>
      </c>
      <c r="EM12" s="281">
        <f>TOTAL!EN55</f>
        <v>0.62577543512139999</v>
      </c>
      <c r="EN12" s="281">
        <f>TOTAL!EO55</f>
        <v>0.63330013244012162</v>
      </c>
      <c r="EO12" s="281">
        <f>TOTAL!EP55</f>
        <v>0.63341864206542653</v>
      </c>
      <c r="EP12" s="281">
        <f>TOTAL!EQ55</f>
        <v>0.63164358575327517</v>
      </c>
      <c r="EQ12" s="281">
        <f>TOTAL!ER55</f>
        <v>0.63546073542848058</v>
      </c>
      <c r="ER12" s="281">
        <f>TOTAL!ES55</f>
        <v>0.63488268440760409</v>
      </c>
      <c r="ES12" s="281">
        <f>TOTAL!ET55</f>
        <v>0.63899102599302149</v>
      </c>
      <c r="ET12" s="281">
        <f>TOTAL!EU55</f>
        <v>0.64215928820968604</v>
      </c>
      <c r="EU12" s="281">
        <f>TOTAL!EV55</f>
        <v>0.64083889830508023</v>
      </c>
      <c r="EV12" s="281">
        <f>TOTAL!EW55</f>
        <v>0.63902184443595078</v>
      </c>
      <c r="EW12" s="281">
        <f>TOTAL!EX55</f>
        <v>0.63958414359300797</v>
      </c>
      <c r="EX12" s="281">
        <f>TOTAL!EY55</f>
        <v>0.63980374370825033</v>
      </c>
      <c r="EY12" s="281">
        <f>TOTAL!EZ55</f>
        <v>0.64687832510112864</v>
      </c>
      <c r="EZ12" s="281">
        <f>TOTAL!FA55</f>
        <v>0.65220399064197931</v>
      </c>
      <c r="FA12" s="281">
        <f>TOTAL!FB55</f>
        <v>0.65173625492328913</v>
      </c>
      <c r="FB12" s="281">
        <f>TOTAL!FC55</f>
        <v>0.65527929448769739</v>
      </c>
      <c r="FC12" s="281">
        <f>TOTAL!FD55</f>
        <v>0.65367321767943554</v>
      </c>
      <c r="FD12" s="281">
        <f>TOTAL!FE55</f>
        <v>0.65589556885531819</v>
      </c>
      <c r="FE12" s="281">
        <f>TOTAL!FF55</f>
        <v>0.65976329555692947</v>
      </c>
      <c r="FF12" s="281">
        <f>TOTAL!FG55</f>
        <v>0.66472709002204811</v>
      </c>
      <c r="FG12" s="281">
        <f>TOTAL!FH55</f>
        <v>0.66275282852663964</v>
      </c>
      <c r="FH12" s="281">
        <f>TOTAL!FI55</f>
        <v>0.65734124960921914</v>
      </c>
      <c r="FI12" s="281">
        <f>TOTAL!FJ55</f>
        <v>0.65516582688271685</v>
      </c>
      <c r="FJ12" s="281">
        <f>TOTAL!FK55</f>
        <v>0.65797100048229362</v>
      </c>
      <c r="FK12" s="281">
        <f>TOTAL!FL55</f>
        <v>0.66508665533306877</v>
      </c>
      <c r="FL12" s="281">
        <f>TOTAL!FM55</f>
        <v>0.67221588858617198</v>
      </c>
      <c r="FM12" s="281">
        <f>TOTAL!FN55</f>
        <v>0.67297893263029618</v>
      </c>
      <c r="FN12" s="281">
        <f>TOTAL!FO55</f>
        <v>0.67397496334187412</v>
      </c>
      <c r="FO12" s="281">
        <f>TOTAL!FP55</f>
        <v>0.67246045873381666</v>
      </c>
      <c r="FP12" s="281">
        <f>TOTAL!FQ55</f>
        <v>0.67700072469829531</v>
      </c>
      <c r="FQ12" s="281">
        <f>TOTAL!FR55</f>
        <v>0.68055998047510757</v>
      </c>
      <c r="FR12" s="281">
        <f>TOTAL!FS55</f>
        <v>0.6854770914362075</v>
      </c>
      <c r="FS12" s="281">
        <f>TOTAL!FT55</f>
        <v>0.6823898734916648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S22"/>
  <sheetViews>
    <sheetView workbookViewId="0">
      <selection activeCell="Q27" sqref="Q27"/>
    </sheetView>
  </sheetViews>
  <sheetFormatPr defaultColWidth="9.109375" defaultRowHeight="13.2" x14ac:dyDescent="0.25"/>
  <cols>
    <col min="1" max="1" width="25.33203125" style="2" customWidth="1"/>
    <col min="2" max="16384" width="9.109375" style="2"/>
  </cols>
  <sheetData>
    <row r="1" spans="1:175" ht="15.6" x14ac:dyDescent="0.3">
      <c r="A1" s="609" t="s">
        <v>38</v>
      </c>
      <c r="B1" s="610"/>
      <c r="C1" s="610"/>
      <c r="D1" s="610"/>
      <c r="E1" s="610"/>
      <c r="F1" s="610"/>
      <c r="G1" s="610"/>
      <c r="H1" s="610"/>
    </row>
    <row r="2" spans="1:175" ht="15.6" x14ac:dyDescent="0.3">
      <c r="D2" s="43"/>
      <c r="E2" s="43"/>
      <c r="F2" s="43"/>
    </row>
    <row r="4" spans="1:175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</row>
    <row r="5" spans="1:175" x14ac:dyDescent="0.25">
      <c r="A5" s="273" t="s">
        <v>86</v>
      </c>
      <c r="B5" s="45">
        <f>Oncor!C20</f>
        <v>7.7695979410752495E-3</v>
      </c>
      <c r="C5" s="45">
        <f>Oncor!D20</f>
        <v>3.2181911722316076E-2</v>
      </c>
      <c r="D5" s="45">
        <f>Oncor!E20</f>
        <v>4.6730532606785023E-2</v>
      </c>
      <c r="E5" s="45">
        <f>Oncor!F20</f>
        <v>5.2342852501247435E-2</v>
      </c>
      <c r="F5" s="45">
        <f>Oncor!G20</f>
        <v>5.7644553264853744E-2</v>
      </c>
      <c r="G5" s="45">
        <f>Oncor!H20</f>
        <v>6.7016908864999183E-2</v>
      </c>
      <c r="H5" s="45">
        <f>Oncor!I20</f>
        <v>6.6435788787483699E-2</v>
      </c>
      <c r="I5" s="45">
        <f>Oncor!J20</f>
        <v>8.4008271583663627E-2</v>
      </c>
      <c r="J5" s="45">
        <f>Oncor!K20</f>
        <v>9.0599786137843877E-2</v>
      </c>
      <c r="K5" s="45">
        <f>Oncor!L20</f>
        <v>9.7853304142827308E-2</v>
      </c>
      <c r="L5" s="45">
        <f>Oncor!M20</f>
        <v>0.1037568587477499</v>
      </c>
      <c r="M5" s="45">
        <f>Oncor!N20</f>
        <v>0.11052878068852752</v>
      </c>
      <c r="N5" s="45">
        <f>Oncor!O20</f>
        <v>0.11978088174391024</v>
      </c>
      <c r="O5" s="45">
        <f>Oncor!P20</f>
        <v>0.12692336641541488</v>
      </c>
      <c r="P5" s="45">
        <f>Oncor!Q20</f>
        <v>0.12701814314717541</v>
      </c>
      <c r="Q5" s="45">
        <f>Oncor!R20</f>
        <v>0.12995266927048357</v>
      </c>
      <c r="R5" s="45">
        <f>Oncor!S20</f>
        <v>0.13587807966349044</v>
      </c>
      <c r="S5" s="45">
        <f>Oncor!T20</f>
        <v>0.14540799896953693</v>
      </c>
      <c r="T5" s="45">
        <f>Oncor!U20</f>
        <v>0.14840516813075552</v>
      </c>
      <c r="U5" s="45">
        <f>Oncor!V20</f>
        <v>0.15191757421029625</v>
      </c>
      <c r="V5" s="45">
        <f>Oncor!W20</f>
        <v>0.15741564775840181</v>
      </c>
      <c r="W5" s="45">
        <f>Oncor!X20</f>
        <v>0.16322735276592448</v>
      </c>
      <c r="X5" s="45">
        <f>Oncor!Y20</f>
        <v>0.17054469943027528</v>
      </c>
      <c r="Y5" s="45">
        <f>Oncor!Z20</f>
        <v>0.1786050619576379</v>
      </c>
      <c r="Z5" s="45">
        <f>Oncor!AA20</f>
        <v>0.16947577015070076</v>
      </c>
      <c r="AA5" s="45">
        <f>Oncor!AB20</f>
        <v>0.17168464694956118</v>
      </c>
      <c r="AB5" s="45">
        <f>Oncor!AC20</f>
        <v>0.17620265536318028</v>
      </c>
      <c r="AC5" s="45">
        <f>Oncor!AD20</f>
        <v>0.17901682019481585</v>
      </c>
      <c r="AD5" s="45">
        <f>Oncor!AE20</f>
        <v>0.18249899795371602</v>
      </c>
      <c r="AE5" s="45">
        <f>Oncor!AF20</f>
        <v>0.1893590192460072</v>
      </c>
      <c r="AF5" s="45">
        <f>Oncor!AG20</f>
        <v>0.19780972484301873</v>
      </c>
      <c r="AG5" s="45">
        <f>Oncor!AH20</f>
        <v>0.20139436160934759</v>
      </c>
      <c r="AH5" s="45">
        <f>Oncor!AI20</f>
        <v>0.20884562124963282</v>
      </c>
      <c r="AI5" s="45">
        <f>Oncor!AJ20</f>
        <v>0.21487765602293704</v>
      </c>
      <c r="AJ5" s="45">
        <f>Oncor!AK20</f>
        <v>0.22040239050073984</v>
      </c>
      <c r="AK5" s="45">
        <f>Oncor!AL20</f>
        <v>0.2256906120698223</v>
      </c>
      <c r="AL5" s="45">
        <f>Oncor!AM20</f>
        <v>0.24404582975316097</v>
      </c>
      <c r="AM5" s="45">
        <f>Oncor!AN20</f>
        <v>0.25093796399282625</v>
      </c>
      <c r="AN5" s="45">
        <f>Oncor!AO20</f>
        <v>0.25504282217514351</v>
      </c>
      <c r="AO5" s="45">
        <f>Oncor!AP20</f>
        <v>0.26767303030857692</v>
      </c>
      <c r="AP5" s="45">
        <f>Oncor!AQ20</f>
        <v>0.2746745065098698</v>
      </c>
      <c r="AQ5" s="45">
        <f>Oncor!AR20</f>
        <v>0.28874322457083529</v>
      </c>
      <c r="AR5" s="45">
        <f>Oncor!AS20</f>
        <v>0.29671488848704036</v>
      </c>
      <c r="AS5" s="45">
        <f>Oncor!AT20</f>
        <v>0.30210281889293916</v>
      </c>
      <c r="AT5" s="45">
        <f>Oncor!AU20</f>
        <v>0.30731679509968024</v>
      </c>
      <c r="AU5" s="45">
        <f>Oncor!AV20</f>
        <v>0.30962782752730472</v>
      </c>
      <c r="AV5" s="45">
        <f>Oncor!AW20</f>
        <v>0.31386931164246273</v>
      </c>
      <c r="AW5" s="45">
        <f>Oncor!AX20</f>
        <v>0.31672782035822783</v>
      </c>
      <c r="AX5" s="45">
        <f>Oncor!AY20</f>
        <v>0.32410321765070133</v>
      </c>
      <c r="AY5" s="45">
        <f>Oncor!AZ20</f>
        <v>0.32926325406173895</v>
      </c>
      <c r="AZ5" s="45">
        <f>Oncor!BA20</f>
        <v>0.33715215497360734</v>
      </c>
      <c r="BA5" s="45">
        <f>Oncor!BB20</f>
        <v>0.34594181526358969</v>
      </c>
      <c r="BB5" s="45">
        <f>Oncor!BC20</f>
        <v>0.35219498507767261</v>
      </c>
      <c r="BC5" s="45">
        <f>Oncor!BD20</f>
        <v>0.35726089203826439</v>
      </c>
      <c r="BD5" s="45">
        <f>Oncor!BE20</f>
        <v>0.36222823598832066</v>
      </c>
      <c r="BE5" s="45">
        <f>Oncor!BF20</f>
        <v>0.36668073229383263</v>
      </c>
      <c r="BF5" s="45">
        <f>Oncor!BG20</f>
        <v>0.37543230173835485</v>
      </c>
      <c r="BG5" s="45">
        <f>Oncor!BH20</f>
        <v>0.38493376010250596</v>
      </c>
      <c r="BH5" s="45">
        <f>Oncor!BI20</f>
        <v>0.39490860622586699</v>
      </c>
      <c r="BI5" s="45">
        <f>Oncor!BJ20</f>
        <v>0.40070411062122618</v>
      </c>
      <c r="BJ5" s="45">
        <f>Oncor!BK20</f>
        <v>0.41383381809206088</v>
      </c>
      <c r="BK5" s="45">
        <f>Oncor!BL20</f>
        <v>0.42277051038928687</v>
      </c>
      <c r="BL5" s="45">
        <f>Oncor!BM20</f>
        <v>0.42955273189326554</v>
      </c>
      <c r="BM5" s="45">
        <f>Oncor!BN20</f>
        <v>0.43443231800839133</v>
      </c>
      <c r="BN5" s="45">
        <f>Oncor!BO20</f>
        <v>0.43911844613978362</v>
      </c>
      <c r="BO5" s="45">
        <f>Oncor!BP20</f>
        <v>0.44346258482761408</v>
      </c>
      <c r="BP5" s="45">
        <f>Oncor!BQ20</f>
        <v>0.44759029900365821</v>
      </c>
      <c r="BQ5" s="45">
        <f>Oncor!BR20</f>
        <v>0.45077754249066293</v>
      </c>
      <c r="BR5" s="45">
        <f>Oncor!BS20</f>
        <v>0.4542686928863533</v>
      </c>
      <c r="BS5" s="45">
        <f>Oncor!BT20</f>
        <v>0.45924836461153057</v>
      </c>
      <c r="BT5" s="45">
        <f>Oncor!BU20</f>
        <v>0.46204644613625984</v>
      </c>
      <c r="BU5" s="45">
        <f>Oncor!BV20</f>
        <v>0.46738504586043883</v>
      </c>
      <c r="BV5" s="45">
        <f>Oncor!BW20</f>
        <v>0.47150992112616275</v>
      </c>
      <c r="BW5" s="45">
        <f>Oncor!BX20</f>
        <v>0.47317175431772601</v>
      </c>
      <c r="BX5" s="45">
        <f>Oncor!BY20</f>
        <v>0.47484008421137663</v>
      </c>
      <c r="BY5" s="45">
        <f>Oncor!BZ20</f>
        <v>0.47659853480777231</v>
      </c>
      <c r="BZ5" s="45">
        <f>Oncor!CA20</f>
        <v>0.47901008895502395</v>
      </c>
      <c r="CA5" s="45">
        <f>Oncor!CB20</f>
        <v>0.48481621617539328</v>
      </c>
      <c r="CB5" s="45">
        <f>Oncor!CC20</f>
        <v>0.4866924359519253</v>
      </c>
      <c r="CC5" s="45">
        <f>Oncor!CD20</f>
        <v>0.48913404281001044</v>
      </c>
      <c r="CD5" s="45">
        <f>Oncor!CE20</f>
        <v>0.49134735639530641</v>
      </c>
      <c r="CE5" s="45">
        <f>Oncor!CF20</f>
        <v>0.49443701706283566</v>
      </c>
      <c r="CF5" s="45">
        <f>Oncor!CG20</f>
        <v>0.49878715442726457</v>
      </c>
      <c r="CG5" s="45">
        <f>Oncor!CH20</f>
        <v>0.50808638290553321</v>
      </c>
      <c r="CH5" s="45">
        <f>Oncor!CI20</f>
        <v>0.52181571882954814</v>
      </c>
      <c r="CI5" s="45">
        <f>Oncor!CJ20</f>
        <v>0.51459271641247528</v>
      </c>
      <c r="CJ5" s="45">
        <f>Oncor!CK20</f>
        <v>0.51637045384487101</v>
      </c>
      <c r="CK5" s="45">
        <f>Oncor!CL20</f>
        <v>0.51883866310983684</v>
      </c>
      <c r="CL5" s="45">
        <f>Oncor!CM20</f>
        <v>0.52224527926051623</v>
      </c>
      <c r="CM5" s="45">
        <f>Oncor!CN20</f>
        <v>0.52070363654679153</v>
      </c>
      <c r="CN5" s="45">
        <f>Oncor!CO20</f>
        <v>0.52336678992780417</v>
      </c>
      <c r="CO5" s="45">
        <f>Oncor!CP20</f>
        <v>0.52647008538412798</v>
      </c>
      <c r="CP5" s="45">
        <f>Oncor!CQ20</f>
        <v>0.53105385451034037</v>
      </c>
      <c r="CQ5" s="45">
        <f>Oncor!CR20</f>
        <v>0.53611692704139158</v>
      </c>
      <c r="CR5" s="45">
        <f>Oncor!CS20</f>
        <v>0.54057975395218083</v>
      </c>
      <c r="CS5" s="45">
        <f>Oncor!CT20</f>
        <v>0.54392763555734736</v>
      </c>
      <c r="CT5" s="45">
        <f>Oncor!CU20</f>
        <v>0.54555284190150699</v>
      </c>
      <c r="CU5" s="45">
        <f>Oncor!CV20</f>
        <v>0.54760808120468041</v>
      </c>
      <c r="CV5" s="45">
        <f>Oncor!CW20</f>
        <v>0.55067611722716536</v>
      </c>
      <c r="CW5" s="45">
        <f>Oncor!CX20</f>
        <v>0.55231107518838518</v>
      </c>
      <c r="CX5" s="45">
        <f>Oncor!CY20</f>
        <v>0.55640549293299524</v>
      </c>
      <c r="CY5" s="45">
        <f>Oncor!CZ20</f>
        <v>0.56086988188432552</v>
      </c>
      <c r="CZ5" s="45">
        <f>Oncor!DA20</f>
        <v>0.56821171768297585</v>
      </c>
      <c r="DA5" s="45">
        <f>Oncor!DB20</f>
        <v>0.57198596667084323</v>
      </c>
      <c r="DB5" s="45">
        <f>Oncor!DC20</f>
        <v>0.57592546210489404</v>
      </c>
      <c r="DC5" s="45">
        <f>Oncor!DD20</f>
        <v>0.5799484921824748</v>
      </c>
      <c r="DD5" s="45">
        <f>Oncor!DE20</f>
        <v>0.58593624899919938</v>
      </c>
      <c r="DE5" s="45">
        <f>Oncor!DF20</f>
        <v>0.59004239672832326</v>
      </c>
      <c r="DF5" s="45">
        <f>Oncor!DG20</f>
        <v>0.58909026332639669</v>
      </c>
      <c r="DG5" s="45">
        <f>Oncor!DH20</f>
        <v>0.5928919989411171</v>
      </c>
      <c r="DH5" s="45">
        <f>Oncor!DI20</f>
        <v>0.59651331188011458</v>
      </c>
      <c r="DI5" s="45">
        <f>Oncor!DJ20</f>
        <v>0.60161499029512766</v>
      </c>
      <c r="DJ5" s="45">
        <f>Oncor!DK20</f>
        <v>0.60620190086298986</v>
      </c>
      <c r="DK5" s="45">
        <f>Oncor!DL20</f>
        <v>0.61417655368626944</v>
      </c>
      <c r="DL5" s="45">
        <f>Oncor!DM20</f>
        <v>0.63989303475604931</v>
      </c>
      <c r="DM5" s="45">
        <f>Oncor!DN20</f>
        <v>0.62319772541367313</v>
      </c>
      <c r="DN5" s="45">
        <f>Oncor!DO20</f>
        <v>0.62677363451066892</v>
      </c>
      <c r="DO5" s="45">
        <f>Oncor!DP20</f>
        <v>0.63085420440830531</v>
      </c>
      <c r="DP5" s="45">
        <f>Oncor!DQ20</f>
        <v>0.63516080595892543</v>
      </c>
      <c r="DQ5" s="45">
        <f>Oncor!DR20</f>
        <v>0.63865164344158598</v>
      </c>
      <c r="DR5" s="45">
        <f>Oncor!DS20</f>
        <v>0.64300920026223329</v>
      </c>
      <c r="DS5" s="45">
        <f>Oncor!DT20</f>
        <v>0.64519759603949711</v>
      </c>
      <c r="DT5" s="45">
        <f>Oncor!DU20</f>
        <v>0.64743081456246998</v>
      </c>
      <c r="DU5" s="45">
        <f>Oncor!DV20</f>
        <v>0.64953574585932194</v>
      </c>
      <c r="DV5" s="45">
        <f>Oncor!DW20</f>
        <v>0.6513354706060045</v>
      </c>
      <c r="DW5" s="45">
        <f>Oncor!DX20</f>
        <v>0.65440876408861248</v>
      </c>
      <c r="DX5" s="45">
        <f>Oncor!DY20</f>
        <v>0.65522511529289607</v>
      </c>
      <c r="DY5" s="45">
        <f>Oncor!DZ20</f>
        <v>0.65666854534591479</v>
      </c>
      <c r="DZ5" s="45">
        <f>Oncor!EA20</f>
        <v>0.65815104543918101</v>
      </c>
      <c r="EA5" s="45">
        <f>Oncor!EB20</f>
        <v>0.65973898220903127</v>
      </c>
      <c r="EB5" s="45">
        <f>Oncor!EC20</f>
        <v>0.66157203136741105</v>
      </c>
      <c r="EC5" s="45">
        <f>Oncor!ED20</f>
        <v>0.66147016337017994</v>
      </c>
      <c r="ED5" s="45">
        <f>Oncor!EE20</f>
        <v>0.6618911243627138</v>
      </c>
      <c r="EE5" s="45">
        <f>Oncor!EF20</f>
        <v>0.66207018898139913</v>
      </c>
      <c r="EF5" s="45">
        <f>Oncor!EG20</f>
        <v>0.66302284667951217</v>
      </c>
      <c r="EG5" s="45">
        <f>Oncor!EH20</f>
        <v>0.664923678612104</v>
      </c>
      <c r="EH5" s="45">
        <f>Oncor!EI20</f>
        <v>0.66668492211274244</v>
      </c>
      <c r="EI5" s="45">
        <f>Oncor!EJ20</f>
        <v>0.66851481570419469</v>
      </c>
      <c r="EJ5" s="45">
        <f>Oncor!EK20</f>
        <v>0.66951442478926748</v>
      </c>
      <c r="EK5" s="45">
        <f>Oncor!EL20</f>
        <v>0.6705174363070534</v>
      </c>
      <c r="EL5" s="45">
        <f>Oncor!EM20</f>
        <v>0.6718298952593178</v>
      </c>
      <c r="EM5" s="45">
        <f>Oncor!EN20</f>
        <v>0.67327472818630008</v>
      </c>
      <c r="EN5" s="45">
        <f>Oncor!EO20</f>
        <v>0.67424826158275153</v>
      </c>
      <c r="EO5" s="45">
        <f>Oncor!EP20</f>
        <v>0.67602882116702101</v>
      </c>
      <c r="EP5" s="45">
        <f>Oncor!EQ20</f>
        <v>0.6777619827997412</v>
      </c>
      <c r="EQ5" s="45">
        <f>Oncor!ER20</f>
        <v>0.67823806581547708</v>
      </c>
      <c r="ER5" s="45">
        <f>Oncor!ES20</f>
        <v>0.67926912487940327</v>
      </c>
      <c r="ES5" s="45">
        <f>Oncor!ET20</f>
        <v>0.68045508351966333</v>
      </c>
      <c r="ET5" s="45">
        <f>Oncor!EU20</f>
        <v>0.6803967117276557</v>
      </c>
      <c r="EU5" s="45">
        <f>Oncor!EV20</f>
        <v>0.68165213830222904</v>
      </c>
      <c r="EV5" s="45">
        <f>Oncor!EW20</f>
        <v>0.68298143846085535</v>
      </c>
      <c r="EW5" s="45">
        <f>Oncor!EX20</f>
        <v>0.6842747087736315</v>
      </c>
      <c r="EX5" s="45">
        <f>Oncor!EY20</f>
        <v>0.68511357525160699</v>
      </c>
      <c r="EY5" s="45">
        <f>Oncor!EZ20</f>
        <v>0.68528357667796236</v>
      </c>
      <c r="EZ5" s="45">
        <f>Oncor!FA20</f>
        <v>0.68627605775080225</v>
      </c>
      <c r="FA5" s="45">
        <f>Oncor!FB20</f>
        <v>0.68740723217930166</v>
      </c>
      <c r="FB5" s="45">
        <f>Oncor!FC20</f>
        <v>0.68762708052703203</v>
      </c>
      <c r="FC5" s="45">
        <f>Oncor!FD20</f>
        <v>0.67978193500235262</v>
      </c>
      <c r="FD5" s="45">
        <f>Oncor!FE20</f>
        <v>0.67935797025598743</v>
      </c>
      <c r="FE5" s="45">
        <f>Oncor!FF20</f>
        <v>0.67941380266075391</v>
      </c>
      <c r="FF5" s="45">
        <f>Oncor!FG20</f>
        <v>0.68019673386715385</v>
      </c>
      <c r="FG5" s="45">
        <f>Oncor!FH20</f>
        <v>0.68201794796196658</v>
      </c>
      <c r="FH5" s="45">
        <f>Oncor!FI20</f>
        <v>0.68092719102261146</v>
      </c>
      <c r="FI5" s="45">
        <f>Oncor!FJ20</f>
        <v>0.68177704270323658</v>
      </c>
      <c r="FJ5" s="45">
        <f>Oncor!FK20</f>
        <v>0.68284929923421467</v>
      </c>
      <c r="FK5" s="45">
        <f>Oncor!FL20</f>
        <v>0.68392441107947188</v>
      </c>
      <c r="FL5" s="45">
        <f>Oncor!FM20</f>
        <v>0.68494909343054666</v>
      </c>
      <c r="FM5" s="45">
        <f>Oncor!FN20</f>
        <v>0.68559373392030187</v>
      </c>
      <c r="FN5" s="45">
        <f>Oncor!FO20</f>
        <v>0.68681122705614439</v>
      </c>
      <c r="FO5" s="45">
        <f>Oncor!FP20</f>
        <v>0.69960319091129097</v>
      </c>
      <c r="FP5" s="45">
        <f>Oncor!FQ20</f>
        <v>0.70303672799398131</v>
      </c>
      <c r="FQ5" s="45">
        <f>Oncor!FR20</f>
        <v>0.70342723496034476</v>
      </c>
      <c r="FR5" s="45">
        <f>Oncor!FS20</f>
        <v>0.70469125037184388</v>
      </c>
      <c r="FS5" s="45">
        <f>Oncor!FT20</f>
        <v>0.70623360665957846</v>
      </c>
    </row>
    <row r="6" spans="1:175" x14ac:dyDescent="0.25">
      <c r="A6" s="44" t="s">
        <v>23</v>
      </c>
      <c r="B6" s="45">
        <f>Centerpoint!C20</f>
        <v>8.2944817330493151E-3</v>
      </c>
      <c r="C6" s="45">
        <f>Centerpoint!D20</f>
        <v>3.8180994284544884E-2</v>
      </c>
      <c r="D6" s="45">
        <f>Centerpoint!E20</f>
        <v>5.2783869249557337E-2</v>
      </c>
      <c r="E6" s="45">
        <f>Centerpoint!F20</f>
        <v>5.6977240773708124E-2</v>
      </c>
      <c r="F6" s="45">
        <f>Centerpoint!G20</f>
        <v>6.4661309279237092E-2</v>
      </c>
      <c r="G6" s="45">
        <f>Centerpoint!H20</f>
        <v>6.9876242265141567E-2</v>
      </c>
      <c r="H6" s="45">
        <f>Centerpoint!I20</f>
        <v>7.178246663963346E-2</v>
      </c>
      <c r="I6" s="45">
        <f>Centerpoint!J20</f>
        <v>9.2589759636557495E-2</v>
      </c>
      <c r="J6" s="45">
        <f>Centerpoint!K20</f>
        <v>9.5071054703144642E-2</v>
      </c>
      <c r="K6" s="45">
        <f>Centerpoint!L20</f>
        <v>0.10196874198394958</v>
      </c>
      <c r="L6" s="45">
        <f>Centerpoint!M20</f>
        <v>0.10621697829122068</v>
      </c>
      <c r="M6" s="45">
        <f>Centerpoint!N20</f>
        <v>0.11024489257221395</v>
      </c>
      <c r="N6" s="45">
        <f>Centerpoint!O20</f>
        <v>0.11510613398285491</v>
      </c>
      <c r="O6" s="45">
        <f>Centerpoint!P20</f>
        <v>0.12213398685109692</v>
      </c>
      <c r="P6" s="45">
        <f>Centerpoint!Q20</f>
        <v>0.12950765338275316</v>
      </c>
      <c r="Q6" s="45">
        <f>Centerpoint!R20</f>
        <v>0.12818252312464229</v>
      </c>
      <c r="R6" s="45">
        <f>Centerpoint!S20</f>
        <v>0.12986456013170455</v>
      </c>
      <c r="S6" s="45">
        <f>Centerpoint!T20</f>
        <v>0.1320938040260374</v>
      </c>
      <c r="T6" s="45">
        <f>Centerpoint!U20</f>
        <v>0.13644542183126748</v>
      </c>
      <c r="U6" s="45">
        <f>Centerpoint!V20</f>
        <v>0.14313117630480832</v>
      </c>
      <c r="V6" s="45">
        <f>Centerpoint!W20</f>
        <v>0.14193568958998584</v>
      </c>
      <c r="W6" s="45">
        <f>Centerpoint!X20</f>
        <v>0.14661457266066494</v>
      </c>
      <c r="X6" s="45">
        <f>Centerpoint!Y20</f>
        <v>0.15676580415986319</v>
      </c>
      <c r="Y6" s="45">
        <f>Centerpoint!Z20</f>
        <v>0.16995179990840623</v>
      </c>
      <c r="Z6" s="45">
        <f>Centerpoint!AA20</f>
        <v>0.18332629245535856</v>
      </c>
      <c r="AA6" s="45">
        <f>Centerpoint!AB20</f>
        <v>0.19018747615673878</v>
      </c>
      <c r="AB6" s="45">
        <f>Centerpoint!AC20</f>
        <v>0.19661521108311425</v>
      </c>
      <c r="AC6" s="45">
        <f>Centerpoint!AD20</f>
        <v>0.20249981878805451</v>
      </c>
      <c r="AD6" s="45">
        <f>Centerpoint!AE20</f>
        <v>0.20784234051198699</v>
      </c>
      <c r="AE6" s="45">
        <f>Centerpoint!AF20</f>
        <v>0.21581023760739063</v>
      </c>
      <c r="AF6" s="45">
        <f>Centerpoint!AG20</f>
        <v>0.22716061540665272</v>
      </c>
      <c r="AG6" s="45">
        <f>Centerpoint!AH20</f>
        <v>0.23819579620336803</v>
      </c>
      <c r="AH6" s="45">
        <f>Centerpoint!AI20</f>
        <v>0.24799721817282103</v>
      </c>
      <c r="AI6" s="45">
        <f>Centerpoint!AJ20</f>
        <v>0.25800962354436119</v>
      </c>
      <c r="AJ6" s="45">
        <f>Centerpoint!AK20</f>
        <v>0.26604462546641999</v>
      </c>
      <c r="AK6" s="45">
        <f>Centerpoint!AL20</f>
        <v>0.27464068902379407</v>
      </c>
      <c r="AL6" s="45">
        <f>Centerpoint!AM20</f>
        <v>0.27688888689753438</v>
      </c>
      <c r="AM6" s="45">
        <f>Centerpoint!AN20</f>
        <v>0.2797884766880665</v>
      </c>
      <c r="AN6" s="45">
        <f>Centerpoint!AO20</f>
        <v>0.28202296416640804</v>
      </c>
      <c r="AO6" s="45">
        <f>Centerpoint!AP20</f>
        <v>0.30719170966130394</v>
      </c>
      <c r="AP6" s="45">
        <f>Centerpoint!AQ20</f>
        <v>0.31212201125175809</v>
      </c>
      <c r="AQ6" s="45">
        <f>Centerpoint!AR20</f>
        <v>0.32045334069332915</v>
      </c>
      <c r="AR6" s="45">
        <f>Centerpoint!AS20</f>
        <v>0.32611569454685069</v>
      </c>
      <c r="AS6" s="45">
        <f>Centerpoint!AT20</f>
        <v>0.3354608850557233</v>
      </c>
      <c r="AT6" s="45">
        <f>Centerpoint!AU20</f>
        <v>0.34496445523357061</v>
      </c>
      <c r="AU6" s="45">
        <f>Centerpoint!AV20</f>
        <v>0.35074630108414628</v>
      </c>
      <c r="AV6" s="45">
        <f>Centerpoint!AW20</f>
        <v>0.35271842267938736</v>
      </c>
      <c r="AW6" s="45">
        <f>Centerpoint!AX20</f>
        <v>0.36163092793149049</v>
      </c>
      <c r="AX6" s="45">
        <f>Centerpoint!AY20</f>
        <v>0.35790089555298366</v>
      </c>
      <c r="AY6" s="45">
        <f>Centerpoint!AZ20</f>
        <v>0.35763288454083342</v>
      </c>
      <c r="AZ6" s="45">
        <f>Centerpoint!BA20</f>
        <v>0.35253669123493137</v>
      </c>
      <c r="BA6" s="45">
        <f>Centerpoint!BB20</f>
        <v>0.35359947840484535</v>
      </c>
      <c r="BB6" s="45">
        <f>Centerpoint!BC20</f>
        <v>0.35901303140354623</v>
      </c>
      <c r="BC6" s="45">
        <f>Centerpoint!BD20</f>
        <v>0.36390254282370466</v>
      </c>
      <c r="BD6" s="45">
        <f>Centerpoint!BE20</f>
        <v>0.36850234658112041</v>
      </c>
      <c r="BE6" s="45">
        <f>Centerpoint!BF20</f>
        <v>0.37114975114439575</v>
      </c>
      <c r="BF6" s="45">
        <f>Centerpoint!BG20</f>
        <v>0.3755886920082534</v>
      </c>
      <c r="BG6" s="45">
        <f>Centerpoint!BH20</f>
        <v>0.38205211961294211</v>
      </c>
      <c r="BH6" s="45">
        <f>Centerpoint!BI20</f>
        <v>0.39135975424501235</v>
      </c>
      <c r="BI6" s="45">
        <f>Centerpoint!BJ20</f>
        <v>0.40076242006886376</v>
      </c>
      <c r="BJ6" s="45">
        <f>Centerpoint!BK20</f>
        <v>0.40792194640410523</v>
      </c>
      <c r="BK6" s="45">
        <f>Centerpoint!BL20</f>
        <v>0.4171115738051116</v>
      </c>
      <c r="BL6" s="45">
        <f>Centerpoint!BM20</f>
        <v>0.42447007863690395</v>
      </c>
      <c r="BM6" s="45">
        <f>Centerpoint!BN20</f>
        <v>0.42898314668377036</v>
      </c>
      <c r="BN6" s="45">
        <f>Centerpoint!BO20</f>
        <v>0.43306877861567467</v>
      </c>
      <c r="BO6" s="45">
        <f>Centerpoint!BP20</f>
        <v>0.43675776460114557</v>
      </c>
      <c r="BP6" s="45">
        <f>Centerpoint!BQ20</f>
        <v>0.4429130067072507</v>
      </c>
      <c r="BQ6" s="45">
        <f>Centerpoint!BR20</f>
        <v>0.4464868456466155</v>
      </c>
      <c r="BR6" s="45">
        <f>Centerpoint!BS20</f>
        <v>0.45179317249728751</v>
      </c>
      <c r="BS6" s="45">
        <f>Centerpoint!BT20</f>
        <v>0.45588940753440371</v>
      </c>
      <c r="BT6" s="45">
        <f>Centerpoint!BU20</f>
        <v>0.48014639722853703</v>
      </c>
      <c r="BU6" s="45">
        <f>Centerpoint!BV20</f>
        <v>0.46545339294054849</v>
      </c>
      <c r="BV6" s="45">
        <f>Centerpoint!BW20</f>
        <v>0.46779171810871234</v>
      </c>
      <c r="BW6" s="45">
        <f>Centerpoint!BX20</f>
        <v>0.47255442603940284</v>
      </c>
      <c r="BX6" s="45">
        <f>Centerpoint!BY20</f>
        <v>0.47458219297734816</v>
      </c>
      <c r="BY6" s="45">
        <f>Centerpoint!BZ20</f>
        <v>0.47763140463021231</v>
      </c>
      <c r="BZ6" s="45">
        <f>Centerpoint!CA20</f>
        <v>0.47868549176367592</v>
      </c>
      <c r="CA6" s="45">
        <f>Centerpoint!CB20</f>
        <v>0.48239340997555896</v>
      </c>
      <c r="CB6" s="45">
        <f>Centerpoint!CC20</f>
        <v>0.48173841400617917</v>
      </c>
      <c r="CC6" s="45">
        <f>Centerpoint!CD20</f>
        <v>0.49880814156242181</v>
      </c>
      <c r="CD6" s="45">
        <f>Centerpoint!CE20</f>
        <v>0.5171512469498325</v>
      </c>
      <c r="CE6" s="45">
        <f>Centerpoint!CF20</f>
        <v>0.51731928961839413</v>
      </c>
      <c r="CF6" s="45">
        <f>Centerpoint!CG20</f>
        <v>0.51788655897299207</v>
      </c>
      <c r="CG6" s="45">
        <f>Centerpoint!CH20</f>
        <v>0.52110163113790686</v>
      </c>
      <c r="CH6" s="45">
        <f>Centerpoint!CI20</f>
        <v>0.52774931658570778</v>
      </c>
      <c r="CI6" s="45">
        <f>Centerpoint!CJ20</f>
        <v>0.53268222176336977</v>
      </c>
      <c r="CJ6" s="45">
        <f>Centerpoint!CK20</f>
        <v>0.53799823658709234</v>
      </c>
      <c r="CK6" s="45">
        <f>Centerpoint!CL20</f>
        <v>0.54464385057589682</v>
      </c>
      <c r="CL6" s="45">
        <f>Centerpoint!CM20</f>
        <v>0.55025017518409702</v>
      </c>
      <c r="CM6" s="45">
        <f>Centerpoint!CN20</f>
        <v>0.55632462150740569</v>
      </c>
      <c r="CN6" s="45">
        <f>Centerpoint!CO20</f>
        <v>0.56274738836309901</v>
      </c>
      <c r="CO6" s="45">
        <f>Centerpoint!CP20</f>
        <v>0.56815449230009063</v>
      </c>
      <c r="CP6" s="45">
        <f>Centerpoint!CQ20</f>
        <v>0.57494087524983006</v>
      </c>
      <c r="CQ6" s="45">
        <f>Centerpoint!CR20</f>
        <v>0.58129869283176316</v>
      </c>
      <c r="CR6" s="45">
        <f>Centerpoint!CS20</f>
        <v>0.5850024086941612</v>
      </c>
      <c r="CS6" s="45">
        <f>Centerpoint!CT20</f>
        <v>0.5883574613646082</v>
      </c>
      <c r="CT6" s="45">
        <f>Centerpoint!CU20</f>
        <v>0.59063250926567024</v>
      </c>
      <c r="CU6" s="45">
        <f>Centerpoint!CV20</f>
        <v>0.59420584953452948</v>
      </c>
      <c r="CV6" s="45">
        <f>Centerpoint!CW20</f>
        <v>0.59831224328233867</v>
      </c>
      <c r="CW6" s="45">
        <f>Centerpoint!CX20</f>
        <v>0.59872270543154305</v>
      </c>
      <c r="CX6" s="45">
        <f>Centerpoint!CY20</f>
        <v>0.60157338127166127</v>
      </c>
      <c r="CY6" s="45">
        <f>Centerpoint!CZ20</f>
        <v>0.6041105638985258</v>
      </c>
      <c r="CZ6" s="45">
        <f>Centerpoint!DA20</f>
        <v>0.60879415722322194</v>
      </c>
      <c r="DA6" s="45">
        <f>Centerpoint!DB20</f>
        <v>0.6115814000607841</v>
      </c>
      <c r="DB6" s="45">
        <f>Centerpoint!DC20</f>
        <v>0.61307318812972678</v>
      </c>
      <c r="DC6" s="45">
        <f>Centerpoint!DD20</f>
        <v>0.61560848059969719</v>
      </c>
      <c r="DD6" s="45">
        <f>Centerpoint!DE20</f>
        <v>0.61913766561208283</v>
      </c>
      <c r="DE6" s="45">
        <f>Centerpoint!DF20</f>
        <v>0.62116747662947835</v>
      </c>
      <c r="DF6" s="45">
        <f>Centerpoint!DG20</f>
        <v>0.62408885663602642</v>
      </c>
      <c r="DG6" s="45">
        <f>Centerpoint!DH20</f>
        <v>0.62743174164789106</v>
      </c>
      <c r="DH6" s="45">
        <f>Centerpoint!DI20</f>
        <v>0.62924854278010112</v>
      </c>
      <c r="DI6" s="45">
        <f>Centerpoint!DJ20</f>
        <v>0.63016431877762569</v>
      </c>
      <c r="DJ6" s="45">
        <f>Centerpoint!DK20</f>
        <v>0.63100429692813653</v>
      </c>
      <c r="DK6" s="45">
        <f>Centerpoint!DL20</f>
        <v>0.63262329962466235</v>
      </c>
      <c r="DL6" s="45">
        <f>Centerpoint!DM20</f>
        <v>0.63231528349150345</v>
      </c>
      <c r="DM6" s="45">
        <f>Centerpoint!DN20</f>
        <v>0.63103741767157717</v>
      </c>
      <c r="DN6" s="45">
        <f>Centerpoint!DO20</f>
        <v>0.63083464679469115</v>
      </c>
      <c r="DO6" s="45">
        <f>Centerpoint!DP20</f>
        <v>0.63131493236335967</v>
      </c>
      <c r="DP6" s="45">
        <f>Centerpoint!DQ20</f>
        <v>0.63150378445280142</v>
      </c>
      <c r="DQ6" s="45">
        <f>Centerpoint!DR20</f>
        <v>0.63299688671201093</v>
      </c>
      <c r="DR6" s="45">
        <f>Centerpoint!DS20</f>
        <v>0.63271669750506154</v>
      </c>
      <c r="DS6" s="45">
        <f>Centerpoint!DT20</f>
        <v>0.63027244167482099</v>
      </c>
      <c r="DT6" s="45">
        <f>Centerpoint!DU20</f>
        <v>0.62627937831690672</v>
      </c>
      <c r="DU6" s="45">
        <f>Centerpoint!DV20</f>
        <v>0.62539539977231273</v>
      </c>
      <c r="DV6" s="45">
        <f>Centerpoint!DW20</f>
        <v>0.62407571027468534</v>
      </c>
      <c r="DW6" s="45">
        <f>Centerpoint!DX20</f>
        <v>0.62353823732813418</v>
      </c>
      <c r="DX6" s="45">
        <f>Centerpoint!DY20</f>
        <v>0.61249990473214488</v>
      </c>
      <c r="DY6" s="45">
        <f>Centerpoint!DZ20</f>
        <v>0.59109587984950351</v>
      </c>
      <c r="DZ6" s="45">
        <f>Centerpoint!EA20</f>
        <v>0.59350325371335277</v>
      </c>
      <c r="EA6" s="45">
        <f>Centerpoint!EB20</f>
        <v>0.58932996734372467</v>
      </c>
      <c r="EB6" s="45">
        <f>Centerpoint!EC20</f>
        <v>0.58858014153578742</v>
      </c>
      <c r="EC6" s="45">
        <f>Centerpoint!ED20</f>
        <v>0.58898731628749745</v>
      </c>
      <c r="ED6" s="45">
        <f>Centerpoint!EE20</f>
        <v>0.58939964580417148</v>
      </c>
      <c r="EE6" s="45">
        <f>Centerpoint!EF20</f>
        <v>0.58982177267696978</v>
      </c>
      <c r="EF6" s="45">
        <f>Centerpoint!EG20</f>
        <v>0.58912359863088848</v>
      </c>
      <c r="EG6" s="45">
        <f>Centerpoint!EH20</f>
        <v>0.58888747928848495</v>
      </c>
      <c r="EH6" s="45">
        <f>Centerpoint!EI20</f>
        <v>0.589682095762043</v>
      </c>
      <c r="EI6" s="45">
        <f>Centerpoint!EJ20</f>
        <v>0.59233532571458858</v>
      </c>
      <c r="EJ6" s="45">
        <f>Centerpoint!EK20</f>
        <v>0.58854627229760637</v>
      </c>
      <c r="EK6" s="45">
        <f>Centerpoint!EL20</f>
        <v>0.58854015711997554</v>
      </c>
      <c r="EL6" s="45">
        <f>Centerpoint!EM20</f>
        <v>0.59086057168126749</v>
      </c>
      <c r="EM6" s="45">
        <f>Centerpoint!EN20</f>
        <v>0.59093714285714283</v>
      </c>
      <c r="EN6" s="45">
        <f>Centerpoint!EO20</f>
        <v>0.60777699644002992</v>
      </c>
      <c r="EO6" s="45">
        <f>Centerpoint!EP20</f>
        <v>0.59437316139584362</v>
      </c>
      <c r="EP6" s="45">
        <f>Centerpoint!EQ20</f>
        <v>0.59365814993344135</v>
      </c>
      <c r="EQ6" s="45">
        <f>Centerpoint!ER20</f>
        <v>0.61036614071588025</v>
      </c>
      <c r="ER6" s="45">
        <f>Centerpoint!ES20</f>
        <v>0.62237833666242959</v>
      </c>
      <c r="ES6" s="45">
        <f>Centerpoint!ET20</f>
        <v>0.62320201186153745</v>
      </c>
      <c r="ET6" s="45">
        <f>Centerpoint!EU20</f>
        <v>0.62207093692406068</v>
      </c>
      <c r="EU6" s="45">
        <f>Centerpoint!EV20</f>
        <v>0.61913008850887341</v>
      </c>
      <c r="EV6" s="45">
        <f>Centerpoint!EW20</f>
        <v>0.61878392887981204</v>
      </c>
      <c r="EW6" s="45">
        <f>Centerpoint!EX20</f>
        <v>0.61750108870301679</v>
      </c>
      <c r="EX6" s="45">
        <f>Centerpoint!EY20</f>
        <v>0.6181040264056078</v>
      </c>
      <c r="EY6" s="45">
        <f>Centerpoint!EZ20</f>
        <v>0.61843639731662414</v>
      </c>
      <c r="EZ6" s="45">
        <f>Centerpoint!FA20</f>
        <v>0.61990137779917953</v>
      </c>
      <c r="FA6" s="45">
        <f>Centerpoint!FB20</f>
        <v>0.61998325258687725</v>
      </c>
      <c r="FB6" s="45">
        <f>Centerpoint!FC20</f>
        <v>0.62094977496673098</v>
      </c>
      <c r="FC6" s="45">
        <f>Centerpoint!FD20</f>
        <v>0.620865320380523</v>
      </c>
      <c r="FD6" s="45">
        <f>Centerpoint!FE20</f>
        <v>0.62176474531330295</v>
      </c>
      <c r="FE6" s="45">
        <f>Centerpoint!FF20</f>
        <v>0.62197112506646146</v>
      </c>
      <c r="FF6" s="45">
        <f>Centerpoint!FG20</f>
        <v>0.62249862989350202</v>
      </c>
      <c r="FG6" s="45">
        <f>Centerpoint!FH20</f>
        <v>0.62847048997978594</v>
      </c>
      <c r="FH6" s="45">
        <f>Centerpoint!FI20</f>
        <v>0.64331301832777499</v>
      </c>
      <c r="FI6" s="45">
        <f>Centerpoint!FJ20</f>
        <v>0.65543854453924599</v>
      </c>
      <c r="FJ6" s="45">
        <f>Centerpoint!FK20</f>
        <v>0.65633075893469583</v>
      </c>
      <c r="FK6" s="45">
        <f>Centerpoint!FL20</f>
        <v>0.65689061521298397</v>
      </c>
      <c r="FL6" s="45">
        <f>Centerpoint!FM20</f>
        <v>0.65772381520494705</v>
      </c>
      <c r="FM6" s="45">
        <f>Centerpoint!FN20</f>
        <v>0.66013981355725215</v>
      </c>
      <c r="FN6" s="45">
        <f>Centerpoint!FO20</f>
        <v>0.66208441318030364</v>
      </c>
      <c r="FO6" s="45">
        <f>Centerpoint!FP20</f>
        <v>0.66320871374517776</v>
      </c>
      <c r="FP6" s="45">
        <f>Centerpoint!FQ20</f>
        <v>0.6651339102987216</v>
      </c>
      <c r="FQ6" s="45">
        <f>Centerpoint!FR20</f>
        <v>0.66627329877578034</v>
      </c>
      <c r="FR6" s="45">
        <f>Centerpoint!FS20</f>
        <v>0.66807651426827075</v>
      </c>
      <c r="FS6" s="45">
        <f>Centerpoint!FT20</f>
        <v>0.66594869499168885</v>
      </c>
    </row>
    <row r="7" spans="1:175" x14ac:dyDescent="0.25">
      <c r="A7" s="44" t="s">
        <v>74</v>
      </c>
      <c r="B7" s="45">
        <f>'AEP Central'!C20</f>
        <v>4.1881889939849287E-2</v>
      </c>
      <c r="C7" s="45">
        <f>'AEP Central'!D20</f>
        <v>5.6570940769601188E-2</v>
      </c>
      <c r="D7" s="45">
        <f>'AEP Central'!E20</f>
        <v>7.0243934269339101E-2</v>
      </c>
      <c r="E7" s="45">
        <f>'AEP Central'!F20</f>
        <v>7.9410999869977891E-2</v>
      </c>
      <c r="F7" s="45">
        <f>'AEP Central'!G20</f>
        <v>8.9806736846623533E-2</v>
      </c>
      <c r="G7" s="45">
        <f>'AEP Central'!H20</f>
        <v>9.5592224952922022E-2</v>
      </c>
      <c r="H7" s="45">
        <f>'AEP Central'!I20</f>
        <v>0.10415682817534028</v>
      </c>
      <c r="I7" s="45">
        <f>'AEP Central'!J20</f>
        <v>0.11142162566489362</v>
      </c>
      <c r="J7" s="45">
        <f>'AEP Central'!K20</f>
        <v>0.11476229670455611</v>
      </c>
      <c r="K7" s="45">
        <f>'AEP Central'!L20</f>
        <v>0.13221060385929731</v>
      </c>
      <c r="L7" s="45">
        <f>'AEP Central'!M20</f>
        <v>0.1416127836580042</v>
      </c>
      <c r="M7" s="45">
        <f>'AEP Central'!N20</f>
        <v>0.14615006854780954</v>
      </c>
      <c r="N7" s="45">
        <f>'AEP Central'!O20</f>
        <v>0.16948335962666616</v>
      </c>
      <c r="O7" s="45">
        <f>'AEP Central'!P20</f>
        <v>0.18231411213185059</v>
      </c>
      <c r="P7" s="45">
        <f>'AEP Central'!Q20</f>
        <v>0.19395399394811833</v>
      </c>
      <c r="Q7" s="45">
        <f>'AEP Central'!R20</f>
        <v>0.19145018814012918</v>
      </c>
      <c r="R7" s="45">
        <f>'AEP Central'!S20</f>
        <v>0.2021811827795017</v>
      </c>
      <c r="S7" s="45">
        <f>'AEP Central'!T20</f>
        <v>0.21220871735018312</v>
      </c>
      <c r="T7" s="45">
        <f>'AEP Central'!U20</f>
        <v>0.22459030475408739</v>
      </c>
      <c r="U7" s="45">
        <f>'AEP Central'!V20</f>
        <v>0.24173731786022087</v>
      </c>
      <c r="V7" s="45">
        <f>'AEP Central'!W20</f>
        <v>0.24798318486637974</v>
      </c>
      <c r="W7" s="45">
        <f>'AEP Central'!X20</f>
        <v>0.25787900121602225</v>
      </c>
      <c r="X7" s="45">
        <f>'AEP Central'!Y20</f>
        <v>0.27048105379214299</v>
      </c>
      <c r="Y7" s="45">
        <f>'AEP Central'!Z20</f>
        <v>0.28022284122562674</v>
      </c>
      <c r="Z7" s="45">
        <f>'AEP Central'!AA20</f>
        <v>0.29271505087854516</v>
      </c>
      <c r="AA7" s="45">
        <f>'AEP Central'!AB20</f>
        <v>0.29954420962269551</v>
      </c>
      <c r="AB7" s="45">
        <f>'AEP Central'!AC20</f>
        <v>0.31062384187770231</v>
      </c>
      <c r="AC7" s="45">
        <f>'AEP Central'!AD20</f>
        <v>0.31388464102262481</v>
      </c>
      <c r="AD7" s="45">
        <f>'AEP Central'!AE20</f>
        <v>0.32334559957239478</v>
      </c>
      <c r="AE7" s="45">
        <f>'AEP Central'!AF20</f>
        <v>0.33209844122226184</v>
      </c>
      <c r="AF7" s="45">
        <f>'AEP Central'!AG20</f>
        <v>0.35048804722660587</v>
      </c>
      <c r="AG7" s="45">
        <f>'AEP Central'!AH20</f>
        <v>0.36303228564524825</v>
      </c>
      <c r="AH7" s="45">
        <f>'AEP Central'!AI20</f>
        <v>0.37450206870008662</v>
      </c>
      <c r="AI7" s="45">
        <f>'AEP Central'!AJ20</f>
        <v>0.38419594435274701</v>
      </c>
      <c r="AJ7" s="45">
        <f>'AEP Central'!AK20</f>
        <v>0.39798452913207011</v>
      </c>
      <c r="AK7" s="45">
        <f>'AEP Central'!AL20</f>
        <v>0.40438838578339298</v>
      </c>
      <c r="AL7" s="45">
        <f>'AEP Central'!AM20</f>
        <v>0.41765709438529941</v>
      </c>
      <c r="AM7" s="45">
        <f>'AEP Central'!AN20</f>
        <v>0.4239824168392578</v>
      </c>
      <c r="AN7" s="45">
        <f>'AEP Central'!AO20</f>
        <v>0.42833378206854111</v>
      </c>
      <c r="AO7" s="45">
        <f>'AEP Central'!AP20</f>
        <v>0.43233139989638675</v>
      </c>
      <c r="AP7" s="45">
        <f>'AEP Central'!AQ20</f>
        <v>0.44023131102929408</v>
      </c>
      <c r="AQ7" s="45">
        <f>'AEP Central'!AR20</f>
        <v>0.44682779744468087</v>
      </c>
      <c r="AR7" s="45">
        <f>'AEP Central'!AS20</f>
        <v>0.44888407845023703</v>
      </c>
      <c r="AS7" s="45">
        <f>'AEP Central'!AT20</f>
        <v>0.45270674311442544</v>
      </c>
      <c r="AT7" s="45">
        <f>'AEP Central'!AU20</f>
        <v>0.4582358193524132</v>
      </c>
      <c r="AU7" s="45">
        <f>'AEP Central'!AV20</f>
        <v>0.46419512379798594</v>
      </c>
      <c r="AV7" s="45">
        <f>'AEP Central'!AW20</f>
        <v>0.46764873199796403</v>
      </c>
      <c r="AW7" s="45">
        <f>'AEP Central'!AX20</f>
        <v>0.47327900364422731</v>
      </c>
      <c r="AX7" s="45">
        <f>'AEP Central'!AY20</f>
        <v>0.47249132480867045</v>
      </c>
      <c r="AY7" s="45">
        <f>'AEP Central'!AZ20</f>
        <v>0.47564982075631845</v>
      </c>
      <c r="AZ7" s="45">
        <f>'AEP Central'!BA20</f>
        <v>0.48379142358813976</v>
      </c>
      <c r="BA7" s="45">
        <f>'AEP Central'!BB20</f>
        <v>0.48625469333521232</v>
      </c>
      <c r="BB7" s="45">
        <f>'AEP Central'!BC20</f>
        <v>0.4973033809030748</v>
      </c>
      <c r="BC7" s="45">
        <f>'AEP Central'!BD20</f>
        <v>0.50167442620272806</v>
      </c>
      <c r="BD7" s="45">
        <f>'AEP Central'!BE20</f>
        <v>0.50901446449846888</v>
      </c>
      <c r="BE7" s="45">
        <f>'AEP Central'!BF20</f>
        <v>0.51374869474416984</v>
      </c>
      <c r="BF7" s="45">
        <f>'AEP Central'!BG20</f>
        <v>0.5226330983287838</v>
      </c>
      <c r="BG7" s="45">
        <f>'AEP Central'!BH20</f>
        <v>0.53344365798159854</v>
      </c>
      <c r="BH7" s="45">
        <f>'AEP Central'!BI20</f>
        <v>0.54297650643861206</v>
      </c>
      <c r="BI7" s="45">
        <f>'AEP Central'!BJ20</f>
        <v>0.54550682210256674</v>
      </c>
      <c r="BJ7" s="45">
        <f>'AEP Central'!BK20</f>
        <v>0.55334607675747904</v>
      </c>
      <c r="BK7" s="45">
        <f>'AEP Central'!BL20</f>
        <v>0.56985783875136697</v>
      </c>
      <c r="BL7" s="45">
        <f>'AEP Central'!BM20</f>
        <v>0.57431557282518053</v>
      </c>
      <c r="BM7" s="45">
        <f>'AEP Central'!BN20</f>
        <v>0.57573365435850876</v>
      </c>
      <c r="BN7" s="45">
        <f>'AEP Central'!BO20</f>
        <v>0.58308774724545331</v>
      </c>
      <c r="BO7" s="45">
        <f>'AEP Central'!BP20</f>
        <v>0.58556006147806605</v>
      </c>
      <c r="BP7" s="45">
        <f>'AEP Central'!BQ20</f>
        <v>0.59350434613927971</v>
      </c>
      <c r="BQ7" s="45">
        <f>'AEP Central'!BR20</f>
        <v>0.60042846737220956</v>
      </c>
      <c r="BR7" s="45">
        <f>'AEP Central'!BS20</f>
        <v>0.60848321767455038</v>
      </c>
      <c r="BS7" s="45">
        <f>'AEP Central'!BT20</f>
        <v>0.61734254457495741</v>
      </c>
      <c r="BT7" s="45">
        <f>'AEP Central'!BU20</f>
        <v>0.62260411601170762</v>
      </c>
      <c r="BU7" s="45">
        <f>'AEP Central'!BV20</f>
        <v>0.6284841927675493</v>
      </c>
      <c r="BV7" s="45">
        <f>'AEP Central'!BW20</f>
        <v>0.63401329360531744</v>
      </c>
      <c r="BW7" s="45">
        <f>'AEP Central'!BX20</f>
        <v>0.63746292912691782</v>
      </c>
      <c r="BX7" s="45">
        <f>'AEP Central'!BY20</f>
        <v>0.64254349854547455</v>
      </c>
      <c r="BY7" s="45">
        <f>'AEP Central'!BZ20</f>
        <v>0.64794185759137379</v>
      </c>
      <c r="BZ7" s="45">
        <f>'AEP Central'!CA20</f>
        <v>0.65223582244858835</v>
      </c>
      <c r="CA7" s="45">
        <f>'AEP Central'!CB20</f>
        <v>0.65463215881165326</v>
      </c>
      <c r="CB7" s="45">
        <f>'AEP Central'!CC20</f>
        <v>0.65874377269658202</v>
      </c>
      <c r="CC7" s="45">
        <f>'AEP Central'!CD20</f>
        <v>0.66304456821973257</v>
      </c>
      <c r="CD7" s="45">
        <f>'AEP Central'!CE20</f>
        <v>0.66745239922523114</v>
      </c>
      <c r="CE7" s="45">
        <f>'AEP Central'!CF20</f>
        <v>0.67389380934572618</v>
      </c>
      <c r="CF7" s="45">
        <f>'AEP Central'!CG20</f>
        <v>0.6815359832030119</v>
      </c>
      <c r="CG7" s="45">
        <f>'AEP Central'!CH20</f>
        <v>0.68995535714285716</v>
      </c>
      <c r="CH7" s="45">
        <f>'AEP Central'!CI20</f>
        <v>0.68810649529492773</v>
      </c>
      <c r="CI7" s="45">
        <f>'AEP Central'!CJ20</f>
        <v>0.69353447484813446</v>
      </c>
      <c r="CJ7" s="45">
        <f>'AEP Central'!CK20</f>
        <v>0.69676512730078255</v>
      </c>
      <c r="CK7" s="45">
        <f>'AEP Central'!CL20</f>
        <v>0.70064839185979333</v>
      </c>
      <c r="CL7" s="45">
        <f>'AEP Central'!CM20</f>
        <v>0.70564301816249109</v>
      </c>
      <c r="CM7" s="45">
        <f>'AEP Central'!CN20</f>
        <v>0.7114857456140351</v>
      </c>
      <c r="CN7" s="45">
        <f>'AEP Central'!CO20</f>
        <v>0.71820403232448959</v>
      </c>
      <c r="CO7" s="45">
        <f>'AEP Central'!CP20</f>
        <v>0.72462352833804877</v>
      </c>
      <c r="CP7" s="45">
        <f>'AEP Central'!CQ20</f>
        <v>0.7326472520253996</v>
      </c>
      <c r="CQ7" s="45">
        <f>'AEP Central'!CR20</f>
        <v>0.74138842794361681</v>
      </c>
      <c r="CR7" s="45">
        <f>'AEP Central'!CS20</f>
        <v>0.7467139122434665</v>
      </c>
      <c r="CS7" s="45">
        <f>'AEP Central'!CT20</f>
        <v>0.75049214392475672</v>
      </c>
      <c r="CT7" s="45">
        <f>'AEP Central'!CU20</f>
        <v>0.75184138233069231</v>
      </c>
      <c r="CU7" s="45">
        <f>'AEP Central'!CV20</f>
        <v>0.75666249737517233</v>
      </c>
      <c r="CV7" s="45">
        <f>'AEP Central'!CW20</f>
        <v>0.76017261513758116</v>
      </c>
      <c r="CW7" s="45">
        <f>'AEP Central'!CX20</f>
        <v>0.76348566635057258</v>
      </c>
      <c r="CX7" s="45">
        <f>'AEP Central'!CY20</f>
        <v>0.76607504423487349</v>
      </c>
      <c r="CY7" s="45">
        <f>'AEP Central'!CZ20</f>
        <v>0.76980644221489836</v>
      </c>
      <c r="CZ7" s="45">
        <f>'AEP Central'!DA20</f>
        <v>0.77332908105152853</v>
      </c>
      <c r="DA7" s="45">
        <f>'AEP Central'!DB20</f>
        <v>0.77608309963944366</v>
      </c>
      <c r="DB7" s="45">
        <f>'AEP Central'!DC20</f>
        <v>0.77882735860206742</v>
      </c>
      <c r="DC7" s="45">
        <f>'AEP Central'!DD20</f>
        <v>0.78068676571384443</v>
      </c>
      <c r="DD7" s="45">
        <f>'AEP Central'!DE20</f>
        <v>0.78651344483634844</v>
      </c>
      <c r="DE7" s="45">
        <f>'AEP Central'!DF20</f>
        <v>0.79296446260410802</v>
      </c>
      <c r="DF7" s="45">
        <f>'AEP Central'!DG20</f>
        <v>0.79272313133129535</v>
      </c>
      <c r="DG7" s="45">
        <f>'AEP Central'!DH20</f>
        <v>0.79698554852609571</v>
      </c>
      <c r="DH7" s="45">
        <f>'AEP Central'!DI20</f>
        <v>0.79865355494335077</v>
      </c>
      <c r="DI7" s="45">
        <f>'AEP Central'!DJ20</f>
        <v>0.8003751847500663</v>
      </c>
      <c r="DJ7" s="45">
        <f>'AEP Central'!DK20</f>
        <v>0.80358933126867371</v>
      </c>
      <c r="DK7" s="45">
        <f>'AEP Central'!DL20</f>
        <v>0.805172758138606</v>
      </c>
      <c r="DL7" s="45">
        <f>'AEP Central'!DM20</f>
        <v>0.80905249319184902</v>
      </c>
      <c r="DM7" s="45">
        <f>'AEP Central'!DN20</f>
        <v>0.81297075664252294</v>
      </c>
      <c r="DN7" s="45">
        <f>'AEP Central'!DO20</f>
        <v>0.81510870388606926</v>
      </c>
      <c r="DO7" s="45">
        <f>'AEP Central'!DP20</f>
        <v>0.81798428881831853</v>
      </c>
      <c r="DP7" s="45">
        <f>'AEP Central'!DQ20</f>
        <v>0.82193282428444281</v>
      </c>
      <c r="DQ7" s="45">
        <f>'AEP Central'!DR20</f>
        <v>0.82459048064506291</v>
      </c>
      <c r="DR7" s="45">
        <f>'AEP Central'!DS20</f>
        <v>0.82433602911837123</v>
      </c>
      <c r="DS7" s="45">
        <f>'AEP Central'!DT20</f>
        <v>0.82621058871475672</v>
      </c>
      <c r="DT7" s="45">
        <f>'AEP Central'!DU20</f>
        <v>0.82751410877712117</v>
      </c>
      <c r="DU7" s="45">
        <f>'AEP Central'!DV20</f>
        <v>0.82901736955219674</v>
      </c>
      <c r="DV7" s="45">
        <f>'AEP Central'!DW20</f>
        <v>0.83086259898351966</v>
      </c>
      <c r="DW7" s="45">
        <f>'AEP Central'!DX20</f>
        <v>0.83357413443749451</v>
      </c>
      <c r="DX7" s="45">
        <f>'AEP Central'!DY20</f>
        <v>0.83462903720583725</v>
      </c>
      <c r="DY7" s="45">
        <f>'AEP Central'!DZ20</f>
        <v>0.83714230843095827</v>
      </c>
      <c r="DZ7" s="45">
        <f>'AEP Central'!EA20</f>
        <v>0.83908667987536112</v>
      </c>
      <c r="EA7" s="45">
        <f>'AEP Central'!EB20</f>
        <v>0.8400443520927553</v>
      </c>
      <c r="EB7" s="45">
        <f>'AEP Central'!EC20</f>
        <v>0.84310590525181606</v>
      </c>
      <c r="EC7" s="45">
        <f>'AEP Central'!ED20</f>
        <v>0.84387121462489778</v>
      </c>
      <c r="ED7" s="45">
        <f>'AEP Central'!EE20</f>
        <v>0.84674635254931219</v>
      </c>
      <c r="EE7" s="45">
        <f>'AEP Central'!EF20</f>
        <v>0.84943884592349561</v>
      </c>
      <c r="EF7" s="45">
        <f>'AEP Central'!EG20</f>
        <v>0.85170618453994962</v>
      </c>
      <c r="EG7" s="45">
        <f>'AEP Central'!EH20</f>
        <v>0.85419245723850534</v>
      </c>
      <c r="EH7" s="45">
        <f>'AEP Central'!EI20</f>
        <v>0.85442671809256665</v>
      </c>
      <c r="EI7" s="45">
        <f>'AEP Central'!EJ20</f>
        <v>0.86160997790027183</v>
      </c>
      <c r="EJ7" s="45">
        <f>'AEP Central'!EK20</f>
        <v>0.86143629766550289</v>
      </c>
      <c r="EK7" s="45">
        <f>'AEP Central'!EL20</f>
        <v>0.86231126497454968</v>
      </c>
      <c r="EL7" s="45">
        <f>'AEP Central'!EM20</f>
        <v>0.86369091501363005</v>
      </c>
      <c r="EM7" s="45">
        <f>'AEP Central'!EN20</f>
        <v>0.86499794829708654</v>
      </c>
      <c r="EN7" s="45">
        <f>'AEP Central'!EO20</f>
        <v>0.86698173457657424</v>
      </c>
      <c r="EO7" s="45">
        <f>'AEP Central'!EP20</f>
        <v>0.86814784408298695</v>
      </c>
      <c r="EP7" s="45">
        <f>'AEP Central'!EQ20</f>
        <v>0.86752086728675748</v>
      </c>
      <c r="EQ7" s="45">
        <f>'AEP Central'!ER20</f>
        <v>0.8751614105330664</v>
      </c>
      <c r="ER7" s="45">
        <f>'AEP Central'!ES20</f>
        <v>0.8739065298250448</v>
      </c>
      <c r="ES7" s="45">
        <f>'AEP Central'!ET20</f>
        <v>0.87464853535095344</v>
      </c>
      <c r="ET7" s="45">
        <f>'AEP Central'!EU20</f>
        <v>0.87569757663787173</v>
      </c>
      <c r="EU7" s="45">
        <f>'AEP Central'!EV20</f>
        <v>0.87557568379742745</v>
      </c>
      <c r="EV7" s="45">
        <f>'AEP Central'!EW20</f>
        <v>0.87771498833576167</v>
      </c>
      <c r="EW7" s="45">
        <f>'AEP Central'!EX20</f>
        <v>0.87835676403737684</v>
      </c>
      <c r="EX7" s="45">
        <f>'AEP Central'!EY20</f>
        <v>0.87869129644502686</v>
      </c>
      <c r="EY7" s="45">
        <f>'AEP Central'!EZ20</f>
        <v>0.8790168048701904</v>
      </c>
      <c r="EZ7" s="45">
        <f>'AEP Central'!FA20</f>
        <v>0.88085549113548078</v>
      </c>
      <c r="FA7" s="45">
        <f>'AEP Central'!FB20</f>
        <v>0.88171971059345067</v>
      </c>
      <c r="FB7" s="45">
        <f>'AEP Central'!FC20</f>
        <v>0.88147073460814995</v>
      </c>
      <c r="FC7" s="45">
        <f>'AEP Central'!FD20</f>
        <v>0.88355285772974601</v>
      </c>
      <c r="FD7" s="45">
        <f>'AEP Central'!FE20</f>
        <v>0.8851489136728683</v>
      </c>
      <c r="FE7" s="45">
        <f>'AEP Central'!FF20</f>
        <v>0.8865273745073593</v>
      </c>
      <c r="FF7" s="45">
        <f>'AEP Central'!FG20</f>
        <v>0.88708239410557477</v>
      </c>
      <c r="FG7" s="45">
        <f>'AEP Central'!FH20</f>
        <v>0.89013664140593085</v>
      </c>
      <c r="FH7" s="45">
        <f>'AEP Central'!FI20</f>
        <v>0.89323081536769855</v>
      </c>
      <c r="FI7" s="45">
        <f>'AEP Central'!FJ20</f>
        <v>0.89451930368407462</v>
      </c>
      <c r="FJ7" s="45">
        <f>'AEP Central'!FK20</f>
        <v>0.89685393258426971</v>
      </c>
      <c r="FK7" s="45">
        <f>'AEP Central'!FL20</f>
        <v>0.89846274274674398</v>
      </c>
      <c r="FL7" s="45">
        <f>'AEP Central'!FM20</f>
        <v>0.90053231306662229</v>
      </c>
      <c r="FM7" s="45">
        <f>'AEP Central'!FN20</f>
        <v>0.90177726804684688</v>
      </c>
      <c r="FN7" s="45">
        <f>'AEP Central'!FO20</f>
        <v>0.90398363120093539</v>
      </c>
      <c r="FO7" s="45">
        <f>'AEP Central'!FP20</f>
        <v>0.90624018773446147</v>
      </c>
      <c r="FP7" s="45">
        <f>'AEP Central'!FQ20</f>
        <v>0.90733901554447149</v>
      </c>
      <c r="FQ7" s="45">
        <f>'AEP Central'!FR20</f>
        <v>0.90831277503667152</v>
      </c>
      <c r="FR7" s="45">
        <f>'AEP Central'!FS20</f>
        <v>0.90950271458548448</v>
      </c>
      <c r="FS7" s="45">
        <f>'AEP Central'!FT20</f>
        <v>0.91137427021655415</v>
      </c>
    </row>
    <row r="8" spans="1:175" x14ac:dyDescent="0.25">
      <c r="A8" s="44" t="s">
        <v>75</v>
      </c>
      <c r="B8" s="45">
        <f>'AEP North'!C20</f>
        <v>4.0148737551031023E-2</v>
      </c>
      <c r="C8" s="45">
        <f>'AEP North'!D20</f>
        <v>5.3290897517504772E-2</v>
      </c>
      <c r="D8" s="45">
        <f>'AEP North'!E20</f>
        <v>6.8459595959595956E-2</v>
      </c>
      <c r="E8" s="45">
        <f>'AEP North'!F20</f>
        <v>7.6837416481069037E-2</v>
      </c>
      <c r="F8" s="45">
        <f>'AEP North'!G20</f>
        <v>8.1133029843196758E-2</v>
      </c>
      <c r="G8" s="45">
        <f>'AEP North'!H20</f>
        <v>8.3343824751353393E-2</v>
      </c>
      <c r="H8" s="45">
        <f>'AEP North'!I20</f>
        <v>8.7208867854029148E-2</v>
      </c>
      <c r="I8" s="45">
        <f>'AEP North'!J20</f>
        <v>9.186631320764066E-2</v>
      </c>
      <c r="J8" s="45">
        <f>'AEP North'!K20</f>
        <v>9.4344307065892044E-2</v>
      </c>
      <c r="K8" s="45">
        <f>'AEP North'!L20</f>
        <v>0.10418320762207225</v>
      </c>
      <c r="L8" s="45">
        <f>'AEP North'!M20</f>
        <v>0.10740166924883802</v>
      </c>
      <c r="M8" s="45">
        <f>'AEP North'!N20</f>
        <v>0.11757848927572272</v>
      </c>
      <c r="N8" s="45">
        <f>'AEP North'!O20</f>
        <v>0.13311435523114354</v>
      </c>
      <c r="O8" s="45">
        <f>'AEP North'!P20</f>
        <v>0.13775051124744375</v>
      </c>
      <c r="P8" s="45">
        <f>'AEP North'!Q20</f>
        <v>0.14350890683070613</v>
      </c>
      <c r="Q8" s="45">
        <f>'AEP North'!R20</f>
        <v>0.14422382671480144</v>
      </c>
      <c r="R8" s="45">
        <f>'AEP North'!S20</f>
        <v>0.14904550242799516</v>
      </c>
      <c r="S8" s="45">
        <f>'AEP North'!T20</f>
        <v>0.15825546770715679</v>
      </c>
      <c r="T8" s="45">
        <f>'AEP North'!U20</f>
        <v>0.16445141988327039</v>
      </c>
      <c r="U8" s="45">
        <f>'AEP North'!V20</f>
        <v>0.16995537671851221</v>
      </c>
      <c r="V8" s="45">
        <f>'AEP North'!W20</f>
        <v>0.17772980751933801</v>
      </c>
      <c r="W8" s="45">
        <f>'AEP North'!X20</f>
        <v>0.18880392712168412</v>
      </c>
      <c r="X8" s="45">
        <f>'AEP North'!Y20</f>
        <v>0.19471492345028013</v>
      </c>
      <c r="Y8" s="45">
        <f>'AEP North'!Z20</f>
        <v>0.20704630724160972</v>
      </c>
      <c r="Z8" s="45">
        <f>'AEP North'!AA20</f>
        <v>0.22017223315360437</v>
      </c>
      <c r="AA8" s="45">
        <f>'AEP North'!AB20</f>
        <v>0.22565359927270723</v>
      </c>
      <c r="AB8" s="45">
        <f>'AEP North'!AC20</f>
        <v>0.23542027927352377</v>
      </c>
      <c r="AC8" s="45">
        <f>'AEP North'!AD20</f>
        <v>0.23574586921107749</v>
      </c>
      <c r="AD8" s="45">
        <f>'AEP North'!AE20</f>
        <v>0.23990976544451389</v>
      </c>
      <c r="AE8" s="45">
        <f>'AEP North'!AF20</f>
        <v>0.25338111484745096</v>
      </c>
      <c r="AF8" s="45">
        <f>'AEP North'!AG20</f>
        <v>0.25926022605654025</v>
      </c>
      <c r="AG8" s="45">
        <f>'AEP North'!AH20</f>
        <v>0.26978514426028238</v>
      </c>
      <c r="AH8" s="45">
        <f>'AEP North'!AI20</f>
        <v>0.28402721655934721</v>
      </c>
      <c r="AI8" s="45">
        <f>'AEP North'!AJ20</f>
        <v>0.30133388803661043</v>
      </c>
      <c r="AJ8" s="45">
        <f>'AEP North'!AK20</f>
        <v>0.30974509484211099</v>
      </c>
      <c r="AK8" s="45">
        <f>'AEP North'!AL20</f>
        <v>0.31693363844393591</v>
      </c>
      <c r="AL8" s="45">
        <f>'AEP North'!AM20</f>
        <v>0.32479582342603119</v>
      </c>
      <c r="AM8" s="45">
        <f>'AEP North'!AN20</f>
        <v>0.31617799650173428</v>
      </c>
      <c r="AN8" s="45">
        <f>'AEP North'!AO20</f>
        <v>0.33991277823993549</v>
      </c>
      <c r="AO8" s="45">
        <f>'AEP North'!AP20</f>
        <v>0.33980925468032497</v>
      </c>
      <c r="AP8" s="45">
        <f>'AEP North'!AQ20</f>
        <v>0.34402109426499672</v>
      </c>
      <c r="AQ8" s="45">
        <f>'AEP North'!AR20</f>
        <v>0.35154657792224542</v>
      </c>
      <c r="AR8" s="45">
        <f>'AEP North'!AS20</f>
        <v>0.35681236731805566</v>
      </c>
      <c r="AS8" s="45">
        <f>'AEP North'!AT20</f>
        <v>0.36798105387803431</v>
      </c>
      <c r="AT8" s="45">
        <f>'AEP North'!AU20</f>
        <v>0.37030304604118519</v>
      </c>
      <c r="AU8" s="45">
        <f>'AEP North'!AV20</f>
        <v>0.37493775063559875</v>
      </c>
      <c r="AV8" s="45">
        <f>'AEP North'!AW20</f>
        <v>0.37837179070523236</v>
      </c>
      <c r="AW8" s="45">
        <f>'AEP North'!AX20</f>
        <v>0.37907002069040618</v>
      </c>
      <c r="AX8" s="45">
        <f>'AEP North'!AY20</f>
        <v>0.38519649186350347</v>
      </c>
      <c r="AY8" s="45">
        <f>'AEP North'!AZ20</f>
        <v>0.38656307640713206</v>
      </c>
      <c r="AZ8" s="45">
        <f>'AEP North'!BA20</f>
        <v>0.39595395723282045</v>
      </c>
      <c r="BA8" s="45">
        <f>'AEP North'!BB20</f>
        <v>0.40108828730784929</v>
      </c>
      <c r="BB8" s="45">
        <f>'AEP North'!BC20</f>
        <v>0.40948933865169646</v>
      </c>
      <c r="BC8" s="45">
        <f>'AEP North'!BD20</f>
        <v>0.4155357630188305</v>
      </c>
      <c r="BD8" s="45">
        <f>'AEP North'!BE20</f>
        <v>0.41910694062449444</v>
      </c>
      <c r="BE8" s="45">
        <f>'AEP North'!BF20</f>
        <v>0.42972021317091741</v>
      </c>
      <c r="BF8" s="45">
        <f>'AEP North'!BG20</f>
        <v>0.40414454246813081</v>
      </c>
      <c r="BG8" s="45">
        <f>'AEP North'!BH20</f>
        <v>0.4551531205902013</v>
      </c>
      <c r="BH8" s="45">
        <f>'AEP North'!BI20</f>
        <v>0.46571850261639608</v>
      </c>
      <c r="BI8" s="45">
        <f>'AEP North'!BJ20</f>
        <v>0.46476949345475244</v>
      </c>
      <c r="BJ8" s="45">
        <f>'AEP North'!BK20</f>
        <v>0.4751137002401758</v>
      </c>
      <c r="BK8" s="45">
        <f>'AEP North'!BL20</f>
        <v>0.48454302886559036</v>
      </c>
      <c r="BL8" s="45">
        <f>'AEP North'!BM20</f>
        <v>0.48742053459659801</v>
      </c>
      <c r="BM8" s="45">
        <f>'AEP North'!BN20</f>
        <v>0.49071511112305499</v>
      </c>
      <c r="BN8" s="45">
        <f>'AEP North'!BO20</f>
        <v>0.49460343817151786</v>
      </c>
      <c r="BO8" s="45">
        <f>'AEP North'!BP20</f>
        <v>0.49676289130931528</v>
      </c>
      <c r="BP8" s="45">
        <f>'AEP North'!BQ20</f>
        <v>0.51893881695861899</v>
      </c>
      <c r="BQ8" s="45">
        <f>'AEP North'!BR20</f>
        <v>0.52501584767450049</v>
      </c>
      <c r="BR8" s="45">
        <f>'AEP North'!BS20</f>
        <v>0.52753073684797458</v>
      </c>
      <c r="BS8" s="45">
        <f>'AEP North'!BT20</f>
        <v>0.53561404839566107</v>
      </c>
      <c r="BT8" s="45">
        <f>'AEP North'!BU20</f>
        <v>0.54119608883498826</v>
      </c>
      <c r="BU8" s="45">
        <f>'AEP North'!BV20</f>
        <v>0.54989486484432393</v>
      </c>
      <c r="BV8" s="45">
        <f>'AEP North'!BW20</f>
        <v>0.55507875605815837</v>
      </c>
      <c r="BW8" s="45">
        <f>'AEP North'!BX20</f>
        <v>0.55982004422641896</v>
      </c>
      <c r="BX8" s="45">
        <f>'AEP North'!BY20</f>
        <v>0.56192678031554077</v>
      </c>
      <c r="BY8" s="45">
        <f>'AEP North'!BZ20</f>
        <v>0.56439978740097696</v>
      </c>
      <c r="BZ8" s="45">
        <f>'AEP North'!CA20</f>
        <v>0.56906744484415483</v>
      </c>
      <c r="CA8" s="45">
        <f>'AEP North'!CB20</f>
        <v>0.57351979475828763</v>
      </c>
      <c r="CB8" s="45">
        <f>'AEP North'!CC20</f>
        <v>0.57753419147224461</v>
      </c>
      <c r="CC8" s="45">
        <f>'AEP North'!CD20</f>
        <v>0.58389210990673057</v>
      </c>
      <c r="CD8" s="45">
        <f>'AEP North'!CE20</f>
        <v>0.58951623089554128</v>
      </c>
      <c r="CE8" s="45">
        <f>'AEP North'!CF20</f>
        <v>0.59122012578616356</v>
      </c>
      <c r="CF8" s="45">
        <f>'AEP North'!CG20</f>
        <v>0.60403017669247572</v>
      </c>
      <c r="CG8" s="45">
        <f>'AEP North'!CH20</f>
        <v>0.61312006280359155</v>
      </c>
      <c r="CH8" s="45">
        <f>'AEP North'!CI20</f>
        <v>0.6011716760061131</v>
      </c>
      <c r="CI8" s="45">
        <f>'AEP North'!CJ20</f>
        <v>0.60500850836867903</v>
      </c>
      <c r="CJ8" s="45">
        <f>'AEP North'!CK20</f>
        <v>0.60718376906040783</v>
      </c>
      <c r="CK8" s="45">
        <f>'AEP North'!CL20</f>
        <v>0.60874656348640666</v>
      </c>
      <c r="CL8" s="45">
        <f>'AEP North'!CM20</f>
        <v>0.61171063656907798</v>
      </c>
      <c r="CM8" s="45">
        <f>'AEP North'!CN20</f>
        <v>0.61385510043424163</v>
      </c>
      <c r="CN8" s="45">
        <f>'AEP North'!CO20</f>
        <v>0.61866714165754855</v>
      </c>
      <c r="CO8" s="45">
        <f>'AEP North'!CP20</f>
        <v>0.62253606990449095</v>
      </c>
      <c r="CP8" s="45">
        <f>'AEP North'!CQ20</f>
        <v>0.62824002238445298</v>
      </c>
      <c r="CQ8" s="45">
        <f>'AEP North'!CR20</f>
        <v>0.63167934077672372</v>
      </c>
      <c r="CR8" s="45">
        <f>'AEP North'!CS20</f>
        <v>0.63716769176028054</v>
      </c>
      <c r="CS8" s="45">
        <f>'AEP North'!CT20</f>
        <v>0.64089185268141213</v>
      </c>
      <c r="CT8" s="45">
        <f>'AEP North'!CU20</f>
        <v>0.64371841984382172</v>
      </c>
      <c r="CU8" s="45">
        <f>'AEP North'!CV20</f>
        <v>0.64730575484658825</v>
      </c>
      <c r="CV8" s="45">
        <f>'AEP North'!CW20</f>
        <v>0.64946978408074618</v>
      </c>
      <c r="CW8" s="45">
        <f>'AEP North'!CX20</f>
        <v>0.65214946582834943</v>
      </c>
      <c r="CX8" s="45">
        <f>'AEP North'!CY20</f>
        <v>0.65267243800914221</v>
      </c>
      <c r="CY8" s="45">
        <f>'AEP North'!CZ20</f>
        <v>0.65533076510957466</v>
      </c>
      <c r="CZ8" s="45">
        <f>'AEP North'!DA20</f>
        <v>0.65878361140874531</v>
      </c>
      <c r="DA8" s="45">
        <f>'AEP North'!DB20</f>
        <v>0.66157047946850234</v>
      </c>
      <c r="DB8" s="45">
        <f>'AEP North'!DC20</f>
        <v>0.66303543638543772</v>
      </c>
      <c r="DC8" s="45">
        <f>'AEP North'!DD20</f>
        <v>0.6689534570890503</v>
      </c>
      <c r="DD8" s="45">
        <f>'AEP North'!DE20</f>
        <v>0.6706104434754866</v>
      </c>
      <c r="DE8" s="45">
        <f>'AEP North'!DF20</f>
        <v>0.67981947456003222</v>
      </c>
      <c r="DF8" s="45">
        <f>'AEP North'!DG20</f>
        <v>0.67959942607829926</v>
      </c>
      <c r="DG8" s="45">
        <f>'AEP North'!DH20</f>
        <v>0.68849967804249834</v>
      </c>
      <c r="DH8" s="45">
        <f>'AEP North'!DI20</f>
        <v>0.69150309917355368</v>
      </c>
      <c r="DI8" s="45">
        <f>'AEP North'!DJ20</f>
        <v>0.69414532871972323</v>
      </c>
      <c r="DJ8" s="45">
        <f>'AEP North'!DK20</f>
        <v>0.69894391949214518</v>
      </c>
      <c r="DK8" s="45">
        <f>'AEP North'!DL20</f>
        <v>0.701927766511795</v>
      </c>
      <c r="DL8" s="45">
        <f>'AEP North'!DM20</f>
        <v>0.70343116990491938</v>
      </c>
      <c r="DM8" s="45">
        <f>'AEP North'!DN20</f>
        <v>0.71049105992683048</v>
      </c>
      <c r="DN8" s="45">
        <f>'AEP North'!DO20</f>
        <v>0.71539259016751244</v>
      </c>
      <c r="DO8" s="45">
        <f>'AEP North'!DP20</f>
        <v>0.71983549158005888</v>
      </c>
      <c r="DP8" s="45">
        <f>'AEP North'!DQ20</f>
        <v>0.71994528331667285</v>
      </c>
      <c r="DQ8" s="45">
        <f>'AEP North'!DR20</f>
        <v>0.72260397830018086</v>
      </c>
      <c r="DR8" s="45">
        <f>'AEP North'!DS20</f>
        <v>0.72189596064987327</v>
      </c>
      <c r="DS8" s="45">
        <f>'AEP North'!DT20</f>
        <v>0.72492690646710123</v>
      </c>
      <c r="DT8" s="45">
        <f>'AEP North'!DU20</f>
        <v>0.72758938633336745</v>
      </c>
      <c r="DU8" s="45">
        <f>'AEP North'!DV20</f>
        <v>0.72823313259160971</v>
      </c>
      <c r="DV8" s="45">
        <f>'AEP North'!DW20</f>
        <v>0.73228689217217624</v>
      </c>
      <c r="DW8" s="45">
        <f>'AEP North'!DX20</f>
        <v>0.73779084633086167</v>
      </c>
      <c r="DX8" s="45">
        <f>'AEP North'!DY20</f>
        <v>0.73947060915510843</v>
      </c>
      <c r="DY8" s="45">
        <f>'AEP North'!DZ20</f>
        <v>0.74064755514892755</v>
      </c>
      <c r="DZ8" s="45">
        <f>'AEP North'!EA20</f>
        <v>0.74316062968057461</v>
      </c>
      <c r="EA8" s="45">
        <f>'AEP North'!EB20</f>
        <v>0.74418249401700698</v>
      </c>
      <c r="EB8" s="45">
        <f>'AEP North'!EC20</f>
        <v>0.74809820633507185</v>
      </c>
      <c r="EC8" s="45">
        <f>'AEP North'!ED20</f>
        <v>0.7500764915859256</v>
      </c>
      <c r="ED8" s="45">
        <f>'AEP North'!EE20</f>
        <v>0.75257202965851655</v>
      </c>
      <c r="EE8" s="45">
        <f>'AEP North'!EF20</f>
        <v>0.75890598117599428</v>
      </c>
      <c r="EF8" s="45">
        <f>'AEP North'!EG20</f>
        <v>0.7621800585763403</v>
      </c>
      <c r="EG8" s="45">
        <f>'AEP North'!EH20</f>
        <v>0.76490404246631283</v>
      </c>
      <c r="EH8" s="45">
        <f>'AEP North'!EI20</f>
        <v>0.76355394378966457</v>
      </c>
      <c r="EI8" s="45">
        <f>'AEP North'!EJ20</f>
        <v>0.77501617156789571</v>
      </c>
      <c r="EJ8" s="45">
        <f>'AEP North'!EK20</f>
        <v>0.77536542879503167</v>
      </c>
      <c r="EK8" s="45">
        <f>'AEP North'!EL20</f>
        <v>0.77725750824459383</v>
      </c>
      <c r="EL8" s="45">
        <f>'AEP North'!EM20</f>
        <v>0.77853990669524653</v>
      </c>
      <c r="EM8" s="45">
        <f>'AEP North'!EN20</f>
        <v>0.78042869044914032</v>
      </c>
      <c r="EN8" s="45">
        <f>'AEP North'!EO20</f>
        <v>0.7831246378272152</v>
      </c>
      <c r="EO8" s="45">
        <f>'AEP North'!EP20</f>
        <v>0.78459937565036419</v>
      </c>
      <c r="EP8" s="45">
        <f>'AEP North'!EQ20</f>
        <v>0.78702226069081171</v>
      </c>
      <c r="EQ8" s="45">
        <f>'AEP North'!ER20</f>
        <v>0.79105765326837185</v>
      </c>
      <c r="ER8" s="45">
        <f>'AEP North'!ES20</f>
        <v>0.79342081043414237</v>
      </c>
      <c r="ES8" s="45">
        <f>'AEP North'!ET20</f>
        <v>0.79281879874404948</v>
      </c>
      <c r="ET8" s="45">
        <f>'AEP North'!EU20</f>
        <v>0.7945917312009686</v>
      </c>
      <c r="EU8" s="45">
        <f>'AEP North'!EV20</f>
        <v>0.79433681073025331</v>
      </c>
      <c r="EV8" s="45">
        <f>'AEP North'!EW20</f>
        <v>0.79872411472999572</v>
      </c>
      <c r="EW8" s="45">
        <f>'AEP North'!EX20</f>
        <v>0.79883008636272346</v>
      </c>
      <c r="EX8" s="45">
        <f>'AEP North'!EY20</f>
        <v>0.79995480339476721</v>
      </c>
      <c r="EY8" s="45">
        <f>'AEP North'!EZ20</f>
        <v>0.79985316827422093</v>
      </c>
      <c r="EZ8" s="45">
        <f>'AEP North'!FA20</f>
        <v>0.80333041191936894</v>
      </c>
      <c r="FA8" s="45">
        <f>'AEP North'!FB20</f>
        <v>0.80638244826726502</v>
      </c>
      <c r="FB8" s="45">
        <f>'AEP North'!FC20</f>
        <v>0.80479503857207679</v>
      </c>
      <c r="FC8" s="45">
        <f>'AEP North'!FD20</f>
        <v>0.80796059704477841</v>
      </c>
      <c r="FD8" s="45">
        <f>'AEP North'!FE20</f>
        <v>0.81031889290012038</v>
      </c>
      <c r="FE8" s="45">
        <f>'AEP North'!FF20</f>
        <v>0.81142081584437131</v>
      </c>
      <c r="FF8" s="45">
        <f>'AEP North'!FG20</f>
        <v>0.81292106586224233</v>
      </c>
      <c r="FG8" s="45">
        <f>'AEP North'!FH20</f>
        <v>0.81598876573549328</v>
      </c>
      <c r="FH8" s="45">
        <f>'AEP North'!FI20</f>
        <v>0.81831718150615784</v>
      </c>
      <c r="FI8" s="45">
        <f>'AEP North'!FJ20</f>
        <v>0.82324091189155879</v>
      </c>
      <c r="FJ8" s="45">
        <f>'AEP North'!FK20</f>
        <v>0.82678995376733722</v>
      </c>
      <c r="FK8" s="45">
        <f>'AEP North'!FL20</f>
        <v>0.8287674663194271</v>
      </c>
      <c r="FL8" s="45">
        <f>'AEP North'!FM20</f>
        <v>0.83233158026546461</v>
      </c>
      <c r="FM8" s="45">
        <f>'AEP North'!FN20</f>
        <v>0.83523568221157463</v>
      </c>
      <c r="FN8" s="45">
        <f>'AEP North'!FO20</f>
        <v>0.83515952713868058</v>
      </c>
      <c r="FO8" s="45">
        <f>'AEP North'!FP20</f>
        <v>0.84423853529222304</v>
      </c>
      <c r="FP8" s="45">
        <f>'AEP North'!FQ20</f>
        <v>0.84463489199619102</v>
      </c>
      <c r="FQ8" s="45">
        <f>'AEP North'!FR20</f>
        <v>0.84640193509373107</v>
      </c>
      <c r="FR8" s="45">
        <f>'AEP North'!FS20</f>
        <v>0.85085519386066111</v>
      </c>
      <c r="FS8" s="45">
        <f>'AEP North'!FT20</f>
        <v>0.85234308149192128</v>
      </c>
    </row>
    <row r="9" spans="1:175" x14ac:dyDescent="0.25">
      <c r="A9" s="44" t="s">
        <v>0</v>
      </c>
      <c r="B9" s="45">
        <f>TNMP!C20</f>
        <v>3.9026629935720848E-2</v>
      </c>
      <c r="C9" s="45">
        <f>TNMP!D20</f>
        <v>5.7511242270938727E-2</v>
      </c>
      <c r="D9" s="45">
        <f>TNMP!E20</f>
        <v>6.6248502360983855E-2</v>
      </c>
      <c r="E9" s="45">
        <f>TNMP!F20</f>
        <v>7.5563198624247638E-2</v>
      </c>
      <c r="F9" s="45">
        <f>TNMP!G20</f>
        <v>7.9954800712231197E-2</v>
      </c>
      <c r="G9" s="45">
        <f>TNMP!H20</f>
        <v>7.8464050064621454E-2</v>
      </c>
      <c r="H9" s="45">
        <f>TNMP!I20</f>
        <v>8.5268160217243719E-2</v>
      </c>
      <c r="I9" s="45">
        <f>TNMP!J20</f>
        <v>8.7731412975568052E-2</v>
      </c>
      <c r="J9" s="45">
        <f>TNMP!K20</f>
        <v>9.2286998458055838E-2</v>
      </c>
      <c r="K9" s="45">
        <f>TNMP!L20</f>
        <v>9.5589430233691944E-2</v>
      </c>
      <c r="L9" s="45">
        <f>TNMP!M20</f>
        <v>9.8333441833213978E-2</v>
      </c>
      <c r="M9" s="45">
        <f>TNMP!N20</f>
        <v>0.10129937293942724</v>
      </c>
      <c r="N9" s="45">
        <f>TNMP!O20</f>
        <v>0.10711202603094495</v>
      </c>
      <c r="O9" s="45">
        <f>TNMP!P20</f>
        <v>0.11075026511134677</v>
      </c>
      <c r="P9" s="45">
        <f>TNMP!Q20</f>
        <v>0.11185704413071379</v>
      </c>
      <c r="Q9" s="45">
        <f>TNMP!R20</f>
        <v>0.10940272028385571</v>
      </c>
      <c r="R9" s="45">
        <f>TNMP!S20</f>
        <v>0.11008904019903103</v>
      </c>
      <c r="S9" s="45">
        <f>TNMP!T20</f>
        <v>0.11257646517134776</v>
      </c>
      <c r="T9" s="45">
        <f>TNMP!U20</f>
        <v>0.11760076083035451</v>
      </c>
      <c r="U9" s="45">
        <f>TNMP!V20</f>
        <v>0.12393431746558302</v>
      </c>
      <c r="V9" s="45">
        <f>TNMP!W20</f>
        <v>0.13175393457413037</v>
      </c>
      <c r="W9" s="45">
        <f>TNMP!X20</f>
        <v>0.13595166163141995</v>
      </c>
      <c r="X9" s="45">
        <f>TNMP!Y20</f>
        <v>0.14320088226447883</v>
      </c>
      <c r="Y9" s="45">
        <f>TNMP!Z20</f>
        <v>0.15120240812411101</v>
      </c>
      <c r="Z9" s="45">
        <f>TNMP!AA20</f>
        <v>0.15912864448429301</v>
      </c>
      <c r="AA9" s="45">
        <f>TNMP!AB20</f>
        <v>0.16964404303360339</v>
      </c>
      <c r="AB9" s="45">
        <f>TNMP!AC20</f>
        <v>0.17509895885307522</v>
      </c>
      <c r="AC9" s="45">
        <f>TNMP!AD20</f>
        <v>0.17985062240663902</v>
      </c>
      <c r="AD9" s="45">
        <f>TNMP!AE20</f>
        <v>0.18540962201613714</v>
      </c>
      <c r="AE9" s="45">
        <f>TNMP!AF20</f>
        <v>0.19887043189368772</v>
      </c>
      <c r="AF9" s="45">
        <f>TNMP!AG20</f>
        <v>0.20399438915236123</v>
      </c>
      <c r="AG9" s="45">
        <f>TNMP!AH20</f>
        <v>0.20768687106653652</v>
      </c>
      <c r="AH9" s="45">
        <f>TNMP!AI20</f>
        <v>0.21073978480206482</v>
      </c>
      <c r="AI9" s="45">
        <f>TNMP!AJ20</f>
        <v>0.21879524563116604</v>
      </c>
      <c r="AJ9" s="45">
        <f>TNMP!AK20</f>
        <v>0.22535777725642658</v>
      </c>
      <c r="AK9" s="45">
        <f>TNMP!AL20</f>
        <v>0.22852072590906047</v>
      </c>
      <c r="AL9" s="45">
        <f>TNMP!AM20</f>
        <v>0.23519099153770945</v>
      </c>
      <c r="AM9" s="45">
        <f>TNMP!AN20</f>
        <v>0.26042856183247126</v>
      </c>
      <c r="AN9" s="45">
        <f>TNMP!AO20</f>
        <v>0.26335162628831482</v>
      </c>
      <c r="AO9" s="45">
        <f>TNMP!AP20</f>
        <v>0.26988541178047309</v>
      </c>
      <c r="AP9" s="45">
        <f>TNMP!AQ20</f>
        <v>0.2752272197622932</v>
      </c>
      <c r="AQ9" s="45">
        <f>TNMP!AR20</f>
        <v>0.28167663878880039</v>
      </c>
      <c r="AR9" s="45">
        <f>TNMP!AS20</f>
        <v>0.28959321022444717</v>
      </c>
      <c r="AS9" s="45">
        <f>TNMP!AT20</f>
        <v>0.29832542194092826</v>
      </c>
      <c r="AT9" s="45">
        <f>TNMP!AU20</f>
        <v>0.30234083010950102</v>
      </c>
      <c r="AU9" s="45">
        <f>TNMP!AV20</f>
        <v>0.30661468314280049</v>
      </c>
      <c r="AV9" s="45">
        <f>TNMP!AW20</f>
        <v>0.31201556672612291</v>
      </c>
      <c r="AW9" s="45">
        <f>TNMP!AX20</f>
        <v>0.31385669985310921</v>
      </c>
      <c r="AX9" s="45">
        <f>TNMP!AY20</f>
        <v>0.31272594607144044</v>
      </c>
      <c r="AY9" s="45">
        <f>TNMP!AZ20</f>
        <v>0.30992704103529101</v>
      </c>
      <c r="AZ9" s="45">
        <f>TNMP!BA20</f>
        <v>0.31105448843590749</v>
      </c>
      <c r="BA9" s="45">
        <f>TNMP!BB20</f>
        <v>0.31626703354297692</v>
      </c>
      <c r="BB9" s="45">
        <f>TNMP!BC20</f>
        <v>0.32257959396487113</v>
      </c>
      <c r="BC9" s="45">
        <f>TNMP!BD20</f>
        <v>0.32773244751185215</v>
      </c>
      <c r="BD9" s="45">
        <f>TNMP!BE20</f>
        <v>0.33324637208543945</v>
      </c>
      <c r="BE9" s="45">
        <f>TNMP!BF20</f>
        <v>0.33942008303061755</v>
      </c>
      <c r="BF9" s="45">
        <f>TNMP!BG20</f>
        <v>0.34440677966101696</v>
      </c>
      <c r="BG9" s="45">
        <f>TNMP!BH20</f>
        <v>0.3575753977677511</v>
      </c>
      <c r="BH9" s="45">
        <f>TNMP!BI20</f>
        <v>0.3634013805257747</v>
      </c>
      <c r="BI9" s="45">
        <f>TNMP!BJ20</f>
        <v>0.36286956775530455</v>
      </c>
      <c r="BJ9" s="45">
        <f>TNMP!BK20</f>
        <v>0.37050030956101299</v>
      </c>
      <c r="BK9" s="45">
        <f>TNMP!BL20</f>
        <v>0.38079352896026453</v>
      </c>
      <c r="BL9" s="45">
        <f>TNMP!BM20</f>
        <v>0.38487932197425145</v>
      </c>
      <c r="BM9" s="45">
        <f>TNMP!BN20</f>
        <v>0.39543187653082301</v>
      </c>
      <c r="BN9" s="45">
        <f>TNMP!BO20</f>
        <v>0.40107608632083747</v>
      </c>
      <c r="BO9" s="45">
        <f>TNMP!BP20</f>
        <v>0.40781721511711455</v>
      </c>
      <c r="BP9" s="45">
        <f>TNMP!BQ20</f>
        <v>0.41695781098617185</v>
      </c>
      <c r="BQ9" s="45">
        <f>TNMP!BR20</f>
        <v>0.42890504130542662</v>
      </c>
      <c r="BR9" s="45">
        <f>TNMP!BS20</f>
        <v>0.4371532316630356</v>
      </c>
      <c r="BS9" s="45">
        <f>TNMP!BT20</f>
        <v>0.43757755515874219</v>
      </c>
      <c r="BT9" s="45">
        <f>TNMP!BU20</f>
        <v>0.44718830091964418</v>
      </c>
      <c r="BU9" s="45">
        <f>TNMP!BV20</f>
        <v>0.45507220270797683</v>
      </c>
      <c r="BV9" s="45">
        <f>TNMP!BW20</f>
        <v>0.4624236658790315</v>
      </c>
      <c r="BW9" s="45">
        <f>TNMP!BX20</f>
        <v>0.47404346495255584</v>
      </c>
      <c r="BX9" s="45">
        <f>TNMP!BY20</f>
        <v>0.48241022519780891</v>
      </c>
      <c r="BY9" s="45">
        <f>TNMP!BZ20</f>
        <v>0.48742128609982316</v>
      </c>
      <c r="BZ9" s="45">
        <f>TNMP!CA20</f>
        <v>0.49414309998454642</v>
      </c>
      <c r="CA9" s="45">
        <f>TNMP!CB20</f>
        <v>0.50360305343511447</v>
      </c>
      <c r="CB9" s="45">
        <f>TNMP!CC20</f>
        <v>0.50680008674370336</v>
      </c>
      <c r="CC9" s="45">
        <f>TNMP!CD20</f>
        <v>0.51859069537243252</v>
      </c>
      <c r="CD9" s="45">
        <f>TNMP!CE20</f>
        <v>0.53178834478720449</v>
      </c>
      <c r="CE9" s="45">
        <f>TNMP!CF20</f>
        <v>0.55090248221442106</v>
      </c>
      <c r="CF9" s="45">
        <f>TNMP!CG20</f>
        <v>0.57310466520137449</v>
      </c>
      <c r="CG9" s="45">
        <f>TNMP!CH20</f>
        <v>0.58439190233348792</v>
      </c>
      <c r="CH9" s="45">
        <f>TNMP!CI20</f>
        <v>0.59287642331916479</v>
      </c>
      <c r="CI9" s="45">
        <f>TNMP!CJ20</f>
        <v>0.6006123016977456</v>
      </c>
      <c r="CJ9" s="45">
        <f>TNMP!CK20</f>
        <v>0.60512899737370618</v>
      </c>
      <c r="CK9" s="45">
        <f>TNMP!CL20</f>
        <v>0.61179284848861415</v>
      </c>
      <c r="CL9" s="45">
        <f>TNMP!CM20</f>
        <v>0.61631982135657348</v>
      </c>
      <c r="CM9" s="45">
        <f>TNMP!CN20</f>
        <v>0.62218719090009889</v>
      </c>
      <c r="CN9" s="45">
        <f>TNMP!CO20</f>
        <v>0.62261576156064879</v>
      </c>
      <c r="CO9" s="45">
        <f>TNMP!CP20</f>
        <v>0.62855816831683164</v>
      </c>
      <c r="CP9" s="45">
        <f>TNMP!CQ20</f>
        <v>0.63423172242874848</v>
      </c>
      <c r="CQ9" s="45">
        <f>TNMP!CR20</f>
        <v>0.63835343862703642</v>
      </c>
      <c r="CR9" s="45">
        <f>TNMP!CS20</f>
        <v>0.64598257202220366</v>
      </c>
      <c r="CS9" s="45">
        <f>TNMP!CT20</f>
        <v>0.64957741246401035</v>
      </c>
      <c r="CT9" s="45">
        <f>TNMP!CU20</f>
        <v>0.65235971757710887</v>
      </c>
      <c r="CU9" s="45">
        <f>TNMP!CV20</f>
        <v>0.65433815350389324</v>
      </c>
      <c r="CV9" s="45">
        <f>TNMP!CW20</f>
        <v>0.65635143908244964</v>
      </c>
      <c r="CW9" s="45">
        <f>TNMP!CX20</f>
        <v>0.65889113216337936</v>
      </c>
      <c r="CX9" s="45">
        <f>TNMP!CY20</f>
        <v>0.66222910216718267</v>
      </c>
      <c r="CY9" s="45">
        <f>TNMP!CZ20</f>
        <v>0.66521752631742381</v>
      </c>
      <c r="CZ9" s="45">
        <f>TNMP!DA20</f>
        <v>0.66909045710201676</v>
      </c>
      <c r="DA9" s="45">
        <f>TNMP!DB20</f>
        <v>0.67457753479125249</v>
      </c>
      <c r="DB9" s="45">
        <f>TNMP!DC20</f>
        <v>0.67814664140865188</v>
      </c>
      <c r="DC9" s="45">
        <f>TNMP!DD20</f>
        <v>0.6822557605117695</v>
      </c>
      <c r="DD9" s="45">
        <f>TNMP!DE20</f>
        <v>0.68438083385189796</v>
      </c>
      <c r="DE9" s="45">
        <f>TNMP!DF20</f>
        <v>0.68768246474936334</v>
      </c>
      <c r="DF9" s="45">
        <f>TNMP!DG20</f>
        <v>0.68987006512323557</v>
      </c>
      <c r="DG9" s="45">
        <f>TNMP!DH20</f>
        <v>0.69224548197455593</v>
      </c>
      <c r="DH9" s="45">
        <f>TNMP!DI20</f>
        <v>0.6918828348020355</v>
      </c>
      <c r="DI9" s="45">
        <f>TNMP!DJ20</f>
        <v>0.69364465749188187</v>
      </c>
      <c r="DJ9" s="45">
        <f>TNMP!DK20</f>
        <v>0.69559453710269137</v>
      </c>
      <c r="DK9" s="45">
        <f>TNMP!DL20</f>
        <v>0.69701823558403153</v>
      </c>
      <c r="DL9" s="45">
        <f>TNMP!DM20</f>
        <v>0.69711107678047268</v>
      </c>
      <c r="DM9" s="45">
        <f>TNMP!DN20</f>
        <v>0.69913166646138691</v>
      </c>
      <c r="DN9" s="45">
        <f>TNMP!DO20</f>
        <v>0.69861282367447597</v>
      </c>
      <c r="DO9" s="45">
        <f>TNMP!DP20</f>
        <v>0.70256806930693072</v>
      </c>
      <c r="DP9" s="45">
        <f>TNMP!DQ20</f>
        <v>0.70884118047392197</v>
      </c>
      <c r="DQ9" s="45">
        <f>TNMP!DR20</f>
        <v>0.71194964672487737</v>
      </c>
      <c r="DR9" s="45">
        <f>TNMP!DS20</f>
        <v>0.71224603567889</v>
      </c>
      <c r="DS9" s="45">
        <f>TNMP!DT20</f>
        <v>0.71749350488679942</v>
      </c>
      <c r="DT9" s="45">
        <f>TNMP!DU20</f>
        <v>0.72204738985560901</v>
      </c>
      <c r="DU9" s="45">
        <f>TNMP!DV20</f>
        <v>0.72570340336650696</v>
      </c>
      <c r="DV9" s="45">
        <f>TNMP!DW20</f>
        <v>0.75703790591431042</v>
      </c>
      <c r="DW9" s="45">
        <f>TNMP!DX20</f>
        <v>0.91555391840869327</v>
      </c>
      <c r="DX9" s="45">
        <f>TNMP!DY20</f>
        <v>0.94726478370561806</v>
      </c>
      <c r="DY9" s="45">
        <f>TNMP!DZ20</f>
        <v>0.94819288188590167</v>
      </c>
      <c r="DZ9" s="45">
        <f>TNMP!EA20</f>
        <v>0.94949093466230472</v>
      </c>
      <c r="EA9" s="45">
        <f>TNMP!EB20</f>
        <v>0.95064265775023771</v>
      </c>
      <c r="EB9" s="45">
        <f>TNMP!EC20</f>
        <v>0.95196519927702727</v>
      </c>
      <c r="EC9" s="45">
        <f>TNMP!ED20</f>
        <v>0.95258620689655171</v>
      </c>
      <c r="ED9" s="45">
        <f>TNMP!EE20</f>
        <v>0.95344252350621772</v>
      </c>
      <c r="EE9" s="45">
        <f>TNMP!EF20</f>
        <v>0.95425814528687902</v>
      </c>
      <c r="EF9" s="45">
        <f>TNMP!EG20</f>
        <v>0.95457886676875958</v>
      </c>
      <c r="EG9" s="45">
        <f>TNMP!EH20</f>
        <v>0.95532760765985858</v>
      </c>
      <c r="EH9" s="45">
        <f>TNMP!EI20</f>
        <v>0.95534063002152625</v>
      </c>
      <c r="EI9" s="45">
        <f>TNMP!EJ20</f>
        <v>0.9561027511779906</v>
      </c>
      <c r="EJ9" s="45">
        <f>TNMP!EK20</f>
        <v>0.95612211071934428</v>
      </c>
      <c r="EK9" s="45">
        <f>TNMP!EL20</f>
        <v>0.95622369212266989</v>
      </c>
      <c r="EL9" s="45">
        <f>TNMP!EM20</f>
        <v>0.9567229668810483</v>
      </c>
      <c r="EM9" s="45">
        <f>TNMP!EN20</f>
        <v>0.95667837789555177</v>
      </c>
      <c r="EN9" s="45">
        <f>TNMP!EO20</f>
        <v>0.95774182898646421</v>
      </c>
      <c r="EO9" s="45">
        <f>TNMP!EP20</f>
        <v>0.95725249881009045</v>
      </c>
      <c r="EP9" s="45">
        <f>TNMP!EQ20</f>
        <v>0.95770833333333338</v>
      </c>
      <c r="EQ9" s="45">
        <f>TNMP!ER20</f>
        <v>0.95759433400785621</v>
      </c>
      <c r="ER9" s="45">
        <f>TNMP!ES20</f>
        <v>0.95782235980473862</v>
      </c>
      <c r="ES9" s="45">
        <f>TNMP!ET20</f>
        <v>0.9587441541806917</v>
      </c>
      <c r="ET9" s="45">
        <f>TNMP!EU20</f>
        <v>0.95872694221771915</v>
      </c>
      <c r="EU9" s="45">
        <f>TNMP!EV20</f>
        <v>0.95951309086601111</v>
      </c>
      <c r="EV9" s="45">
        <f>TNMP!EW20</f>
        <v>0.95997990127981558</v>
      </c>
      <c r="EW9" s="45">
        <f>TNMP!EX20</f>
        <v>0.96031394765571976</v>
      </c>
      <c r="EX9" s="45">
        <f>TNMP!EY20</f>
        <v>0.96054641598119861</v>
      </c>
      <c r="EY9" s="45">
        <f>TNMP!EZ20</f>
        <v>0.95967457706766912</v>
      </c>
      <c r="EZ9" s="45">
        <f>TNMP!FA20</f>
        <v>0.95978928884986836</v>
      </c>
      <c r="FA9" s="45">
        <f>TNMP!FB20</f>
        <v>0.95955226933980187</v>
      </c>
      <c r="FB9" s="45">
        <f>TNMP!FC20</f>
        <v>0.95868324798829552</v>
      </c>
      <c r="FC9" s="45">
        <f>TNMP!FD20</f>
        <v>0.95875269067426838</v>
      </c>
      <c r="FD9" s="45">
        <f>TNMP!FE20</f>
        <v>0.95855147080091396</v>
      </c>
      <c r="FE9" s="45">
        <f>TNMP!FF20</f>
        <v>0.95737327188940091</v>
      </c>
      <c r="FF9" s="45">
        <f>TNMP!FG20</f>
        <v>0.95734203670302609</v>
      </c>
      <c r="FG9" s="45">
        <f>TNMP!FH20</f>
        <v>0.95707308713906258</v>
      </c>
      <c r="FH9" s="45">
        <f>TNMP!FI20</f>
        <v>0.95525866969869244</v>
      </c>
      <c r="FI9" s="45">
        <f>TNMP!FJ20</f>
        <v>0.95585945241937764</v>
      </c>
      <c r="FJ9" s="45">
        <f>TNMP!FK20</f>
        <v>0.95644201201794232</v>
      </c>
      <c r="FK9" s="45">
        <f>TNMP!FL20</f>
        <v>0.95509547852085863</v>
      </c>
      <c r="FL9" s="45">
        <f>TNMP!FM20</f>
        <v>0.95554494650228872</v>
      </c>
      <c r="FM9" s="45">
        <f>TNMP!FN20</f>
        <v>0.9559408436502157</v>
      </c>
      <c r="FN9" s="45">
        <f>TNMP!FO20</f>
        <v>0.95539971949509117</v>
      </c>
      <c r="FO9" s="45">
        <f>TNMP!FP20</f>
        <v>0.95596166205605393</v>
      </c>
      <c r="FP9" s="45">
        <f>TNMP!FQ20</f>
        <v>0.95663640654062909</v>
      </c>
      <c r="FQ9" s="45">
        <f>TNMP!FR20</f>
        <v>0.95548697417076767</v>
      </c>
      <c r="FR9" s="45">
        <f>TNMP!FS20</f>
        <v>0.95616461087449522</v>
      </c>
      <c r="FS9" s="45">
        <f>TNMP!FT20</f>
        <v>0.95695346022664762</v>
      </c>
    </row>
    <row r="10" spans="1:175" x14ac:dyDescent="0.25">
      <c r="A10" s="561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</row>
    <row r="11" spans="1:175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</row>
    <row r="12" spans="1:175" s="1" customFormat="1" x14ac:dyDescent="0.25">
      <c r="A12" s="46" t="s">
        <v>9</v>
      </c>
      <c r="B12" s="47">
        <f>TOTAL!C20</f>
        <v>1.6259627199498864E-2</v>
      </c>
      <c r="C12" s="47">
        <f>TOTAL!D20</f>
        <v>4.0029072180773825E-2</v>
      </c>
      <c r="D12" s="47">
        <f>TOTAL!E20</f>
        <v>5.354772526794295E-2</v>
      </c>
      <c r="E12" s="47">
        <f>TOTAL!F20</f>
        <v>5.9495564338796561E-2</v>
      </c>
      <c r="F12" s="47">
        <f>TOTAL!G20</f>
        <v>6.6084645301066239E-2</v>
      </c>
      <c r="G12" s="47">
        <f>TOTAL!H20</f>
        <v>7.2750284604567061E-2</v>
      </c>
      <c r="H12" s="47">
        <f>TOTAL!I20</f>
        <v>7.463566990589951E-2</v>
      </c>
      <c r="I12" s="47">
        <f>TOTAL!J20</f>
        <v>9.0532622056735054E-2</v>
      </c>
      <c r="J12" s="47">
        <f>TOTAL!K20</f>
        <v>9.5230140832746696E-2</v>
      </c>
      <c r="K12" s="47">
        <f>TOTAL!L20</f>
        <v>0.10373094236861118</v>
      </c>
      <c r="L12" s="47">
        <f>TOTAL!M20</f>
        <v>0.10930666349168552</v>
      </c>
      <c r="M12" s="47">
        <f>TOTAL!N20</f>
        <v>0.11503153051916289</v>
      </c>
      <c r="N12" s="47">
        <f>TOTAL!O20</f>
        <v>0.12563641513037865</v>
      </c>
      <c r="O12" s="47">
        <f>TOTAL!P20</f>
        <v>0.13250189633036621</v>
      </c>
      <c r="P12" s="47">
        <f>TOTAL!Q20</f>
        <v>0.13697880254844283</v>
      </c>
      <c r="Q12" s="47">
        <f>TOTAL!R20</f>
        <v>0.13742016902122403</v>
      </c>
      <c r="R12" s="47">
        <f>TOTAL!S20</f>
        <v>0.14249899494506799</v>
      </c>
      <c r="S12" s="47">
        <f>TOTAL!T20</f>
        <v>0.14964482968521772</v>
      </c>
      <c r="T12" s="47">
        <f>TOTAL!U20</f>
        <v>0.15499595961436113</v>
      </c>
      <c r="U12" s="47">
        <f>TOTAL!V20</f>
        <v>0.16095862980854453</v>
      </c>
      <c r="V12" s="47">
        <f>TOTAL!W20</f>
        <v>0.16485584704126413</v>
      </c>
      <c r="W12" s="47">
        <f>TOTAL!X20</f>
        <v>0.172207755375651</v>
      </c>
      <c r="X12" s="47">
        <f>TOTAL!Y20</f>
        <v>0.17802182165735059</v>
      </c>
      <c r="Y12" s="47">
        <f>TOTAL!Z20</f>
        <v>0.18981054840975009</v>
      </c>
      <c r="Z12" s="47">
        <f>TOTAL!AA20</f>
        <v>0.19209080779581278</v>
      </c>
      <c r="AA12" s="47">
        <f>TOTAL!AB20</f>
        <v>0.19599677468999799</v>
      </c>
      <c r="AB12" s="47">
        <f>TOTAL!AC20</f>
        <v>0.2046405855989219</v>
      </c>
      <c r="AC12" s="47">
        <f>TOTAL!AD20</f>
        <v>0.20651450729263043</v>
      </c>
      <c r="AD12" s="47">
        <f>TOTAL!AE20</f>
        <v>0.21063554877841451</v>
      </c>
      <c r="AE12" s="47">
        <f>TOTAL!AF20</f>
        <v>0.22013345540245627</v>
      </c>
      <c r="AF12" s="47">
        <f>TOTAL!AG20</f>
        <v>0.22999820664166362</v>
      </c>
      <c r="AG12" s="47">
        <f>TOTAL!AH20</f>
        <v>0.23794435699830332</v>
      </c>
      <c r="AH12" s="47">
        <f>TOTAL!AI20</f>
        <v>0.24605551276726786</v>
      </c>
      <c r="AI12" s="47">
        <f>TOTAL!AJ20</f>
        <v>0.2539842714272843</v>
      </c>
      <c r="AJ12" s="47">
        <f>TOTAL!AK20</f>
        <v>0.26080579637416207</v>
      </c>
      <c r="AK12" s="47">
        <f>TOTAL!AL20</f>
        <v>0.26661180639785137</v>
      </c>
      <c r="AL12" s="47">
        <f>TOTAL!AM20</f>
        <v>0.28082509250699789</v>
      </c>
      <c r="AM12" s="47">
        <f>TOTAL!AN20</f>
        <v>0.28436506811476508</v>
      </c>
      <c r="AN12" s="47">
        <f>TOTAL!AO20</f>
        <v>0.29085055248152003</v>
      </c>
      <c r="AO12" s="47">
        <f>TOTAL!AP20</f>
        <v>0.30369282785931789</v>
      </c>
      <c r="AP12" s="47">
        <f>TOTAL!AQ20</f>
        <v>0.31026162884016567</v>
      </c>
      <c r="AQ12" s="47">
        <f>TOTAL!AR20</f>
        <v>0.32184000132253432</v>
      </c>
      <c r="AR12" s="47">
        <f>TOTAL!AS20</f>
        <v>0.32734575419802941</v>
      </c>
      <c r="AS12" s="47">
        <f>TOTAL!AT20</f>
        <v>0.33636126689338758</v>
      </c>
      <c r="AT12" s="47">
        <f>TOTAL!AU20</f>
        <v>0.34142440813882541</v>
      </c>
      <c r="AU12" s="47">
        <f>TOTAL!AV20</f>
        <v>0.34529022628669725</v>
      </c>
      <c r="AV12" s="47">
        <f>TOTAL!AW20</f>
        <v>0.34786685837161069</v>
      </c>
      <c r="AW12" s="47">
        <f>TOTAL!AX20</f>
        <v>0.3527268763119733</v>
      </c>
      <c r="AX12" s="47">
        <f>TOTAL!AY20</f>
        <v>0.35613531441299418</v>
      </c>
      <c r="AY12" s="47">
        <f>TOTAL!AZ20</f>
        <v>0.35808333375770879</v>
      </c>
      <c r="AZ12" s="47">
        <f>TOTAL!BA20</f>
        <v>0.36469088168282926</v>
      </c>
      <c r="BA12" s="47">
        <f>TOTAL!BB20</f>
        <v>0.36723731650459907</v>
      </c>
      <c r="BB12" s="47">
        <f>TOTAL!BC20</f>
        <v>0.37585812781558692</v>
      </c>
      <c r="BC12" s="47">
        <f>TOTAL!BD20</f>
        <v>0.38062472735990471</v>
      </c>
      <c r="BD12" s="47">
        <f>TOTAL!BE20</f>
        <v>0.38428779769064231</v>
      </c>
      <c r="BE12" s="47">
        <f>TOTAL!BF20</f>
        <v>0.39088498447556813</v>
      </c>
      <c r="BF12" s="47">
        <f>TOTAL!BG20</f>
        <v>0.39451918113721063</v>
      </c>
      <c r="BG12" s="47">
        <f>TOTAL!BH20</f>
        <v>0.40672791887398108</v>
      </c>
      <c r="BH12" s="47">
        <f>TOTAL!BI20</f>
        <v>0.41456600071218863</v>
      </c>
      <c r="BI12" s="47">
        <f>TOTAL!BJ20</f>
        <v>0.41937377789424879</v>
      </c>
      <c r="BJ12" s="47">
        <f>TOTAL!BK20</f>
        <v>0.43185274386700656</v>
      </c>
      <c r="BK12" s="47">
        <f>TOTAL!BL20</f>
        <v>0.44066710790863795</v>
      </c>
      <c r="BL12" s="47">
        <f>TOTAL!BM20</f>
        <v>0.44906509758827595</v>
      </c>
      <c r="BM12" s="47">
        <f>TOTAL!BN20</f>
        <v>0.45160042344575874</v>
      </c>
      <c r="BN12" s="47">
        <f>TOTAL!BO20</f>
        <v>0.45837171445420827</v>
      </c>
      <c r="BO12" s="47">
        <f>TOTAL!BP20</f>
        <v>0.46137053398510469</v>
      </c>
      <c r="BP12" s="47">
        <f>TOTAL!BQ20</f>
        <v>0.46774235051788932</v>
      </c>
      <c r="BQ12" s="47">
        <f>TOTAL!BR20</f>
        <v>0.47357602914380992</v>
      </c>
      <c r="BR12" s="47">
        <f>TOTAL!BS20</f>
        <v>0.47503044158015123</v>
      </c>
      <c r="BS12" s="47">
        <f>TOTAL!BT20</f>
        <v>0.48217884007786288</v>
      </c>
      <c r="BT12" s="47">
        <f>TOTAL!BU20</f>
        <v>0.49212143862171892</v>
      </c>
      <c r="BU12" s="47">
        <f>TOTAL!BV20</f>
        <v>0.49178960448715908</v>
      </c>
      <c r="BV12" s="47">
        <f>TOTAL!BW20</f>
        <v>0.49580829819844968</v>
      </c>
      <c r="BW12" s="47">
        <f>TOTAL!BX20</f>
        <v>0.49911276407361915</v>
      </c>
      <c r="BX12" s="47">
        <f>TOTAL!BY20</f>
        <v>0.50166666055496678</v>
      </c>
      <c r="BY12" s="47">
        <f>TOTAL!BZ20</f>
        <v>0.50441839340915862</v>
      </c>
      <c r="BZ12" s="47">
        <f>TOTAL!CA20</f>
        <v>0.50698730433659889</v>
      </c>
      <c r="CA12" s="47">
        <f>TOTAL!CB20</f>
        <v>0.51174477462729773</v>
      </c>
      <c r="CB12" s="47">
        <f>TOTAL!CC20</f>
        <v>0.51335346226555101</v>
      </c>
      <c r="CC12" s="47">
        <f>TOTAL!CD20</f>
        <v>0.52090035670201285</v>
      </c>
      <c r="CD12" s="47">
        <f>TOTAL!CE20</f>
        <v>0.52877103923750013</v>
      </c>
      <c r="CE12" s="47">
        <f>TOTAL!CF20</f>
        <v>0.53207902645807381</v>
      </c>
      <c r="CF12" s="47">
        <f>TOTAL!CG20</f>
        <v>0.53738210259949393</v>
      </c>
      <c r="CG12" s="47">
        <f>TOTAL!CH20</f>
        <v>0.54504862330858816</v>
      </c>
      <c r="CH12" s="47">
        <f>TOTAL!CI20</f>
        <v>0.55207430055194207</v>
      </c>
      <c r="CI12" s="47">
        <f>TOTAL!CJ20</f>
        <v>0.55152729827991809</v>
      </c>
      <c r="CJ12" s="47">
        <f>TOTAL!CK20</f>
        <v>0.5546471037750268</v>
      </c>
      <c r="CK12" s="47">
        <f>TOTAL!CL20</f>
        <v>0.55863609182216478</v>
      </c>
      <c r="CL12" s="47">
        <f>TOTAL!CM20</f>
        <v>0.56291347996425534</v>
      </c>
      <c r="CM12" s="47">
        <f>TOTAL!CN20</f>
        <v>0.56512376806763176</v>
      </c>
      <c r="CN12" s="47">
        <f>TOTAL!CO20</f>
        <v>0.56939996587945696</v>
      </c>
      <c r="CO12" s="47">
        <f>TOTAL!CP20</f>
        <v>0.57382247368741257</v>
      </c>
      <c r="CP12" s="47">
        <f>TOTAL!CQ20</f>
        <v>0.57960151940737292</v>
      </c>
      <c r="CQ12" s="281">
        <f>TOTAL!CR20</f>
        <v>0.58544965550219485</v>
      </c>
      <c r="CR12" s="281">
        <f>TOTAL!CS20</f>
        <v>0.59002618678611862</v>
      </c>
      <c r="CS12" s="281">
        <f>TOTAL!CT20</f>
        <v>0.59345391067047526</v>
      </c>
      <c r="CT12" s="281">
        <f>TOTAL!CU20</f>
        <v>0.5932908661889833</v>
      </c>
      <c r="CU12" s="281">
        <f>TOTAL!CV20</f>
        <v>0.59822637717880389</v>
      </c>
      <c r="CV12" s="281">
        <f>TOTAL!CW20</f>
        <v>0.60156519555190879</v>
      </c>
      <c r="CW12" s="281">
        <f>TOTAL!CX20</f>
        <v>0.60309033721794592</v>
      </c>
      <c r="CX12" s="281">
        <f>TOTAL!CY20</f>
        <v>0.60641929297023889</v>
      </c>
      <c r="CY12" s="281">
        <f>TOTAL!CZ20</f>
        <v>0.61010788403826688</v>
      </c>
      <c r="CZ12" s="281">
        <f>TOTAL!DA20</f>
        <v>0.61580565507891938</v>
      </c>
      <c r="DA12" s="281">
        <f>TOTAL!DB20</f>
        <v>0.61809945705042091</v>
      </c>
      <c r="DB12" s="281">
        <f>TOTAL!DC20</f>
        <v>0.62208191369655896</v>
      </c>
      <c r="DC12" s="281">
        <f>TOTAL!DD20</f>
        <v>0.62412636901391949</v>
      </c>
      <c r="DD12" s="281">
        <f>TOTAL!DE20</f>
        <v>0.62937094399136173</v>
      </c>
      <c r="DE12" s="281">
        <f>TOTAL!DF20</f>
        <v>0.63403332109240607</v>
      </c>
      <c r="DF12" s="281">
        <f>TOTAL!DG20</f>
        <v>0.63255628293150246</v>
      </c>
      <c r="DG12" s="281">
        <f>TOTAL!DH20</f>
        <v>0.6385311556764024</v>
      </c>
      <c r="DH12" s="281">
        <f>TOTAL!DI20</f>
        <v>0.64114360115011126</v>
      </c>
      <c r="DI12" s="281">
        <f>TOTAL!DJ20</f>
        <v>0.64332443994050603</v>
      </c>
      <c r="DJ12" s="281">
        <f>TOTAL!DK20</f>
        <v>0.64542124720837502</v>
      </c>
      <c r="DK12" s="281">
        <f>TOTAL!DL20</f>
        <v>0.65212064619437182</v>
      </c>
      <c r="DL12" s="281">
        <f>TOTAL!DM20</f>
        <v>0.66466661125669813</v>
      </c>
      <c r="DM12" s="281">
        <f>TOTAL!DN20</f>
        <v>0.65755655742001895</v>
      </c>
      <c r="DN12" s="281">
        <f>TOTAL!DO20</f>
        <v>0.658583180537194</v>
      </c>
      <c r="DO12" s="281">
        <f>TOTAL!DP20</f>
        <v>0.66060432841544681</v>
      </c>
      <c r="DP12" s="281">
        <f>TOTAL!DQ20</f>
        <v>0.6646054554718579</v>
      </c>
      <c r="DQ12" s="281">
        <f>TOTAL!DR20</f>
        <v>0.66540368762345325</v>
      </c>
      <c r="DR12" s="281">
        <f>TOTAL!DS20</f>
        <v>0.66826240449720375</v>
      </c>
      <c r="DS12" s="281">
        <f>TOTAL!DT20</f>
        <v>0.6703643362277325</v>
      </c>
      <c r="DT12" s="281">
        <f>TOTAL!DU20</f>
        <v>0.67167854935481319</v>
      </c>
      <c r="DU12" s="281">
        <f>TOTAL!DV20</f>
        <v>0.67288273606039073</v>
      </c>
      <c r="DV12" s="281">
        <f>TOTAL!DW20</f>
        <v>0.67489133950889579</v>
      </c>
      <c r="DW12" s="281">
        <f>TOTAL!DX20</f>
        <v>0.68279046643011754</v>
      </c>
      <c r="DX12" s="281">
        <f>TOTAL!DY20</f>
        <v>0.68086503244278362</v>
      </c>
      <c r="DY12" s="281">
        <f>TOTAL!DZ20</f>
        <v>0.67584384331267411</v>
      </c>
      <c r="DZ12" s="281">
        <f>TOTAL!EA20</f>
        <v>0.67744455183699204</v>
      </c>
      <c r="EA12" s="281">
        <f>TOTAL!EB20</f>
        <v>0.67742182977269083</v>
      </c>
      <c r="EB12" s="281">
        <f>TOTAL!EC20</f>
        <v>0.67896612029991255</v>
      </c>
      <c r="EC12" s="281">
        <f>TOTAL!ED20</f>
        <v>0.67917682151577885</v>
      </c>
      <c r="ED12" s="281">
        <f>TOTAL!EE20</f>
        <v>0.6801157685325353</v>
      </c>
      <c r="EE12" s="281">
        <f>TOTAL!EF20</f>
        <v>0.68096986606754906</v>
      </c>
      <c r="EF12" s="281">
        <f>TOTAL!EG20</f>
        <v>0.68161557986404886</v>
      </c>
      <c r="EG12" s="281">
        <f>TOTAL!EH20</f>
        <v>0.68273227818056026</v>
      </c>
      <c r="EH12" s="281">
        <f>TOTAL!EI20</f>
        <v>0.68350648931063762</v>
      </c>
      <c r="EI12" s="281">
        <f>TOTAL!EJ20</f>
        <v>0.68726112032001319</v>
      </c>
      <c r="EJ12" s="281">
        <f>TOTAL!EK20</f>
        <v>0.68656489074167393</v>
      </c>
      <c r="EK12" s="281">
        <f>TOTAL!EL20</f>
        <v>0.68725852818925892</v>
      </c>
      <c r="EL12" s="281">
        <f>TOTAL!EM20</f>
        <v>0.68882081223732461</v>
      </c>
      <c r="EM12" s="281">
        <f>TOTAL!EN20</f>
        <v>0.68992571285614246</v>
      </c>
      <c r="EN12" s="281">
        <f>TOTAL!EO20</f>
        <v>0.69483524651831163</v>
      </c>
      <c r="EO12" s="281">
        <f>TOTAL!EP20</f>
        <v>0.6927025751728445</v>
      </c>
      <c r="EP12" s="281">
        <f>TOTAL!EQ20</f>
        <v>0.69197008709824825</v>
      </c>
      <c r="EQ12" s="281">
        <f>TOTAL!ER20</f>
        <v>0.69956532710077635</v>
      </c>
      <c r="ER12" s="281">
        <f>TOTAL!ES20</f>
        <v>0.70351680301000485</v>
      </c>
      <c r="ES12" s="281">
        <f>TOTAL!ET20</f>
        <v>0.70471872787670864</v>
      </c>
      <c r="ET12" s="281">
        <f>TOTAL!EU20</f>
        <v>0.70456732238630937</v>
      </c>
      <c r="EU12" s="281">
        <f>TOTAL!EV20</f>
        <v>0.70424556305020158</v>
      </c>
      <c r="EV12" s="281">
        <f>TOTAL!EW20</f>
        <v>0.70557455343703812</v>
      </c>
      <c r="EW12" s="281">
        <f>TOTAL!EX20</f>
        <v>0.70588705744000924</v>
      </c>
      <c r="EX12" s="281">
        <f>TOTAL!EY20</f>
        <v>0.70645158749182702</v>
      </c>
      <c r="EY12" s="281">
        <f>TOTAL!EZ20</f>
        <v>0.70654664889737329</v>
      </c>
      <c r="EZ12" s="281">
        <f>TOTAL!FA20</f>
        <v>0.70806194266569644</v>
      </c>
      <c r="FA12" s="281">
        <f>TOTAL!FB20</f>
        <v>0.7090065765150072</v>
      </c>
      <c r="FB12" s="281">
        <f>TOTAL!FC20</f>
        <v>0.70900698023295872</v>
      </c>
      <c r="FC12" s="281">
        <f>TOTAL!FD20</f>
        <v>0.70580027905122589</v>
      </c>
      <c r="FD12" s="281">
        <f>TOTAL!FE20</f>
        <v>0.70613042077568777</v>
      </c>
      <c r="FE12" s="281">
        <f>TOTAL!FF20</f>
        <v>0.70643097834761459</v>
      </c>
      <c r="FF12" s="281">
        <f>TOTAL!FG20</f>
        <v>0.70692161242715679</v>
      </c>
      <c r="FG12" s="281">
        <f>TOTAL!FH20</f>
        <v>0.71030483988763737</v>
      </c>
      <c r="FH12" s="281">
        <f>TOTAL!FI20</f>
        <v>0.71466882839264201</v>
      </c>
      <c r="FI12" s="281">
        <f>TOTAL!FJ20</f>
        <v>0.71931323234766165</v>
      </c>
      <c r="FJ12" s="281">
        <f>TOTAL!FK20</f>
        <v>0.72059107419825108</v>
      </c>
      <c r="FK12" s="281">
        <f>TOTAL!FL20</f>
        <v>0.72833740371157929</v>
      </c>
      <c r="FL12" s="281">
        <f>TOTAL!FM20</f>
        <v>0.72925115612407709</v>
      </c>
      <c r="FM12" s="281">
        <f>TOTAL!FN20</f>
        <v>0.73086568556931508</v>
      </c>
      <c r="FN12" s="281">
        <f>TOTAL!FO20</f>
        <v>0.73155905068295801</v>
      </c>
      <c r="FO12" s="281">
        <f>TOTAL!FP20</f>
        <v>0.73943204269110918</v>
      </c>
      <c r="FP12" s="281">
        <f>TOTAL!FQ20</f>
        <v>0.74183402017385613</v>
      </c>
      <c r="FQ12" s="281">
        <f>TOTAL!FR20</f>
        <v>0.74188569915687463</v>
      </c>
      <c r="FR12" s="281">
        <f>TOTAL!FS20</f>
        <v>0.74378859486514537</v>
      </c>
      <c r="FS12" s="281">
        <f>TOTAL!FT20</f>
        <v>0.7443153524304793</v>
      </c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  <row r="21" spans="6:12" x14ac:dyDescent="0.25">
      <c r="F21" s="45"/>
      <c r="G21" s="45"/>
      <c r="H21" s="45"/>
      <c r="I21" s="45"/>
      <c r="J21" s="45"/>
      <c r="K21" s="45"/>
      <c r="L21" s="45"/>
    </row>
    <row r="22" spans="6:12" x14ac:dyDescent="0.25">
      <c r="F22" s="45"/>
      <c r="G22" s="45"/>
      <c r="H22" s="45"/>
      <c r="I22" s="45"/>
      <c r="J22" s="45"/>
      <c r="K22" s="45"/>
      <c r="L22" s="45"/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S12"/>
  <sheetViews>
    <sheetView topLeftCell="A22" workbookViewId="0">
      <selection activeCell="R30" sqref="R30"/>
    </sheetView>
  </sheetViews>
  <sheetFormatPr defaultColWidth="9.109375" defaultRowHeight="13.2" x14ac:dyDescent="0.25"/>
  <cols>
    <col min="1" max="1" width="26" style="2" customWidth="1"/>
    <col min="2" max="2" width="10.6640625" style="2" customWidth="1"/>
    <col min="3" max="3" width="11" style="2" customWidth="1"/>
    <col min="4" max="16384" width="9.109375" style="2"/>
  </cols>
  <sheetData>
    <row r="1" spans="1:175" ht="21" x14ac:dyDescent="0.4">
      <c r="A1" s="608" t="s">
        <v>39</v>
      </c>
      <c r="B1" s="608"/>
      <c r="C1" s="608"/>
      <c r="D1" s="608"/>
      <c r="E1" s="608"/>
      <c r="F1" s="608"/>
      <c r="G1" s="608"/>
      <c r="H1" s="608"/>
    </row>
    <row r="2" spans="1:175" ht="15.6" x14ac:dyDescent="0.3">
      <c r="B2" s="43"/>
      <c r="C2" s="43"/>
      <c r="D2" s="43"/>
      <c r="E2" s="43"/>
      <c r="F2" s="43"/>
    </row>
    <row r="3" spans="1:175" x14ac:dyDescent="0.25">
      <c r="Z3" s="2">
        <v>2004</v>
      </c>
    </row>
    <row r="4" spans="1:175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</row>
    <row r="5" spans="1:175" x14ac:dyDescent="0.25">
      <c r="A5" s="273" t="s">
        <v>86</v>
      </c>
      <c r="B5" s="14">
        <f>SUM(Oncor!C65)</f>
        <v>4.7054446167212863E-4</v>
      </c>
      <c r="C5" s="14">
        <f>SUM(Oncor!D65)</f>
        <v>7.7413658294197232E-2</v>
      </c>
      <c r="D5" s="14">
        <f>SUM(Oncor!E65)</f>
        <v>0.14987601445264837</v>
      </c>
      <c r="E5" s="14">
        <f>SUM(Oncor!F65)</f>
        <v>0.17940890432299775</v>
      </c>
      <c r="F5" s="14">
        <f>SUM(Oncor!G65)</f>
        <v>0.17237409427915718</v>
      </c>
      <c r="G5" s="14">
        <f>SUM(Oncor!H65)</f>
        <v>0.23580094826507914</v>
      </c>
      <c r="H5" s="14">
        <f>SUM(Oncor!I65)</f>
        <v>0.25363835341490459</v>
      </c>
      <c r="I5" s="14">
        <f>SUM(Oncor!J65)</f>
        <v>0.22409738719094932</v>
      </c>
      <c r="J5" s="14">
        <f>SUM(Oncor!K65)</f>
        <v>0.27656787952273698</v>
      </c>
      <c r="K5" s="14">
        <f>SUM(Oncor!L65)</f>
        <v>0.30799232121474263</v>
      </c>
      <c r="L5" s="14">
        <f>SUM(Oncor!M65)</f>
        <v>0.20623339740413915</v>
      </c>
      <c r="M5" s="14">
        <f>SUM(Oncor!N65)</f>
        <v>0.29716748854090014</v>
      </c>
      <c r="N5" s="14">
        <f>SUM(Oncor!O65)</f>
        <v>0.31102630412154358</v>
      </c>
      <c r="O5" s="14">
        <f>SUM(Oncor!P65)</f>
        <v>0.33096755591426258</v>
      </c>
      <c r="P5" s="14">
        <f>SUM(Oncor!Q65)</f>
        <v>0.36221869268675189</v>
      </c>
      <c r="Q5" s="14">
        <f>SUM(Oncor!R65)</f>
        <v>0.32855866435901493</v>
      </c>
      <c r="R5" s="14">
        <f>SUM(Oncor!S65)</f>
        <v>0.33774156368636055</v>
      </c>
      <c r="S5" s="14">
        <f>SUM(Oncor!T65)</f>
        <v>0.33541589969330282</v>
      </c>
      <c r="T5" s="14">
        <f>SUM(Oncor!U65)</f>
        <v>0.3696091155557098</v>
      </c>
      <c r="U5" s="14">
        <f>SUM(Oncor!V65)</f>
        <v>0.37135149851606547</v>
      </c>
      <c r="V5" s="14">
        <f>SUM(Oncor!W65)</f>
        <v>0.38387391280805755</v>
      </c>
      <c r="W5" s="14">
        <f>SUM(Oncor!X65)</f>
        <v>0.39300411246697325</v>
      </c>
      <c r="X5" s="14">
        <f>SUM(Oncor!Y65)</f>
        <v>0.40397111304862149</v>
      </c>
      <c r="Y5" s="14">
        <f>SUM(Oncor!Z65)</f>
        <v>0.42711409455344146</v>
      </c>
      <c r="Z5" s="14">
        <f>SUM(Oncor!AA65)</f>
        <v>0.42317822582075104</v>
      </c>
      <c r="AA5" s="14">
        <f>SUM(Oncor!AB65)</f>
        <v>0.42663888265972916</v>
      </c>
      <c r="AB5" s="14">
        <f>SUM(Oncor!AC65)</f>
        <v>0.42597229440613232</v>
      </c>
      <c r="AC5" s="14">
        <f>SUM(Oncor!AD65)</f>
        <v>0.45245711224011992</v>
      </c>
      <c r="AD5" s="14">
        <f>SUM(Oncor!AE65)</f>
        <v>0.4601506991294172</v>
      </c>
      <c r="AE5" s="14">
        <f>SUM(Oncor!AF65)</f>
        <v>0.45810466712347969</v>
      </c>
      <c r="AF5" s="14">
        <f>SUM(Oncor!AG65)</f>
        <v>0.48704203508112476</v>
      </c>
      <c r="AG5" s="14">
        <f>SUM(Oncor!AH65)</f>
        <v>0.50211127410681933</v>
      </c>
      <c r="AH5" s="14">
        <f>SUM(Oncor!AI65)</f>
        <v>0.51460187206606844</v>
      </c>
      <c r="AI5" s="14">
        <f>SUM(Oncor!AJ65)</f>
        <v>0.53145237812555091</v>
      </c>
      <c r="AJ5" s="14">
        <f>SUM(Oncor!AK65)</f>
        <v>0.55270207798809323</v>
      </c>
      <c r="AK5" s="14">
        <f>SUM(Oncor!AL65)</f>
        <v>0.54618486001881905</v>
      </c>
      <c r="AL5" s="14">
        <f>SUM(Oncor!AM65)</f>
        <v>0.55114337474337638</v>
      </c>
      <c r="AM5" s="14">
        <f>SUM(Oncor!AN65)</f>
        <v>0.57749230899821491</v>
      </c>
      <c r="AN5" s="14">
        <f>SUM(Oncor!AO65)</f>
        <v>0.59097019558079922</v>
      </c>
      <c r="AO5" s="14">
        <f>SUM(Oncor!AP65)</f>
        <v>0.60772231213298777</v>
      </c>
      <c r="AP5" s="14">
        <f>SUM(Oncor!AQ65)</f>
        <v>0.6140421726603148</v>
      </c>
      <c r="AQ5" s="14">
        <f>SUM(Oncor!AR65)</f>
        <v>0.61453009171433826</v>
      </c>
      <c r="AR5" s="14">
        <f>SUM(Oncor!AS65)</f>
        <v>0.63006831237133643</v>
      </c>
      <c r="AS5" s="14">
        <f>SUM(Oncor!AT65)</f>
        <v>0.64059703288645919</v>
      </c>
      <c r="AT5" s="14">
        <f>SUM(Oncor!AU65)</f>
        <v>0.6472684757319892</v>
      </c>
      <c r="AU5" s="14">
        <f>SUM(Oncor!AV65)</f>
        <v>0.65456293432806456</v>
      </c>
      <c r="AV5" s="14">
        <f>SUM(Oncor!AW65)</f>
        <v>0.66436111331651815</v>
      </c>
      <c r="AW5" s="14">
        <f>SUM(Oncor!AX65)</f>
        <v>0.66059559271215784</v>
      </c>
      <c r="AX5" s="14">
        <f>SUM(Oncor!AY65)</f>
        <v>0.66850340569767253</v>
      </c>
      <c r="AY5" s="14">
        <f>SUM(Oncor!AZ65)</f>
        <v>0.6665631200596408</v>
      </c>
      <c r="AZ5" s="14">
        <f>SUM(Oncor!BA65)</f>
        <v>0.6759138709602972</v>
      </c>
      <c r="BA5" s="14">
        <f>SUM(Oncor!BB65)</f>
        <v>0.67903245653946398</v>
      </c>
      <c r="BB5" s="14">
        <f>SUM(Oncor!BC65)</f>
        <v>0.67747558553628529</v>
      </c>
      <c r="BC5" s="14">
        <f>SUM(Oncor!BD65)</f>
        <v>0.67883136058844451</v>
      </c>
      <c r="BD5" s="14">
        <f>SUM(Oncor!BE65)</f>
        <v>0.68395147051338856</v>
      </c>
      <c r="BE5" s="14">
        <f>SUM(Oncor!BF65)</f>
        <v>0.68173597185988599</v>
      </c>
      <c r="BF5" s="14">
        <f>SUM(Oncor!BG65)</f>
        <v>0.69324550403503182</v>
      </c>
      <c r="BG5" s="14">
        <f>SUM(Oncor!BH65)</f>
        <v>0.69829823988607043</v>
      </c>
      <c r="BH5" s="14">
        <f>SUM(Oncor!BI65)</f>
        <v>0.70793404370158897</v>
      </c>
      <c r="BI5" s="14">
        <f>SUM(Oncor!BJ65)</f>
        <v>0.71000265629709725</v>
      </c>
      <c r="BJ5" s="14">
        <f>SUM(Oncor!BK65)</f>
        <v>0.70300330813445566</v>
      </c>
      <c r="BK5" s="14">
        <f>SUM(Oncor!BL65)</f>
        <v>0.70750926143864346</v>
      </c>
      <c r="BL5" s="14">
        <f>SUM(Oncor!BM65)</f>
        <v>0.70757962177052924</v>
      </c>
      <c r="BM5" s="14">
        <f>SUM(Oncor!BN65)</f>
        <v>0.72070447186111719</v>
      </c>
      <c r="BN5" s="14">
        <f>SUM(Oncor!BO65)</f>
        <v>0.72389485459267899</v>
      </c>
      <c r="BO5" s="14">
        <f>SUM(Oncor!BP65)</f>
        <v>0.72634979265496358</v>
      </c>
      <c r="BP5" s="14">
        <f>SUM(Oncor!BQ65)</f>
        <v>0.72555193402999507</v>
      </c>
      <c r="BQ5" s="14">
        <f>SUM(Oncor!BR65)</f>
        <v>0.72192788076541525</v>
      </c>
      <c r="BR5" s="14">
        <f>SUM(Oncor!BS65)</f>
        <v>0.73017205137485974</v>
      </c>
      <c r="BS5" s="14">
        <f>SUM(Oncor!BT65)</f>
        <v>0.72898538952220382</v>
      </c>
      <c r="BT5" s="14">
        <f>SUM(Oncor!BU65)</f>
        <v>0.73731416421204521</v>
      </c>
      <c r="BU5" s="14">
        <f>SUM(Oncor!BV65)</f>
        <v>0.73815813436536526</v>
      </c>
      <c r="BV5" s="14">
        <f>SUM(Oncor!BW65)</f>
        <v>0.73909092727395964</v>
      </c>
      <c r="BW5" s="14">
        <f>SUM(Oncor!BX65)</f>
        <v>0.73718099596114572</v>
      </c>
      <c r="BX5" s="14">
        <f>SUM(Oncor!BY65)</f>
        <v>0.74012485176798515</v>
      </c>
      <c r="BY5" s="14">
        <f>SUM(Oncor!BZ65)</f>
        <v>0.7455791735206142</v>
      </c>
      <c r="BZ5" s="14">
        <f>SUM(Oncor!CA65)</f>
        <v>0.74592827095442571</v>
      </c>
      <c r="CA5" s="14">
        <f>SUM(Oncor!CB65)</f>
        <v>0.75731944725688816</v>
      </c>
      <c r="CB5" s="14">
        <f>SUM(Oncor!CC65)</f>
        <v>0.7450610236267482</v>
      </c>
      <c r="CC5" s="14">
        <f>SUM(Oncor!CD65)</f>
        <v>0.74238330637131622</v>
      </c>
      <c r="CD5" s="14">
        <f>SUM(Oncor!CE65)</f>
        <v>0.74840013137226558</v>
      </c>
      <c r="CE5" s="14">
        <f>SUM(Oncor!CF65)</f>
        <v>0.75251435620130114</v>
      </c>
      <c r="CF5" s="14">
        <f>SUM(Oncor!CG65)</f>
        <v>0.75546306118682549</v>
      </c>
      <c r="CG5" s="14">
        <f>SUM(Oncor!CH65)</f>
        <v>0.75647325880522587</v>
      </c>
      <c r="CH5" s="14">
        <f>SUM(Oncor!CI65)</f>
        <v>0.75356083998774104</v>
      </c>
      <c r="CI5" s="14">
        <f>SUM(Oncor!CJ65)</f>
        <v>0.75040179193842205</v>
      </c>
      <c r="CJ5" s="14">
        <f>SUM(Oncor!CK65)</f>
        <v>0.75776172900555483</v>
      </c>
      <c r="CK5" s="14">
        <f>SUM(Oncor!CL65)</f>
        <v>0.75806870724325537</v>
      </c>
      <c r="CL5" s="14">
        <f>SUM(Oncor!CM65)</f>
        <v>0.76062129267259537</v>
      </c>
      <c r="CM5" s="14">
        <f>SUM(Oncor!CN65)</f>
        <v>0.76044792598695687</v>
      </c>
      <c r="CN5" s="14">
        <f>SUM(Oncor!CO65)</f>
        <v>0.74833338383997916</v>
      </c>
      <c r="CO5" s="14">
        <f>SUM(Oncor!CP65)</f>
        <v>0.74712727507213217</v>
      </c>
      <c r="CP5" s="14">
        <f>SUM(Oncor!CQ65)</f>
        <v>0.7560816896774688</v>
      </c>
      <c r="CQ5" s="14">
        <f>SUM(Oncor!CR65)</f>
        <v>0.7582597094296889</v>
      </c>
      <c r="CR5" s="14">
        <f>SUM(Oncor!CS65)</f>
        <v>0.75937475045674085</v>
      </c>
      <c r="CS5" s="14">
        <f>SUM(Oncor!CT65)</f>
        <v>0.76017973129911942</v>
      </c>
      <c r="CT5" s="14">
        <f>SUM(Oncor!CU65)</f>
        <v>0.7515812298367841</v>
      </c>
      <c r="CU5" s="14">
        <f>SUM(Oncor!CV65)</f>
        <v>0.75155436050931435</v>
      </c>
      <c r="CV5" s="14">
        <f>SUM(Oncor!CW65)</f>
        <v>0.7524077083879821</v>
      </c>
      <c r="CW5" s="14">
        <f>SUM(Oncor!CX65)</f>
        <v>0.75825607731556832</v>
      </c>
      <c r="CX5" s="14">
        <f>SUM(Oncor!CY65)</f>
        <v>0.76456739309133637</v>
      </c>
      <c r="CY5" s="14">
        <f>SUM(Oncor!CZ65)</f>
        <v>0.76323349811105179</v>
      </c>
      <c r="CZ5" s="14">
        <f>SUM(Oncor!DA65)</f>
        <v>0.76600839696213163</v>
      </c>
      <c r="DA5" s="14">
        <f>SUM(Oncor!DB65)</f>
        <v>0.76790179603745434</v>
      </c>
      <c r="DB5" s="14">
        <f>SUM(Oncor!DC65)</f>
        <v>0.77140040799532095</v>
      </c>
      <c r="DC5" s="14">
        <f>SUM(Oncor!DD65)</f>
        <v>0.78761897453074348</v>
      </c>
      <c r="DD5" s="14">
        <f>SUM(Oncor!DE65)</f>
        <v>0.77750541719306243</v>
      </c>
      <c r="DE5" s="14">
        <f>SUM(Oncor!DF65)</f>
        <v>0.77916853399068475</v>
      </c>
      <c r="DF5" s="14">
        <f>SUM(Oncor!DG65)</f>
        <v>0.77784048339969736</v>
      </c>
      <c r="DG5" s="14">
        <f>SUM(Oncor!DH65)</f>
        <v>0.77403838896053623</v>
      </c>
      <c r="DH5" s="14">
        <f>SUM(Oncor!DI65)</f>
        <v>0.78456224608567882</v>
      </c>
      <c r="DI5" s="14">
        <f>SUM(Oncor!DJ65)</f>
        <v>0.79228787794243516</v>
      </c>
      <c r="DJ5" s="14">
        <f>SUM(Oncor!DK65)</f>
        <v>0.79468897754901668</v>
      </c>
      <c r="DK5" s="14">
        <f>SUM(Oncor!DL65)</f>
        <v>0.79606376618034125</v>
      </c>
      <c r="DL5" s="14">
        <f>SUM(Oncor!DM65)</f>
        <v>0.79881601894160481</v>
      </c>
      <c r="DM5" s="14">
        <f>SUM(Oncor!DN65)</f>
        <v>0.79948525121124792</v>
      </c>
      <c r="DN5" s="14">
        <f>SUM(Oncor!DO65)</f>
        <v>0.80161576244191557</v>
      </c>
      <c r="DO5" s="14">
        <f>SUM(Oncor!DP65)</f>
        <v>0.80777927791061732</v>
      </c>
      <c r="DP5" s="14">
        <f>SUM(Oncor!DQ65)</f>
        <v>0.81202295005082015</v>
      </c>
      <c r="DQ5" s="14">
        <f>SUM(Oncor!DR65)</f>
        <v>0.81052546750672738</v>
      </c>
      <c r="DR5" s="14">
        <f>SUM(Oncor!DS65)</f>
        <v>0.81047316216746945</v>
      </c>
      <c r="DS5" s="14">
        <f>SUM(Oncor!DT65)</f>
        <v>0.81609592189835212</v>
      </c>
      <c r="DT5" s="14">
        <f>SUM(Oncor!DU65)</f>
        <v>0.81999672662920953</v>
      </c>
      <c r="DU5" s="14">
        <f>SUM(Oncor!DV65)</f>
        <v>0.82198850950390401</v>
      </c>
      <c r="DV5" s="14">
        <f>SUM(Oncor!DW65)</f>
        <v>0.82402685808427045</v>
      </c>
      <c r="DW5" s="14">
        <f>SUM(Oncor!DX65)</f>
        <v>0.82271865936234767</v>
      </c>
      <c r="DX5" s="14">
        <f>SUM(Oncor!DY65)</f>
        <v>0.82420386733433537</v>
      </c>
      <c r="DY5" s="14">
        <f>SUM(Oncor!DZ65)</f>
        <v>0.8214818729928719</v>
      </c>
      <c r="DZ5" s="14">
        <f>SUM(Oncor!EA65)</f>
        <v>0.8235576599742277</v>
      </c>
      <c r="EA5" s="14">
        <f>SUM(Oncor!EB65)</f>
        <v>0.82587096818931394</v>
      </c>
      <c r="EB5" s="14">
        <f>SUM(Oncor!EC65)</f>
        <v>0.82823928042397732</v>
      </c>
      <c r="EC5" s="14">
        <f>SUM(Oncor!ED65)</f>
        <v>0.82888157604283674</v>
      </c>
      <c r="ED5" s="14">
        <f>SUM(Oncor!EE65)</f>
        <v>0.82313431590220498</v>
      </c>
      <c r="EE5" s="14">
        <f>SUM(Oncor!EF65)</f>
        <v>0.82459857117697977</v>
      </c>
      <c r="EF5" s="14">
        <f>SUM(Oncor!EG65)</f>
        <v>0.82518433235325794</v>
      </c>
      <c r="EG5" s="14">
        <f>SUM(Oncor!EH65)</f>
        <v>0.82814924478270802</v>
      </c>
      <c r="EH5" s="14">
        <f>SUM(Oncor!EI65)</f>
        <v>0.82987096308180541</v>
      </c>
      <c r="EI5" s="14">
        <f>SUM(Oncor!EJ65)</f>
        <v>0.83168119348047898</v>
      </c>
      <c r="EJ5" s="14">
        <f>SUM(Oncor!EK65)</f>
        <v>0.83367038238626379</v>
      </c>
      <c r="EK5" s="14">
        <f>SUM(Oncor!EL65)</f>
        <v>0.83414038707139915</v>
      </c>
      <c r="EL5" s="14">
        <f>SUM(Oncor!EM65)</f>
        <v>0.83411394775571457</v>
      </c>
      <c r="EM5" s="14">
        <f>SUM(Oncor!EN65)</f>
        <v>0.8370964703369681</v>
      </c>
      <c r="EN5" s="14">
        <f>SUM(Oncor!EO65)</f>
        <v>0.83876142725037384</v>
      </c>
      <c r="EO5" s="14">
        <f>SUM(Oncor!EP65)</f>
        <v>0.8362412120137559</v>
      </c>
      <c r="EP5" s="14">
        <f>SUM(Oncor!EQ65)</f>
        <v>0.83583885525977175</v>
      </c>
      <c r="EQ5" s="14">
        <f>SUM(Oncor!ER65)</f>
        <v>0.83294831281363924</v>
      </c>
      <c r="ER5" s="14">
        <f>SUM(Oncor!ES65)</f>
        <v>0.8363978797826801</v>
      </c>
      <c r="ES5" s="14">
        <f>SUM(Oncor!ET65)</f>
        <v>0.83874096061780212</v>
      </c>
      <c r="ET5" s="14">
        <f>SUM(Oncor!EU65)</f>
        <v>0.83474667791412183</v>
      </c>
      <c r="EU5" s="14">
        <f>SUM(Oncor!EV65)</f>
        <v>0.83296130143633551</v>
      </c>
      <c r="EV5" s="14">
        <f>SUM(Oncor!EW65)</f>
        <v>0.82846759312416551</v>
      </c>
      <c r="EW5" s="14">
        <f>SUM(Oncor!EX65)</f>
        <v>0.82742970379752445</v>
      </c>
      <c r="EX5" s="14">
        <f>SUM(Oncor!EY65)</f>
        <v>0.82838317542257567</v>
      </c>
      <c r="EY5" s="14">
        <f>SUM(Oncor!EZ65)</f>
        <v>0.82800030443455996</v>
      </c>
      <c r="EZ5" s="14">
        <f>SUM(Oncor!FA65)</f>
        <v>0.82929357052697983</v>
      </c>
      <c r="FA5" s="14">
        <f>SUM(Oncor!FB65)</f>
        <v>0.82825590908710467</v>
      </c>
      <c r="FB5" s="14">
        <f>SUM(Oncor!FC65)</f>
        <v>0.82298211874353433</v>
      </c>
      <c r="FC5" s="14">
        <f>SUM(Oncor!FD65)</f>
        <v>0.82251030460021091</v>
      </c>
      <c r="FD5" s="14">
        <f>SUM(Oncor!FE65)</f>
        <v>0.82198421506768293</v>
      </c>
      <c r="FE5" s="14">
        <f>SUM(Oncor!FF65)</f>
        <v>0.82525918987094515</v>
      </c>
      <c r="FF5" s="14">
        <f>SUM(Oncor!FG65)</f>
        <v>0.82747094086519912</v>
      </c>
      <c r="FG5" s="14">
        <f>SUM(Oncor!FH65)</f>
        <v>0.8279283398675108</v>
      </c>
      <c r="FH5" s="14">
        <f>SUM(Oncor!FI65)</f>
        <v>0.82471136314019744</v>
      </c>
      <c r="FI5" s="14">
        <f>SUM(Oncor!FJ65)</f>
        <v>0.82354629255027223</v>
      </c>
      <c r="FJ5" s="14">
        <f>SUM(Oncor!FK65)</f>
        <v>0.82506032515210959</v>
      </c>
      <c r="FK5" s="14">
        <f>SUM(Oncor!FL65)</f>
        <v>0.82549401341703144</v>
      </c>
      <c r="FL5" s="14">
        <f>SUM(Oncor!FM65)</f>
        <v>0.82607366871289056</v>
      </c>
      <c r="FM5" s="14">
        <f>SUM(Oncor!FN65)</f>
        <v>0.82519316065090398</v>
      </c>
      <c r="FN5" s="14">
        <f>SUM(Oncor!FO65)</f>
        <v>0.82282652325074002</v>
      </c>
      <c r="FO5" s="14">
        <f>SUM(Oncor!FP65)</f>
        <v>0.82161605396993298</v>
      </c>
      <c r="FP5" s="14">
        <f>SUM(Oncor!FQ65)</f>
        <v>0.82577972662945687</v>
      </c>
      <c r="FQ5" s="14">
        <f>SUM(Oncor!FR65)</f>
        <v>0.82741742988392686</v>
      </c>
      <c r="FR5" s="14">
        <f>SUM(Oncor!FS65)</f>
        <v>0.82838422455103666</v>
      </c>
      <c r="FS5" s="14">
        <f>SUM(Oncor!FT65)</f>
        <v>0.82780702514482185</v>
      </c>
    </row>
    <row r="6" spans="1:175" x14ac:dyDescent="0.25">
      <c r="A6" s="44" t="s">
        <v>23</v>
      </c>
      <c r="B6" s="14">
        <f>SUM(Centerpoint!C65)</f>
        <v>8.5924296261272085E-2</v>
      </c>
      <c r="C6" s="14">
        <f>SUM(Centerpoint!D65)</f>
        <v>0.1594294857363544</v>
      </c>
      <c r="D6" s="14">
        <f>SUM(Centerpoint!E65)</f>
        <v>0.26345947871718056</v>
      </c>
      <c r="E6" s="14">
        <f>SUM(Centerpoint!F65)</f>
        <v>0.25617952241168668</v>
      </c>
      <c r="F6" s="14">
        <f>SUM(Centerpoint!G65)</f>
        <v>0.26863069282608165</v>
      </c>
      <c r="G6" s="14">
        <f>SUM(Centerpoint!H65)</f>
        <v>0.27543577246470702</v>
      </c>
      <c r="H6" s="14">
        <f>SUM(Centerpoint!I65)</f>
        <v>0.28837103413545584</v>
      </c>
      <c r="I6" s="14">
        <f>SUM(Centerpoint!J65)</f>
        <v>0.29259166227152561</v>
      </c>
      <c r="J6" s="14">
        <f>SUM(Centerpoint!K65)</f>
        <v>0.30419583023437957</v>
      </c>
      <c r="K6" s="14">
        <f>SUM(Centerpoint!L65)</f>
        <v>0.32607418677624855</v>
      </c>
      <c r="L6" s="14">
        <f>SUM(Centerpoint!M65)</f>
        <v>0.33088094135520385</v>
      </c>
      <c r="M6" s="14">
        <f>SUM(Centerpoint!N65)</f>
        <v>0.34322626898641301</v>
      </c>
      <c r="N6" s="14">
        <f>SUM(Centerpoint!O65)</f>
        <v>0.34692607682615811</v>
      </c>
      <c r="O6" s="14">
        <f>SUM(Centerpoint!P65)</f>
        <v>0.36211606917191647</v>
      </c>
      <c r="P6" s="14">
        <f>SUM(Centerpoint!Q65)</f>
        <v>0.37300965654381862</v>
      </c>
      <c r="Q6" s="14">
        <f>SUM(Centerpoint!R65)</f>
        <v>0.36300884512808551</v>
      </c>
      <c r="R6" s="14">
        <f>SUM(Centerpoint!S65)</f>
        <v>0.35959160304167109</v>
      </c>
      <c r="S6" s="14">
        <f>SUM(Centerpoint!T65)</f>
        <v>0.36218510960685057</v>
      </c>
      <c r="T6" s="14">
        <f>SUM(Centerpoint!U65)</f>
        <v>0.36407533990547847</v>
      </c>
      <c r="U6" s="14">
        <f>SUM(Centerpoint!V65)</f>
        <v>0.37370291341506817</v>
      </c>
      <c r="V6" s="14">
        <f>SUM(Centerpoint!W65)</f>
        <v>0.37630524367656559</v>
      </c>
      <c r="W6" s="14">
        <f>SUM(Centerpoint!X65)</f>
        <v>0.38514315485294093</v>
      </c>
      <c r="X6" s="14">
        <f>SUM(Centerpoint!Y65)</f>
        <v>0.40597689253241792</v>
      </c>
      <c r="Y6" s="14">
        <f>SUM(Centerpoint!Z65)</f>
        <v>0.40956585743635271</v>
      </c>
      <c r="Z6" s="14">
        <f>SUM(Centerpoint!AA65)</f>
        <v>0.41912696973642122</v>
      </c>
      <c r="AA6" s="14">
        <f>SUM(Centerpoint!AB65)</f>
        <v>0.41960736546255795</v>
      </c>
      <c r="AB6" s="14">
        <f>SUM(Centerpoint!AC65)</f>
        <v>0.42522524577425513</v>
      </c>
      <c r="AC6" s="14">
        <f>SUM(Centerpoint!AD65)</f>
        <v>0.44115930953924437</v>
      </c>
      <c r="AD6" s="14">
        <f>SUM(Centerpoint!AE65)</f>
        <v>0.44045183510509245</v>
      </c>
      <c r="AE6" s="14">
        <f>SUM(Centerpoint!AF65)</f>
        <v>0.46569466837023893</v>
      </c>
      <c r="AF6" s="14">
        <f>SUM(Centerpoint!AG65)</f>
        <v>0.47047189102775816</v>
      </c>
      <c r="AG6" s="14">
        <f>SUM(Centerpoint!AH65)</f>
        <v>0.48109182313892318</v>
      </c>
      <c r="AH6" s="14">
        <f>SUM(Centerpoint!AI65)</f>
        <v>0.49454253949950355</v>
      </c>
      <c r="AI6" s="14">
        <f>SUM(Centerpoint!AJ65)</f>
        <v>0.50273914978485168</v>
      </c>
      <c r="AJ6" s="14">
        <f>SUM(Centerpoint!AK65)</f>
        <v>0.50889049365326622</v>
      </c>
      <c r="AK6" s="14">
        <f>SUM(Centerpoint!AL65)</f>
        <v>0.50852405964535319</v>
      </c>
      <c r="AL6" s="14">
        <f>SUM(Centerpoint!AM65)</f>
        <v>0.51221814108406405</v>
      </c>
      <c r="AM6" s="14">
        <f>SUM(Centerpoint!AN65)</f>
        <v>0.52604352885891958</v>
      </c>
      <c r="AN6" s="14">
        <f>SUM(Centerpoint!AO65)</f>
        <v>0.54933964198786189</v>
      </c>
      <c r="AO6" s="14">
        <f>SUM(Centerpoint!AP65)</f>
        <v>0.55710842501499214</v>
      </c>
      <c r="AP6" s="14">
        <f>SUM(Centerpoint!AQ65)</f>
        <v>0.56779424034723758</v>
      </c>
      <c r="AQ6" s="14">
        <f>SUM(Centerpoint!AR65)</f>
        <v>0.57424702901966085</v>
      </c>
      <c r="AR6" s="14">
        <f>SUM(Centerpoint!AS65)</f>
        <v>0.57736958763042678</v>
      </c>
      <c r="AS6" s="14">
        <f>SUM(Centerpoint!AT65)</f>
        <v>0.59397241998310413</v>
      </c>
      <c r="AT6" s="14">
        <f>SUM(Centerpoint!AU65)</f>
        <v>0.60701879560116057</v>
      </c>
      <c r="AU6" s="14">
        <f>SUM(Centerpoint!AV65)</f>
        <v>0.60366355091261381</v>
      </c>
      <c r="AV6" s="14">
        <f>SUM(Centerpoint!AW65)</f>
        <v>0.60621047696178521</v>
      </c>
      <c r="AW6" s="14">
        <f>SUM(Centerpoint!AX65)</f>
        <v>0.59881909005695644</v>
      </c>
      <c r="AX6" s="14">
        <f>SUM(Centerpoint!AY65)</f>
        <v>0.59544007830031365</v>
      </c>
      <c r="AY6" s="14">
        <f>SUM(Centerpoint!AZ65)</f>
        <v>0.59395596744983048</v>
      </c>
      <c r="AZ6" s="14">
        <f>SUM(Centerpoint!BA65)</f>
        <v>0.59398424658315385</v>
      </c>
      <c r="BA6" s="14">
        <f>SUM(Centerpoint!BB65)</f>
        <v>0.59271040820802745</v>
      </c>
      <c r="BB6" s="14">
        <f>SUM(Centerpoint!BC65)</f>
        <v>0.59010841728123442</v>
      </c>
      <c r="BC6" s="14">
        <f>SUM(Centerpoint!BD65)</f>
        <v>0.5930680416876174</v>
      </c>
      <c r="BD6" s="14">
        <f>SUM(Centerpoint!BE65)</f>
        <v>0.5962257136890462</v>
      </c>
      <c r="BE6" s="14">
        <f>SUM(Centerpoint!BF65)</f>
        <v>0.5886381528194411</v>
      </c>
      <c r="BF6" s="14">
        <f>SUM(Centerpoint!BG65)</f>
        <v>0.59555248429808461</v>
      </c>
      <c r="BG6" s="14">
        <f>SUM(Centerpoint!BH65)</f>
        <v>0.59888992068302838</v>
      </c>
      <c r="BH6" s="14">
        <f>SUM(Centerpoint!BI65)</f>
        <v>0.6053971284918781</v>
      </c>
      <c r="BI6" s="14">
        <f>SUM(Centerpoint!BJ65)</f>
        <v>0.61140681067553859</v>
      </c>
      <c r="BJ6" s="14">
        <f>SUM(Centerpoint!BK65)</f>
        <v>0.60663312865495356</v>
      </c>
      <c r="BK6" s="14">
        <f>SUM(Centerpoint!BL65)</f>
        <v>0.60528246563216404</v>
      </c>
      <c r="BL6" s="14">
        <f>SUM(Centerpoint!BM65)</f>
        <v>0.61034191729838938</v>
      </c>
      <c r="BM6" s="14">
        <f>SUM(Centerpoint!BN65)</f>
        <v>0.6116134962647003</v>
      </c>
      <c r="BN6" s="14">
        <f>SUM(Centerpoint!BO65)</f>
        <v>0.61192851540577786</v>
      </c>
      <c r="BO6" s="14">
        <f>SUM(Centerpoint!BP65)</f>
        <v>0.60601508228156464</v>
      </c>
      <c r="BP6" s="14">
        <f>SUM(Centerpoint!BQ65)</f>
        <v>0.60157684561711755</v>
      </c>
      <c r="BQ6" s="14">
        <f>SUM(Centerpoint!BR65)</f>
        <v>0.59823931495808957</v>
      </c>
      <c r="BR6" s="14">
        <f>SUM(Centerpoint!BS65)</f>
        <v>0.59704646025866048</v>
      </c>
      <c r="BS6" s="14">
        <f>SUM(Centerpoint!BT65)</f>
        <v>0.59973530042325929</v>
      </c>
      <c r="BT6" s="14">
        <f>SUM(Centerpoint!BU65)</f>
        <v>0.60312983777520623</v>
      </c>
      <c r="BU6" s="14">
        <f>SUM(Centerpoint!BV65)</f>
        <v>0.60378862107693254</v>
      </c>
      <c r="BV6" s="14">
        <f>SUM(Centerpoint!BW65)</f>
        <v>0.60362398275175366</v>
      </c>
      <c r="BW6" s="14">
        <f>SUM(Centerpoint!BX65)</f>
        <v>0.60089974588868411</v>
      </c>
      <c r="BX6" s="14">
        <f>SUM(Centerpoint!BY65)</f>
        <v>0.60801793301015916</v>
      </c>
      <c r="BY6" s="14">
        <f>SUM(Centerpoint!BZ65)</f>
        <v>0.61035722478361798</v>
      </c>
      <c r="BZ6" s="14">
        <f>SUM(Centerpoint!CA65)</f>
        <v>0.60938343877572632</v>
      </c>
      <c r="CA6" s="14">
        <f>SUM(Centerpoint!CB65)</f>
        <v>0.61052215434161594</v>
      </c>
      <c r="CB6" s="14">
        <f>SUM(Centerpoint!CC65)</f>
        <v>0.60936930804012268</v>
      </c>
      <c r="CC6" s="14">
        <f>SUM(Centerpoint!CD65)</f>
        <v>0.60912116873701139</v>
      </c>
      <c r="CD6" s="14">
        <f>SUM(Centerpoint!CE65)</f>
        <v>0.6113177572074826</v>
      </c>
      <c r="CE6" s="14">
        <f>SUM(Centerpoint!CF65)</f>
        <v>0.59990162005168135</v>
      </c>
      <c r="CF6" s="14">
        <f>SUM(Centerpoint!CG65)</f>
        <v>0.61572322905240418</v>
      </c>
      <c r="CG6" s="14">
        <f>SUM(Centerpoint!CH65)</f>
        <v>0.61632283355254736</v>
      </c>
      <c r="CH6" s="14">
        <f>SUM(Centerpoint!CI65)</f>
        <v>0.61707531429555762</v>
      </c>
      <c r="CI6" s="14">
        <f>SUM(Centerpoint!CJ65)</f>
        <v>0.62135728613865637</v>
      </c>
      <c r="CJ6" s="14">
        <f>SUM(Centerpoint!CK65)</f>
        <v>0.63282697350887385</v>
      </c>
      <c r="CK6" s="14">
        <f>SUM(Centerpoint!CL65)</f>
        <v>0.6370930685331313</v>
      </c>
      <c r="CL6" s="14">
        <f>SUM(Centerpoint!CM65)</f>
        <v>0.64553941043599672</v>
      </c>
      <c r="CM6" s="14">
        <f>SUM(Centerpoint!CN65)</f>
        <v>0.65531998937806391</v>
      </c>
      <c r="CN6" s="14">
        <f>SUM(Centerpoint!CO65)</f>
        <v>0.67065949082765386</v>
      </c>
      <c r="CO6" s="14">
        <f>SUM(Centerpoint!CP65)</f>
        <v>0.68433389627052854</v>
      </c>
      <c r="CP6" s="14">
        <f>SUM(Centerpoint!CQ65)</f>
        <v>0.69786579234361545</v>
      </c>
      <c r="CQ6" s="14">
        <f>SUM(Centerpoint!CR65)</f>
        <v>0.70845409740160736</v>
      </c>
      <c r="CR6" s="14">
        <f>SUM(Centerpoint!CS65)</f>
        <v>0.71150259615442413</v>
      </c>
      <c r="CS6" s="14">
        <f>SUM(Centerpoint!CT65)</f>
        <v>0.71402548339422789</v>
      </c>
      <c r="CT6" s="14">
        <f>SUM(Centerpoint!CU65)</f>
        <v>0.70802341187234885</v>
      </c>
      <c r="CU6" s="14">
        <f>SUM(Centerpoint!CV65)</f>
        <v>0.71769287226023137</v>
      </c>
      <c r="CV6" s="14">
        <f>SUM(Centerpoint!CW65)</f>
        <v>0.72506375422134461</v>
      </c>
      <c r="CW6" s="14">
        <f>SUM(Centerpoint!CX65)</f>
        <v>0.72554326986424078</v>
      </c>
      <c r="CX6" s="14">
        <f>SUM(Centerpoint!CY65)</f>
        <v>0.72881930434168463</v>
      </c>
      <c r="CY6" s="14">
        <f>SUM(Centerpoint!CZ65)</f>
        <v>0.72898117210175251</v>
      </c>
      <c r="CZ6" s="14">
        <f>SUM(Centerpoint!DA65)</f>
        <v>0.72962451283344054</v>
      </c>
      <c r="DA6" s="14">
        <f>SUM(Centerpoint!DB65)</f>
        <v>0.73237644539818758</v>
      </c>
      <c r="DB6" s="14">
        <f>SUM(Centerpoint!DC65)</f>
        <v>0.73411591035051471</v>
      </c>
      <c r="DC6" s="14">
        <f>SUM(Centerpoint!DD65)</f>
        <v>0.7380797037160336</v>
      </c>
      <c r="DD6" s="14">
        <f>SUM(Centerpoint!DE65)</f>
        <v>0.74319603959050984</v>
      </c>
      <c r="DE6" s="14">
        <f>SUM(Centerpoint!DF65)</f>
        <v>0.74476616566201259</v>
      </c>
      <c r="DF6" s="14">
        <f>SUM(Centerpoint!DG65)</f>
        <v>0.73972967750761709</v>
      </c>
      <c r="DG6" s="14">
        <f>SUM(Centerpoint!DH65)</f>
        <v>0.74733334580642874</v>
      </c>
      <c r="DH6" s="14">
        <f>SUM(Centerpoint!DI65)</f>
        <v>0.75337581366909712</v>
      </c>
      <c r="DI6" s="14">
        <f>SUM(Centerpoint!DJ65)</f>
        <v>0.7556467729211449</v>
      </c>
      <c r="DJ6" s="14">
        <f>SUM(Centerpoint!DK65)</f>
        <v>0.76077510432532169</v>
      </c>
      <c r="DK6" s="14">
        <f>SUM(Centerpoint!DL65)</f>
        <v>0.76592622319779835</v>
      </c>
      <c r="DL6" s="14">
        <f>SUM(Centerpoint!DM65)</f>
        <v>0.75817250531528546</v>
      </c>
      <c r="DM6" s="14">
        <f>SUM(Centerpoint!DN65)</f>
        <v>0.75545457044217901</v>
      </c>
      <c r="DN6" s="14">
        <f>SUM(Centerpoint!DO65)</f>
        <v>0.75608201478869241</v>
      </c>
      <c r="DO6" s="14">
        <f>SUM(Centerpoint!DP65)</f>
        <v>0.75577599101968573</v>
      </c>
      <c r="DP6" s="14">
        <f>SUM(Centerpoint!DQ65)</f>
        <v>0.75725673120951231</v>
      </c>
      <c r="DQ6" s="14">
        <f>SUM(Centerpoint!DR65)</f>
        <v>0.75688944127168123</v>
      </c>
      <c r="DR6" s="14">
        <f>SUM(Centerpoint!DS65)</f>
        <v>0.75274348751801934</v>
      </c>
      <c r="DS6" s="14">
        <f>SUM(Centerpoint!DT65)</f>
        <v>0.75165664683290001</v>
      </c>
      <c r="DT6" s="14">
        <f>SUM(Centerpoint!DU65)</f>
        <v>0.75240769928427564</v>
      </c>
      <c r="DU6" s="14">
        <f>SUM(Centerpoint!DV65)</f>
        <v>0.75280491248537462</v>
      </c>
      <c r="DV6" s="14">
        <f>SUM(Centerpoint!DW65)</f>
        <v>0.75188015458526836</v>
      </c>
      <c r="DW6" s="14">
        <f>SUM(Centerpoint!DX65)</f>
        <v>0.75339624400437566</v>
      </c>
      <c r="DX6" s="14">
        <f>SUM(Centerpoint!DY65)</f>
        <v>0.75387481009688173</v>
      </c>
      <c r="DY6" s="14">
        <f>SUM(Centerpoint!DZ65)</f>
        <v>0.75157290090390727</v>
      </c>
      <c r="DZ6" s="14">
        <f>SUM(Centerpoint!EA65)</f>
        <v>0.74282275207780202</v>
      </c>
      <c r="EA6" s="14">
        <f>SUM(Centerpoint!EB65)</f>
        <v>0.73749353417527386</v>
      </c>
      <c r="EB6" s="14">
        <f>SUM(Centerpoint!EC65)</f>
        <v>0.73406738004395433</v>
      </c>
      <c r="EC6" s="14">
        <f>SUM(Centerpoint!ED65)</f>
        <v>0.7336808925512861</v>
      </c>
      <c r="ED6" s="14">
        <f>SUM(Centerpoint!EE65)</f>
        <v>0.73564453174804423</v>
      </c>
      <c r="EE6" s="14">
        <f>SUM(Centerpoint!EF65)</f>
        <v>0.74940460271528553</v>
      </c>
      <c r="EF6" s="14">
        <f>SUM(Centerpoint!EG65)</f>
        <v>0.75032182382051238</v>
      </c>
      <c r="EG6" s="14">
        <f>SUM(Centerpoint!EH65)</f>
        <v>0.75237834234199041</v>
      </c>
      <c r="EH6" s="14">
        <f>SUM(Centerpoint!EI65)</f>
        <v>0.75320770726915065</v>
      </c>
      <c r="EI6" s="14">
        <f>SUM(Centerpoint!EJ65)</f>
        <v>0.75807558013040433</v>
      </c>
      <c r="EJ6" s="14">
        <f>SUM(Centerpoint!EK65)</f>
        <v>0.76496686139102077</v>
      </c>
      <c r="EK6" s="14">
        <f>SUM(Centerpoint!EL65)</f>
        <v>0.76631854238667541</v>
      </c>
      <c r="EL6" s="14">
        <f>SUM(Centerpoint!EM65)</f>
        <v>0.76643485441972781</v>
      </c>
      <c r="EM6" s="14">
        <f>SUM(Centerpoint!EN65)</f>
        <v>0.76706759959410076</v>
      </c>
      <c r="EN6" s="14">
        <f>SUM(Centerpoint!EO65)</f>
        <v>0.76499325038362376</v>
      </c>
      <c r="EO6" s="14">
        <f>SUM(Centerpoint!EP65)</f>
        <v>0.76711860378113517</v>
      </c>
      <c r="EP6" s="14">
        <f>SUM(Centerpoint!EQ65)</f>
        <v>0.76377475696592401</v>
      </c>
      <c r="EQ6" s="14">
        <f>SUM(Centerpoint!ER65)</f>
        <v>0.77824267418696125</v>
      </c>
      <c r="ER6" s="14">
        <f>SUM(Centerpoint!ES65)</f>
        <v>0.78664096456225707</v>
      </c>
      <c r="ES6" s="14">
        <f>SUM(Centerpoint!ET65)</f>
        <v>0.79248377529087244</v>
      </c>
      <c r="ET6" s="14">
        <f>SUM(Centerpoint!EU65)</f>
        <v>0.78862218126392447</v>
      </c>
      <c r="EU6" s="14">
        <f>SUM(Centerpoint!EV65)</f>
        <v>0.79074648795383673</v>
      </c>
      <c r="EV6" s="14">
        <f>SUM(Centerpoint!EW65)</f>
        <v>0.78937755212227345</v>
      </c>
      <c r="EW6" s="14">
        <f>SUM(Centerpoint!EX65)</f>
        <v>0.78601034227757238</v>
      </c>
      <c r="EX6" s="14">
        <f>SUM(Centerpoint!EY65)</f>
        <v>0.787448817049622</v>
      </c>
      <c r="EY6" s="14">
        <f>SUM(Centerpoint!EZ65)</f>
        <v>0.78650547340678811</v>
      </c>
      <c r="EZ6" s="14">
        <f>SUM(Centerpoint!FA65)</f>
        <v>0.78699882224933504</v>
      </c>
      <c r="FA6" s="14">
        <f>SUM(Centerpoint!FB65)</f>
        <v>0.78847709988050463</v>
      </c>
      <c r="FB6" s="14">
        <f>SUM(Centerpoint!FC65)</f>
        <v>0.78721989752201316</v>
      </c>
      <c r="FC6" s="14">
        <f>SUM(Centerpoint!FD65)</f>
        <v>0.79025811152533487</v>
      </c>
      <c r="FD6" s="14">
        <f>SUM(Centerpoint!FE65)</f>
        <v>0.79278426515286649</v>
      </c>
      <c r="FE6" s="14">
        <f>SUM(Centerpoint!FF65)</f>
        <v>0.80045415914814166</v>
      </c>
      <c r="FF6" s="14">
        <f>SUM(Centerpoint!FG65)</f>
        <v>0.79625798867940811</v>
      </c>
      <c r="FG6" s="14">
        <f>SUM(Centerpoint!FH65)</f>
        <v>0.7983742275360759</v>
      </c>
      <c r="FH6" s="14">
        <f>SUM(Centerpoint!FI65)</f>
        <v>0.79887096086339915</v>
      </c>
      <c r="FI6" s="14">
        <f>SUM(Centerpoint!FJ65)</f>
        <v>0.79690979496908254</v>
      </c>
      <c r="FJ6" s="14">
        <f>SUM(Centerpoint!FK65)</f>
        <v>0.80823698314125125</v>
      </c>
      <c r="FK6" s="14">
        <f>SUM(Centerpoint!FL65)</f>
        <v>0.81722934507050093</v>
      </c>
      <c r="FL6" s="14">
        <f>SUM(Centerpoint!FM65)</f>
        <v>0.81811335535039198</v>
      </c>
      <c r="FM6" s="14">
        <f>SUM(Centerpoint!FN65)</f>
        <v>0.81646090179466491</v>
      </c>
      <c r="FN6" s="14">
        <f>SUM(Centerpoint!FO65)</f>
        <v>0.8122917560126629</v>
      </c>
      <c r="FO6" s="14">
        <f>SUM(Centerpoint!FP65)</f>
        <v>0.811941991050385</v>
      </c>
      <c r="FP6" s="14">
        <f>SUM(Centerpoint!FQ65)</f>
        <v>0.81640590625352139</v>
      </c>
      <c r="FQ6" s="14">
        <f>SUM(Centerpoint!FR65)</f>
        <v>0.81845857639866837</v>
      </c>
      <c r="FR6" s="14">
        <f>SUM(Centerpoint!FS65)</f>
        <v>0.82141605742806689</v>
      </c>
      <c r="FS6" s="14">
        <f>SUM(Centerpoint!FT65)</f>
        <v>0.81888206708886835</v>
      </c>
    </row>
    <row r="7" spans="1:175" x14ac:dyDescent="0.25">
      <c r="A7" s="44" t="s">
        <v>74</v>
      </c>
      <c r="B7" s="45">
        <f>SUM('AEP Central'!C65)</f>
        <v>8.6755409326962726E-2</v>
      </c>
      <c r="C7" s="45">
        <f>SUM('AEP Central'!D65)</f>
        <v>0.17905952937999453</v>
      </c>
      <c r="D7" s="45">
        <f>SUM('AEP Central'!E65)</f>
        <v>0.1906812104503483</v>
      </c>
      <c r="E7" s="45">
        <f>SUM('AEP Central'!F65)</f>
        <v>0.23283626048148212</v>
      </c>
      <c r="F7" s="45">
        <f>SUM('AEP Central'!G65)</f>
        <v>0.2764979567798127</v>
      </c>
      <c r="G7" s="45">
        <f>SUM('AEP Central'!H65)</f>
        <v>0.33029524989032655</v>
      </c>
      <c r="H7" s="45">
        <f>SUM('AEP Central'!I65)</f>
        <v>0.33328880057288357</v>
      </c>
      <c r="I7" s="45">
        <f>SUM('AEP Central'!J65)</f>
        <v>0.32512590772570726</v>
      </c>
      <c r="J7" s="45">
        <f>SUM('AEP Central'!K65)</f>
        <v>0.39948824530062726</v>
      </c>
      <c r="K7" s="45">
        <f>SUM('AEP Central'!L65)</f>
        <v>0.42803612915536626</v>
      </c>
      <c r="L7" s="45">
        <f>SUM('AEP Central'!M65)</f>
        <v>0.44721597263606833</v>
      </c>
      <c r="M7" s="45">
        <f>SUM('AEP Central'!N65)</f>
        <v>0.48047528486873337</v>
      </c>
      <c r="N7" s="45">
        <f>SUM('AEP Central'!O65)</f>
        <v>0.47561062324456926</v>
      </c>
      <c r="O7" s="45">
        <f>SUM('AEP Central'!P65)</f>
        <v>0.50211105963611857</v>
      </c>
      <c r="P7" s="45">
        <f>SUM('AEP Central'!Q65)</f>
        <v>0.50493466811794396</v>
      </c>
      <c r="Q7" s="45">
        <f>SUM('AEP Central'!R65)</f>
        <v>0.48040394154202853</v>
      </c>
      <c r="R7" s="45">
        <f>SUM('AEP Central'!S65)</f>
        <v>0.49271995822292708</v>
      </c>
      <c r="S7" s="45">
        <f>SUM('AEP Central'!T65)</f>
        <v>0.50053220120147668</v>
      </c>
      <c r="T7" s="45">
        <f>SUM('AEP Central'!U65)</f>
        <v>0.51243300620936494</v>
      </c>
      <c r="U7" s="45">
        <f>SUM('AEP Central'!V65)</f>
        <v>0.53227966640752</v>
      </c>
      <c r="V7" s="45">
        <f>SUM('AEP Central'!W65)</f>
        <v>0.56003109613889612</v>
      </c>
      <c r="W7" s="45">
        <f>SUM('AEP Central'!X65)</f>
        <v>0.60008532592877817</v>
      </c>
      <c r="X7" s="45">
        <f>SUM('AEP Central'!Y65)</f>
        <v>0.61826325067342736</v>
      </c>
      <c r="Y7" s="45">
        <f>SUM('AEP Central'!Z65)</f>
        <v>0.6266654135995664</v>
      </c>
      <c r="Z7" s="45">
        <f>SUM('AEP Central'!AA65)</f>
        <v>0.6302430639921528</v>
      </c>
      <c r="AA7" s="45">
        <f>SUM('AEP Central'!AB65)</f>
        <v>0.6388865926117282</v>
      </c>
      <c r="AB7" s="45">
        <f>SUM('AEP Central'!AC65)</f>
        <v>0.65777208256385133</v>
      </c>
      <c r="AC7" s="45">
        <f>SUM('AEP Central'!AD65)</f>
        <v>0.67357228791606605</v>
      </c>
      <c r="AD7" s="45">
        <f>SUM('AEP Central'!AE65)</f>
        <v>0.68864781918351259</v>
      </c>
      <c r="AE7" s="45">
        <f>SUM('AEP Central'!AF65)</f>
        <v>0.68052968103367972</v>
      </c>
      <c r="AF7" s="45">
        <f>SUM('AEP Central'!AG65)</f>
        <v>0.69707410811262427</v>
      </c>
      <c r="AG7" s="45">
        <f>SUM('AEP Central'!AH65)</f>
        <v>0.71454901545460436</v>
      </c>
      <c r="AH7" s="45">
        <f>SUM('AEP Central'!AI65)</f>
        <v>0.73475288493664703</v>
      </c>
      <c r="AI7" s="45">
        <f>SUM('AEP Central'!AJ65)</f>
        <v>0.75743816130614527</v>
      </c>
      <c r="AJ7" s="45">
        <f>SUM('AEP Central'!AK65)</f>
        <v>0.76621709560428219</v>
      </c>
      <c r="AK7" s="45">
        <f>SUM('AEP Central'!AL65)</f>
        <v>0.77343969390620615</v>
      </c>
      <c r="AL7" s="45">
        <f>SUM('AEP Central'!AM65)</f>
        <v>0.77739177841860507</v>
      </c>
      <c r="AM7" s="45">
        <f>SUM('AEP Central'!AN65)</f>
        <v>0.78243159885603009</v>
      </c>
      <c r="AN7" s="45">
        <f>SUM('AEP Central'!AO65)</f>
        <v>0.79148097152613317</v>
      </c>
      <c r="AO7" s="45">
        <f>SUM('AEP Central'!AP65)</f>
        <v>0.79799482803319299</v>
      </c>
      <c r="AP7" s="45">
        <f>SUM('AEP Central'!AQ65)</f>
        <v>0.8017351618089934</v>
      </c>
      <c r="AQ7" s="45">
        <f>SUM('AEP Central'!AR65)</f>
        <v>0.79462648845376316</v>
      </c>
      <c r="AR7" s="45">
        <f>SUM('AEP Central'!AS65)</f>
        <v>0.7978097088395647</v>
      </c>
      <c r="AS7" s="45">
        <f>SUM('AEP Central'!AT65)</f>
        <v>0.80136391440838373</v>
      </c>
      <c r="AT7" s="45">
        <f>SUM('AEP Central'!AU65)</f>
        <v>0.81386532904672981</v>
      </c>
      <c r="AU7" s="45">
        <f>SUM('AEP Central'!AV65)</f>
        <v>0.81776309698580851</v>
      </c>
      <c r="AV7" s="45">
        <f>SUM('AEP Central'!AW65)</f>
        <v>0.82573345881582716</v>
      </c>
      <c r="AW7" s="45">
        <f>SUM('AEP Central'!AX65)</f>
        <v>0.8225662895564948</v>
      </c>
      <c r="AX7" s="45">
        <f>SUM('AEP Central'!AY65)</f>
        <v>0.81718731791772792</v>
      </c>
      <c r="AY7" s="45">
        <f>SUM('AEP Central'!AZ65)</f>
        <v>0.82352187843451374</v>
      </c>
      <c r="AZ7" s="45">
        <f>SUM('AEP Central'!BA65)</f>
        <v>0.82600821080237186</v>
      </c>
      <c r="BA7" s="45">
        <f>SUM('AEP Central'!BB65)</f>
        <v>0.83359062677527196</v>
      </c>
      <c r="BB7" s="45">
        <f>SUM('AEP Central'!BC65)</f>
        <v>0.82937286942999522</v>
      </c>
      <c r="BC7" s="45">
        <f>SUM('AEP Central'!BD65)</f>
        <v>0.82864127665404808</v>
      </c>
      <c r="BD7" s="45">
        <f>SUM('AEP Central'!BE65)</f>
        <v>0.82942335833254355</v>
      </c>
      <c r="BE7" s="45">
        <f>SUM('AEP Central'!BF65)</f>
        <v>0.83971415513021486</v>
      </c>
      <c r="BF7" s="45">
        <f>SUM('AEP Central'!BG65)</f>
        <v>0.84771017357090461</v>
      </c>
      <c r="BG7" s="45">
        <f>SUM('AEP Central'!BH65)</f>
        <v>0.89356127587740464</v>
      </c>
      <c r="BH7" s="45">
        <f>SUM('AEP Central'!BI65)</f>
        <v>0.89548066108881452</v>
      </c>
      <c r="BI7" s="45">
        <f>SUM('AEP Central'!BJ65)</f>
        <v>0.89608432781488401</v>
      </c>
      <c r="BJ7" s="45">
        <f>SUM('AEP Central'!BK65)</f>
        <v>0.85416891839728248</v>
      </c>
      <c r="BK7" s="45">
        <f>SUM('AEP Central'!BL65)</f>
        <v>0.86062568470155842</v>
      </c>
      <c r="BL7" s="45">
        <f>SUM('AEP Central'!BM65)</f>
        <v>0.86835182765717578</v>
      </c>
      <c r="BM7" s="45">
        <f>SUM('AEP Central'!BN65)</f>
        <v>0.87600147483912238</v>
      </c>
      <c r="BN7" s="45">
        <f>SUM('AEP Central'!BO65)</f>
        <v>0.8715028226525865</v>
      </c>
      <c r="BO7" s="45">
        <f>SUM('AEP Central'!BP65)</f>
        <v>0.87445633064729766</v>
      </c>
      <c r="BP7" s="45">
        <f>SUM('AEP Central'!BQ65)</f>
        <v>0.87119798999665521</v>
      </c>
      <c r="BQ7" s="45">
        <f>SUM('AEP Central'!BR65)</f>
        <v>0.87569657347636509</v>
      </c>
      <c r="BR7" s="45">
        <f>SUM('AEP Central'!BS65)</f>
        <v>0.88470562760769311</v>
      </c>
      <c r="BS7" s="45">
        <f>SUM('AEP Central'!BT65)</f>
        <v>0.88999063498533026</v>
      </c>
      <c r="BT7" s="45">
        <f>SUM('AEP Central'!BU65)</f>
        <v>0.89617012295243237</v>
      </c>
      <c r="BU7" s="45">
        <f>SUM('AEP Central'!BV65)</f>
        <v>0.89799184886001115</v>
      </c>
      <c r="BV7" s="45">
        <f>SUM('AEP Central'!BW65)</f>
        <v>0.89442644187337006</v>
      </c>
      <c r="BW7" s="45">
        <f>SUM('AEP Central'!BX65)</f>
        <v>0.89831966413812214</v>
      </c>
      <c r="BX7" s="45">
        <f>SUM('AEP Central'!BY65)</f>
        <v>0.90425662754806513</v>
      </c>
      <c r="BY7" s="45">
        <f>SUM('AEP Central'!BZ65)</f>
        <v>0.90500334380088387</v>
      </c>
      <c r="BZ7" s="45">
        <f>SUM('AEP Central'!CA65)</f>
        <v>0.90522308702143062</v>
      </c>
      <c r="CA7" s="45">
        <f>SUM('AEP Central'!CB65)</f>
        <v>0.90081525128965267</v>
      </c>
      <c r="CB7" s="45">
        <f>SUM('AEP Central'!CC65)</f>
        <v>0.90114695489874475</v>
      </c>
      <c r="CC7" s="45">
        <f>SUM('AEP Central'!CD65)</f>
        <v>0.90320790042305776</v>
      </c>
      <c r="CD7" s="45">
        <f>SUM('AEP Central'!CE65)</f>
        <v>0.90557995639189981</v>
      </c>
      <c r="CE7" s="45">
        <f>SUM('AEP Central'!CF65)</f>
        <v>0.91175450400508751</v>
      </c>
      <c r="CF7" s="45">
        <f>SUM('AEP Central'!CG65)</f>
        <v>0.91667442086755335</v>
      </c>
      <c r="CG7" s="45">
        <f>SUM('AEP Central'!CH65)</f>
        <v>0.91931117689659214</v>
      </c>
      <c r="CH7" s="45">
        <f>SUM('AEP Central'!CI65)</f>
        <v>0.91974286828402996</v>
      </c>
      <c r="CI7" s="45">
        <f>SUM('AEP Central'!CJ65)</f>
        <v>0.92415497893252496</v>
      </c>
      <c r="CJ7" s="45">
        <f>SUM('AEP Central'!CK65)</f>
        <v>0.92707983479788392</v>
      </c>
      <c r="CK7" s="45">
        <f>SUM('AEP Central'!CL65)</f>
        <v>0.92801298863494441</v>
      </c>
      <c r="CL7" s="45">
        <f>SUM('AEP Central'!CM65)</f>
        <v>0.9284104463238847</v>
      </c>
      <c r="CM7" s="45">
        <f>SUM('AEP Central'!CN65)</f>
        <v>0.92827063073511318</v>
      </c>
      <c r="CN7" s="45">
        <f>SUM('AEP Central'!CO65)</f>
        <v>0.92637556266930754</v>
      </c>
      <c r="CO7" s="45">
        <f>SUM('AEP Central'!CP65)</f>
        <v>0.92923426514946161</v>
      </c>
      <c r="CP7" s="45">
        <f>SUM('AEP Central'!CQ65)</f>
        <v>0.9350613791568565</v>
      </c>
      <c r="CQ7" s="45">
        <f>SUM('AEP Central'!CR65)</f>
        <v>0.94069135986204511</v>
      </c>
      <c r="CR7" s="45">
        <f>SUM('AEP Central'!CS65)</f>
        <v>0.94430159124953017</v>
      </c>
      <c r="CS7" s="45">
        <f>SUM('AEP Central'!CT65)</f>
        <v>0.94483819125689383</v>
      </c>
      <c r="CT7" s="45">
        <f>SUM('AEP Central'!CU65)</f>
        <v>0.93947006673557198</v>
      </c>
      <c r="CU7" s="45">
        <f>SUM('AEP Central'!CV65)</f>
        <v>0.94427210997882616</v>
      </c>
      <c r="CV7" s="45">
        <f>SUM('AEP Central'!CW65)</f>
        <v>0.94609335659209559</v>
      </c>
      <c r="CW7" s="45">
        <f>SUM('AEP Central'!CX65)</f>
        <v>0.95044199366003268</v>
      </c>
      <c r="CX7" s="45">
        <f>SUM('AEP Central'!CY65)</f>
        <v>0.95058172401354579</v>
      </c>
      <c r="CY7" s="45">
        <f>SUM('AEP Central'!CZ65)</f>
        <v>0.9491028271404246</v>
      </c>
      <c r="CZ7" s="45">
        <f>SUM('AEP Central'!DA65)</f>
        <v>0.9479916346017877</v>
      </c>
      <c r="DA7" s="45">
        <f>SUM('AEP Central'!DB65)</f>
        <v>0.94608687952794002</v>
      </c>
      <c r="DB7" s="45">
        <f>SUM('AEP Central'!DC65)</f>
        <v>0.95064760582303043</v>
      </c>
      <c r="DC7" s="45">
        <f>SUM('AEP Central'!DD65)</f>
        <v>0.95346804698037324</v>
      </c>
      <c r="DD7" s="45">
        <f>SUM('AEP Central'!DE65)</f>
        <v>0.95622372213617723</v>
      </c>
      <c r="DE7" s="45">
        <f>SUM('AEP Central'!DF65)</f>
        <v>0.95602657686494508</v>
      </c>
      <c r="DF7" s="45">
        <f>SUM('AEP Central'!DG65)</f>
        <v>0.9553734370434982</v>
      </c>
      <c r="DG7" s="45">
        <f>SUM('AEP Central'!DH65)</f>
        <v>0.95431066289509281</v>
      </c>
      <c r="DH7" s="45">
        <f>SUM('AEP Central'!DI65)</f>
        <v>0.95843774854817887</v>
      </c>
      <c r="DI7" s="45">
        <f>SUM('AEP Central'!DJ65)</f>
        <v>0.95867976964730828</v>
      </c>
      <c r="DJ7" s="45">
        <f>SUM('AEP Central'!DK65)</f>
        <v>0.95891484352549128</v>
      </c>
      <c r="DK7" s="45">
        <f>SUM('AEP Central'!DL65)</f>
        <v>0.95714086027581402</v>
      </c>
      <c r="DL7" s="45">
        <f>SUM('AEP Central'!DM65)</f>
        <v>0.95644216802996718</v>
      </c>
      <c r="DM7" s="45">
        <f>SUM('AEP Central'!DN65)</f>
        <v>0.95774317579883672</v>
      </c>
      <c r="DN7" s="45">
        <f>SUM('AEP Central'!DO65)</f>
        <v>0.95913642406585009</v>
      </c>
      <c r="DO7" s="45">
        <f>SUM('AEP Central'!DP65)</f>
        <v>0.96039230995774172</v>
      </c>
      <c r="DP7" s="45">
        <f>SUM('AEP Central'!DQ65)</f>
        <v>0.9626026957386653</v>
      </c>
      <c r="DQ7" s="45">
        <f>SUM('AEP Central'!DR65)</f>
        <v>0.9632075034445563</v>
      </c>
      <c r="DR7" s="45">
        <f>SUM('AEP Central'!DS65)</f>
        <v>0.96178395194164346</v>
      </c>
      <c r="DS7" s="45">
        <f>SUM('AEP Central'!DT65)</f>
        <v>0.96383877078064317</v>
      </c>
      <c r="DT7" s="45">
        <f>SUM('AEP Central'!DU65)</f>
        <v>0.9645216680942863</v>
      </c>
      <c r="DU7" s="45">
        <f>SUM('AEP Central'!DV65)</f>
        <v>0.96476775150726424</v>
      </c>
      <c r="DV7" s="45">
        <f>SUM('AEP Central'!DW65)</f>
        <v>0.96408403612626781</v>
      </c>
      <c r="DW7" s="45">
        <f>SUM('AEP Central'!DX65)</f>
        <v>0.96360985762733697</v>
      </c>
      <c r="DX7" s="45">
        <f>SUM('AEP Central'!DY65)</f>
        <v>0.96195163140589612</v>
      </c>
      <c r="DY7" s="45">
        <f>SUM('AEP Central'!DZ65)</f>
        <v>0.96164380156043472</v>
      </c>
      <c r="DZ7" s="45">
        <f>SUM('AEP Central'!EA65)</f>
        <v>0.96412793474226677</v>
      </c>
      <c r="EA7" s="45">
        <f>SUM('AEP Central'!EB65)</f>
        <v>0.96567983008637681</v>
      </c>
      <c r="EB7" s="45">
        <f>SUM('AEP Central'!EC65)</f>
        <v>0.96695336877770488</v>
      </c>
      <c r="EC7" s="45">
        <f>SUM('AEP Central'!ED65)</f>
        <v>0.96782662094181693</v>
      </c>
      <c r="ED7" s="45">
        <f>SUM('AEP Central'!EE65)</f>
        <v>0.96699949834238752</v>
      </c>
      <c r="EE7" s="45">
        <f>SUM('AEP Central'!EF65)</f>
        <v>0.96935254679441951</v>
      </c>
      <c r="EF7" s="45">
        <f>SUM('AEP Central'!EG65)</f>
        <v>0.97055229692477518</v>
      </c>
      <c r="EG7" s="45">
        <f>SUM('AEP Central'!EH65)</f>
        <v>0.97056573348264275</v>
      </c>
      <c r="EH7" s="45">
        <f>SUM('AEP Central'!EI65)</f>
        <v>0.97068266835708694</v>
      </c>
      <c r="EI7" s="45">
        <f>SUM('AEP Central'!EJ65)</f>
        <v>0.97045518410182563</v>
      </c>
      <c r="EJ7" s="45">
        <f>SUM('AEP Central'!EK65)</f>
        <v>0.9694877214813663</v>
      </c>
      <c r="EK7" s="45">
        <f>SUM('AEP Central'!EL65)</f>
        <v>0.96954105182399275</v>
      </c>
      <c r="EL7" s="45">
        <f>SUM('AEP Central'!EM65)</f>
        <v>0.97106817975044168</v>
      </c>
      <c r="EM7" s="45">
        <f>SUM('AEP Central'!EN65)</f>
        <v>0.97254430135765135</v>
      </c>
      <c r="EN7" s="45">
        <f>SUM('AEP Central'!EO65)</f>
        <v>0.97261436513502253</v>
      </c>
      <c r="EO7" s="45">
        <f>SUM('AEP Central'!EP65)</f>
        <v>0.97320596018415639</v>
      </c>
      <c r="EP7" s="45">
        <f>SUM('AEP Central'!EQ65)</f>
        <v>0.97026189610704328</v>
      </c>
      <c r="EQ7" s="45">
        <f>SUM('AEP Central'!ER65)</f>
        <v>0.97374366965329173</v>
      </c>
      <c r="ER7" s="45">
        <f>SUM('AEP Central'!ES65)</f>
        <v>0.97462373315076489</v>
      </c>
      <c r="ES7" s="45">
        <f>SUM('AEP Central'!ET65)</f>
        <v>0.97622472134162219</v>
      </c>
      <c r="ET7" s="45">
        <f>SUM('AEP Central'!EU65)</f>
        <v>0.97646746794238193</v>
      </c>
      <c r="EU7" s="45">
        <f>SUM('AEP Central'!EV65)</f>
        <v>0.97573002778970996</v>
      </c>
      <c r="EV7" s="45">
        <f>SUM('AEP Central'!EW65)</f>
        <v>0.97486041482555419</v>
      </c>
      <c r="EW7" s="45">
        <f>SUM('AEP Central'!EX65)</f>
        <v>0.97502082600690232</v>
      </c>
      <c r="EX7" s="45">
        <f>SUM('AEP Central'!EY65)</f>
        <v>0.9759389028098896</v>
      </c>
      <c r="EY7" s="45">
        <f>SUM('AEP Central'!EZ65)</f>
        <v>0.97676438938993748</v>
      </c>
      <c r="EZ7" s="45">
        <f>SUM('AEP Central'!FA65)</f>
        <v>0.97746675835637942</v>
      </c>
      <c r="FA7" s="45">
        <f>SUM('AEP Central'!FB65)</f>
        <v>0.97784262824623003</v>
      </c>
      <c r="FB7" s="45">
        <f>SUM('AEP Central'!FC65)</f>
        <v>0.97545775433920401</v>
      </c>
      <c r="FC7" s="45">
        <f>SUM('AEP Central'!FD65)</f>
        <v>0.97656937916024034</v>
      </c>
      <c r="FD7" s="45">
        <f>SUM('AEP Central'!FE65)</f>
        <v>0.97709005900033397</v>
      </c>
      <c r="FE7" s="45">
        <f>SUM('AEP Central'!FF65)</f>
        <v>0.97970641871667197</v>
      </c>
      <c r="FF7" s="45">
        <f>SUM('AEP Central'!FG65)</f>
        <v>0.97987230462112085</v>
      </c>
      <c r="FG7" s="45">
        <f>SUM('AEP Central'!FH65)</f>
        <v>0.97976729507180882</v>
      </c>
      <c r="FH7" s="45">
        <f>SUM('AEP Central'!FI65)</f>
        <v>0.97943130035060599</v>
      </c>
      <c r="FI7" s="45">
        <f>SUM('AEP Central'!FJ65)</f>
        <v>0.97935689238867407</v>
      </c>
      <c r="FJ7" s="45">
        <f>SUM('AEP Central'!FK65)</f>
        <v>0.98058579948702629</v>
      </c>
      <c r="FK7" s="45">
        <f>SUM('AEP Central'!FL65)</f>
        <v>0.98141862780426181</v>
      </c>
      <c r="FL7" s="45">
        <f>SUM('AEP Central'!FM65)</f>
        <v>0.98285023918932546</v>
      </c>
      <c r="FM7" s="45">
        <f>SUM('AEP Central'!FN65)</f>
        <v>0.98317684747269518</v>
      </c>
      <c r="FN7" s="45">
        <f>SUM('AEP Central'!FO65)</f>
        <v>0.98204741505053916</v>
      </c>
      <c r="FO7" s="45">
        <f>SUM('AEP Central'!FP65)</f>
        <v>0.98383810387061499</v>
      </c>
      <c r="FP7" s="45">
        <f>SUM('AEP Central'!FQ65)</f>
        <v>0.98518278331961029</v>
      </c>
      <c r="FQ7" s="45">
        <f>SUM('AEP Central'!FR65)</f>
        <v>0.98543330107788396</v>
      </c>
      <c r="FR7" s="45">
        <f>SUM('AEP Central'!FS65)</f>
        <v>0.98525795389081183</v>
      </c>
      <c r="FS7" s="45">
        <f>SUM('AEP Central'!FT65)</f>
        <v>0.9849955654387923</v>
      </c>
    </row>
    <row r="8" spans="1:175" x14ac:dyDescent="0.25">
      <c r="A8" s="44" t="s">
        <v>75</v>
      </c>
      <c r="B8" s="45">
        <f>SUM('AEP North'!C65)</f>
        <v>5.2727567019302389E-2</v>
      </c>
      <c r="C8" s="45">
        <f>SUM('AEP North'!D65)</f>
        <v>0.16904647835094033</v>
      </c>
      <c r="D8" s="45">
        <f>SUM('AEP North'!E65)</f>
        <v>0.20779952600685686</v>
      </c>
      <c r="E8" s="45">
        <f>SUM('AEP North'!F65)</f>
        <v>0.21207616448836122</v>
      </c>
      <c r="F8" s="45">
        <f>SUM('AEP North'!G65)</f>
        <v>0.32502704175955893</v>
      </c>
      <c r="G8" s="45">
        <f>SUM('AEP North'!H65)</f>
        <v>0.23362421598239816</v>
      </c>
      <c r="H8" s="45">
        <f>SUM('AEP North'!I65)</f>
        <v>0.38573519651693472</v>
      </c>
      <c r="I8" s="45">
        <f>SUM('AEP North'!J65)</f>
        <v>0.33387894971612181</v>
      </c>
      <c r="J8" s="45">
        <f>SUM('AEP North'!K65)</f>
        <v>0.38225995961664105</v>
      </c>
      <c r="K8" s="45">
        <f>SUM('AEP North'!L65)</f>
        <v>0.44430396301556446</v>
      </c>
      <c r="L8" s="45">
        <f>SUM('AEP North'!M65)</f>
        <v>0.41726857229891884</v>
      </c>
      <c r="M8" s="45">
        <f>SUM('AEP North'!N65)</f>
        <v>0.41242603756250218</v>
      </c>
      <c r="N8" s="45">
        <f>SUM('AEP North'!O65)</f>
        <v>0.41863932410870758</v>
      </c>
      <c r="O8" s="45">
        <f>SUM('AEP North'!P65)</f>
        <v>0.45691154715263438</v>
      </c>
      <c r="P8" s="45">
        <f>SUM('AEP North'!Q65)</f>
        <v>0.46703783078643307</v>
      </c>
      <c r="Q8" s="45">
        <f>SUM('AEP North'!R65)</f>
        <v>0.46526785783980829</v>
      </c>
      <c r="R8" s="45">
        <f>SUM('AEP North'!S65)</f>
        <v>0.46829105696476786</v>
      </c>
      <c r="S8" s="45">
        <f>SUM('AEP North'!T65)</f>
        <v>0.48198469771460178</v>
      </c>
      <c r="T8" s="45">
        <f>SUM('AEP North'!U65)</f>
        <v>0.47424563580278828</v>
      </c>
      <c r="U8" s="45">
        <f>SUM('AEP North'!V65)</f>
        <v>0.49236094800299746</v>
      </c>
      <c r="V8" s="45">
        <f>SUM('AEP North'!W65)</f>
        <v>0.54183783026794885</v>
      </c>
      <c r="W8" s="45">
        <f>SUM('AEP North'!X65)</f>
        <v>0.57067319493926183</v>
      </c>
      <c r="X8" s="45">
        <f>SUM('AEP North'!Y65)</f>
        <v>0.57303573267428687</v>
      </c>
      <c r="Y8" s="45">
        <f>SUM('AEP North'!Z65)</f>
        <v>0.5641662773081878</v>
      </c>
      <c r="Z8" s="45">
        <f>SUM('AEP North'!AA65)</f>
        <v>0.57696821681761135</v>
      </c>
      <c r="AA8" s="45">
        <f>SUM('AEP North'!AB65)</f>
        <v>0.60705957770744023</v>
      </c>
      <c r="AB8" s="45">
        <f>SUM('AEP North'!AC65)</f>
        <v>0.6273857793605504</v>
      </c>
      <c r="AC8" s="45">
        <f>SUM('AEP North'!AD65)</f>
        <v>0.64538882301189615</v>
      </c>
      <c r="AD8" s="45">
        <f>SUM('AEP North'!AE65)</f>
        <v>0.66733953899358611</v>
      </c>
      <c r="AE8" s="45">
        <f>SUM('AEP North'!AF65)</f>
        <v>0.66694493237563557</v>
      </c>
      <c r="AF8" s="45">
        <f>SUM('AEP North'!AG65)</f>
        <v>0.67392675837101934</v>
      </c>
      <c r="AG8" s="45">
        <f>SUM('AEP North'!AH65)</f>
        <v>0.69535527705615352</v>
      </c>
      <c r="AH8" s="45">
        <f>SUM('AEP North'!AI65)</f>
        <v>0.71893450170621764</v>
      </c>
      <c r="AI8" s="45">
        <f>SUM('AEP North'!AJ65)</f>
        <v>0.75149654745337235</v>
      </c>
      <c r="AJ8" s="45">
        <f>SUM('AEP North'!AK65)</f>
        <v>0.74930069377498931</v>
      </c>
      <c r="AK8" s="45">
        <f>SUM('AEP North'!AL65)</f>
        <v>0.74103284436175498</v>
      </c>
      <c r="AL8" s="45">
        <f>SUM('AEP North'!AM65)</f>
        <v>0.71424001671225545</v>
      </c>
      <c r="AM8" s="45">
        <f>SUM('AEP North'!AN65)</f>
        <v>0.75701091251626496</v>
      </c>
      <c r="AN8" s="45">
        <f>SUM('AEP North'!AO65)</f>
        <v>0.76406256004303885</v>
      </c>
      <c r="AO8" s="45">
        <f>SUM('AEP North'!AP65)</f>
        <v>0.79046575428859733</v>
      </c>
      <c r="AP8" s="45">
        <f>SUM('AEP North'!AQ65)</f>
        <v>0.79273285949747541</v>
      </c>
      <c r="AQ8" s="45">
        <f>SUM('AEP North'!AR65)</f>
        <v>0.78951557669881345</v>
      </c>
      <c r="AR8" s="45">
        <f>SUM('AEP North'!AS65)</f>
        <v>0.7863777445683412</v>
      </c>
      <c r="AS8" s="45">
        <f>SUM('AEP North'!AT65)</f>
        <v>0.80007075022449592</v>
      </c>
      <c r="AT8" s="45">
        <f>SUM('AEP North'!AU65)</f>
        <v>0.81376664409839761</v>
      </c>
      <c r="AU8" s="45">
        <f>SUM('AEP North'!AV65)</f>
        <v>0.82142925537008071</v>
      </c>
      <c r="AV8" s="45">
        <f>SUM('AEP North'!AW65)</f>
        <v>0.81641868162314757</v>
      </c>
      <c r="AW8" s="45">
        <f>SUM('AEP North'!AX65)</f>
        <v>0.79948012338405017</v>
      </c>
      <c r="AX8" s="45">
        <f>SUM('AEP North'!AY65)</f>
        <v>0.79250410498580759</v>
      </c>
      <c r="AY8" s="45">
        <f>SUM('AEP North'!AZ65)</f>
        <v>0.81198208822029572</v>
      </c>
      <c r="AZ8" s="45">
        <f>SUM('AEP North'!BA65)</f>
        <v>0.82264626902107574</v>
      </c>
      <c r="BA8" s="45">
        <f>SUM('AEP North'!BB65)</f>
        <v>0.83496296296296302</v>
      </c>
      <c r="BB8" s="45">
        <f>SUM('AEP North'!BC65)</f>
        <v>0.83394588449588869</v>
      </c>
      <c r="BC8" s="45">
        <f>SUM('AEP North'!BD65)</f>
        <v>0.82971940893242568</v>
      </c>
      <c r="BD8" s="45">
        <f>SUM('AEP North'!BE65)</f>
        <v>0.83021335208615454</v>
      </c>
      <c r="BE8" s="45">
        <f>SUM('AEP North'!BF65)</f>
        <v>0.8280189002397792</v>
      </c>
      <c r="BF8" s="45">
        <f>SUM('AEP North'!BG65)</f>
        <v>0.80431316519650475</v>
      </c>
      <c r="BG8" s="45">
        <f>SUM('AEP North'!BH65)</f>
        <v>0.8612279707995748</v>
      </c>
      <c r="BH8" s="45">
        <f>SUM('AEP North'!BI65)</f>
        <v>0.86996187782457646</v>
      </c>
      <c r="BI8" s="45">
        <f>SUM('AEP North'!BJ65)</f>
        <v>0.86282881749989038</v>
      </c>
      <c r="BJ8" s="45">
        <f>SUM('AEP North'!BK65)</f>
        <v>0.85517658772768979</v>
      </c>
      <c r="BK8" s="45">
        <f>SUM('AEP North'!BL65)</f>
        <v>0.86510068620774805</v>
      </c>
      <c r="BL8" s="45">
        <f>SUM('AEP North'!BM65)</f>
        <v>0.87359247594805645</v>
      </c>
      <c r="BM8" s="45">
        <f>SUM('AEP North'!BN65)</f>
        <v>0.88290587932314313</v>
      </c>
      <c r="BN8" s="45">
        <f>SUM('AEP North'!BO65)</f>
        <v>0.88031385890067082</v>
      </c>
      <c r="BO8" s="45">
        <f>SUM('AEP North'!BP65)</f>
        <v>0.88051213623077895</v>
      </c>
      <c r="BP8" s="45">
        <f>SUM('AEP North'!BQ65)</f>
        <v>0.87835495498737493</v>
      </c>
      <c r="BQ8" s="45">
        <f>SUM('AEP North'!BR65)</f>
        <v>0.87457466705725939</v>
      </c>
      <c r="BR8" s="45">
        <f>SUM('AEP North'!BS65)</f>
        <v>0.88550628722700198</v>
      </c>
      <c r="BS8" s="45">
        <f>SUM('AEP North'!BT65)</f>
        <v>0.88823245719797439</v>
      </c>
      <c r="BT8" s="45">
        <f>SUM('AEP North'!BU65)</f>
        <v>0.89503235890966926</v>
      </c>
      <c r="BU8" s="45">
        <f>SUM('AEP North'!BV65)</f>
        <v>0.89763345115825532</v>
      </c>
      <c r="BV8" s="45">
        <f>SUM('AEP North'!BW65)</f>
        <v>0.88813582401802404</v>
      </c>
      <c r="BW8" s="45">
        <f>SUM('AEP North'!BX65)</f>
        <v>0.89053417070925012</v>
      </c>
      <c r="BX8" s="45">
        <f>SUM('AEP North'!BY65)</f>
        <v>0.89802427443679556</v>
      </c>
      <c r="BY8" s="45">
        <f>SUM('AEP North'!BZ65)</f>
        <v>0.89812811796388681</v>
      </c>
      <c r="BZ8" s="45">
        <f>SUM('AEP North'!CA65)</f>
        <v>0.8993414081814971</v>
      </c>
      <c r="CA8" s="45">
        <f>SUM('AEP North'!CB65)</f>
        <v>0.89525668018966431</v>
      </c>
      <c r="CB8" s="45">
        <f>SUM('AEP North'!CC65)</f>
        <v>0.89052548444419377</v>
      </c>
      <c r="CC8" s="45">
        <f>SUM('AEP North'!CD65)</f>
        <v>0.8899186319128396</v>
      </c>
      <c r="CD8" s="45">
        <f>SUM('AEP North'!CE65)</f>
        <v>0.90417057304398341</v>
      </c>
      <c r="CE8" s="45">
        <f>SUM('AEP North'!CF65)</f>
        <v>0.90978620700901813</v>
      </c>
      <c r="CF8" s="45">
        <f>SUM('AEP North'!CG65)</f>
        <v>0.91296884628385933</v>
      </c>
      <c r="CG8" s="45">
        <f>SUM('AEP North'!CH65)</f>
        <v>0.91204635554721858</v>
      </c>
      <c r="CH8" s="45">
        <f>SUM('AEP North'!CI65)</f>
        <v>0.90689267099646032</v>
      </c>
      <c r="CI8" s="45">
        <f>SUM('AEP North'!CJ65)</f>
        <v>0.90824906632887059</v>
      </c>
      <c r="CJ8" s="45">
        <f>SUM('AEP North'!CK65)</f>
        <v>0.91186576957211019</v>
      </c>
      <c r="CK8" s="45">
        <f>SUM('AEP North'!CL65)</f>
        <v>0.91158064131600902</v>
      </c>
      <c r="CL8" s="45">
        <f>SUM('AEP North'!CM65)</f>
        <v>0.91659443320812872</v>
      </c>
      <c r="CM8" s="45">
        <f>SUM('AEP North'!CN65)</f>
        <v>0.91809288643364217</v>
      </c>
      <c r="CN8" s="45">
        <f>SUM('AEP North'!CO65)</f>
        <v>0.91498778576057871</v>
      </c>
      <c r="CO8" s="45">
        <f>SUM('AEP North'!CP65)</f>
        <v>0.91602295236419562</v>
      </c>
      <c r="CP8" s="45">
        <f>SUM('AEP North'!CQ65)</f>
        <v>0.91866957999514443</v>
      </c>
      <c r="CQ8" s="45">
        <f>SUM('AEP North'!CR65)</f>
        <v>0.93349321518335604</v>
      </c>
      <c r="CR8" s="45">
        <f>SUM('AEP North'!CS65)</f>
        <v>0.93593953100463589</v>
      </c>
      <c r="CS8" s="45">
        <f>SUM('AEP North'!CT65)</f>
        <v>0.93463329647870808</v>
      </c>
      <c r="CT8" s="45">
        <f>SUM('AEP North'!CU65)</f>
        <v>0.93080792526434653</v>
      </c>
      <c r="CU8" s="45">
        <f>SUM('AEP North'!CV65)</f>
        <v>0.92971583408601399</v>
      </c>
      <c r="CV8" s="45">
        <f>SUM('AEP North'!CW65)</f>
        <v>0.93292366865238852</v>
      </c>
      <c r="CW8" s="45">
        <f>SUM('AEP North'!CX65)</f>
        <v>0.9389960759878645</v>
      </c>
      <c r="CX8" s="45">
        <f>SUM('AEP North'!CY65)</f>
        <v>0.94349180748506289</v>
      </c>
      <c r="CY8" s="45">
        <f>SUM('AEP North'!CZ65)</f>
        <v>0.94190925780225543</v>
      </c>
      <c r="CZ8" s="45">
        <f>SUM('AEP North'!DA65)</f>
        <v>0.93992616561586106</v>
      </c>
      <c r="DA8" s="45">
        <f>SUM('AEP North'!DB65)</f>
        <v>0.93326795235464632</v>
      </c>
      <c r="DB8" s="45">
        <f>SUM('AEP North'!DC65)</f>
        <v>0.93795579964618592</v>
      </c>
      <c r="DC8" s="45">
        <f>SUM('AEP North'!DD65)</f>
        <v>0.94377617512075673</v>
      </c>
      <c r="DD8" s="45">
        <f>SUM('AEP North'!DE65)</f>
        <v>0.94581907244010421</v>
      </c>
      <c r="DE8" s="45">
        <f>SUM('AEP North'!DF65)</f>
        <v>0.94594842797824819</v>
      </c>
      <c r="DF8" s="45">
        <f>SUM('AEP North'!DG65)</f>
        <v>0.94336780656552921</v>
      </c>
      <c r="DG8" s="45">
        <f>SUM('AEP North'!DH65)</f>
        <v>0.94163966075984284</v>
      </c>
      <c r="DH8" s="45">
        <f>SUM('AEP North'!DI65)</f>
        <v>0.94601763243161785</v>
      </c>
      <c r="DI8" s="45">
        <f>SUM('AEP North'!DJ65)</f>
        <v>0.94539380701528974</v>
      </c>
      <c r="DJ8" s="45">
        <f>SUM('AEP North'!DK65)</f>
        <v>0.94636498785307666</v>
      </c>
      <c r="DK8" s="45">
        <f>SUM('AEP North'!DL65)</f>
        <v>0.94600429586385415</v>
      </c>
      <c r="DL8" s="45">
        <f>SUM('AEP North'!DM65)</f>
        <v>0.94024589176820927</v>
      </c>
      <c r="DM8" s="45">
        <f>SUM('AEP North'!DN65)</f>
        <v>0.93721388311426124</v>
      </c>
      <c r="DN8" s="45">
        <f>SUM('AEP North'!DO65)</f>
        <v>0.94532746285085301</v>
      </c>
      <c r="DO8" s="45">
        <f>SUM('AEP North'!DP65)</f>
        <v>0.95324969190051922</v>
      </c>
      <c r="DP8" s="45">
        <f>SUM('AEP North'!DQ65)</f>
        <v>0.95215206631463345</v>
      </c>
      <c r="DQ8" s="45">
        <f>SUM('AEP North'!DR65)</f>
        <v>0.94910614610573318</v>
      </c>
      <c r="DR8" s="45">
        <f>SUM('AEP North'!DS65)</f>
        <v>0.94823242584315315</v>
      </c>
      <c r="DS8" s="45">
        <f>SUM('AEP North'!DT65)</f>
        <v>0.9491605598270062</v>
      </c>
      <c r="DT8" s="45">
        <f>SUM('AEP North'!DU65)</f>
        <v>0.95129678315068089</v>
      </c>
      <c r="DU8" s="45">
        <f>SUM('AEP North'!DV65)</f>
        <v>0.95394809650287737</v>
      </c>
      <c r="DV8" s="45">
        <f>SUM('AEP North'!DW65)</f>
        <v>0.95312329172374322</v>
      </c>
      <c r="DW8" s="45">
        <f>SUM('AEP North'!DX65)</f>
        <v>0.95588904047294221</v>
      </c>
      <c r="DX8" s="45">
        <f>SUM('AEP North'!DY65)</f>
        <v>0.95124486886809645</v>
      </c>
      <c r="DY8" s="45">
        <f>SUM('AEP North'!DZ65)</f>
        <v>0.94984524625579025</v>
      </c>
      <c r="DZ8" s="45">
        <f>SUM('AEP North'!EA65)</f>
        <v>0.95390053828231702</v>
      </c>
      <c r="EA8" s="45">
        <f>SUM('AEP North'!EB65)</f>
        <v>0.96042664234501285</v>
      </c>
      <c r="EB8" s="45">
        <f>SUM('AEP North'!EC65)</f>
        <v>0.96192357375727044</v>
      </c>
      <c r="EC8" s="45">
        <f>SUM('AEP North'!ED65)</f>
        <v>0.96066554959348538</v>
      </c>
      <c r="ED8" s="45">
        <f>SUM('AEP North'!EE65)</f>
        <v>0.95455072613172176</v>
      </c>
      <c r="EE8" s="45">
        <f>SUM('AEP North'!EF65)</f>
        <v>0.95920957472454227</v>
      </c>
      <c r="EF8" s="45">
        <f>SUM('AEP North'!EG65)</f>
        <v>0.96057029264634142</v>
      </c>
      <c r="EG8" s="45">
        <f>SUM('AEP North'!EH65)</f>
        <v>0.96305434256916356</v>
      </c>
      <c r="EH8" s="45">
        <f>SUM('AEP North'!EI65)</f>
        <v>0.96176559607520185</v>
      </c>
      <c r="EI8" s="45">
        <f>SUM('AEP North'!EJ65)</f>
        <v>0.96363479262672813</v>
      </c>
      <c r="EJ8" s="45">
        <f>SUM('AEP North'!EK65)</f>
        <v>0.96372082372376788</v>
      </c>
      <c r="EK8" s="45">
        <f>SUM('AEP North'!EL65)</f>
        <v>0.96170050406801155</v>
      </c>
      <c r="EL8" s="45">
        <f>SUM('AEP North'!EM65)</f>
        <v>0.96350837157890978</v>
      </c>
      <c r="EM8" s="45">
        <f>SUM('AEP North'!EN65)</f>
        <v>0.96844348400264124</v>
      </c>
      <c r="EN8" s="45">
        <f>SUM('AEP North'!EO65)</f>
        <v>0.96875107832244078</v>
      </c>
      <c r="EO8" s="45">
        <f>SUM('AEP North'!EP65)</f>
        <v>0.96605712485306772</v>
      </c>
      <c r="EP8" s="45">
        <f>SUM('AEP North'!EQ65)</f>
        <v>0.96440677966101696</v>
      </c>
      <c r="EQ8" s="45">
        <f>SUM('AEP North'!ER65)</f>
        <v>0.9665637668761855</v>
      </c>
      <c r="ER8" s="45">
        <f>SUM('AEP North'!ES65)</f>
        <v>0.96666965078884126</v>
      </c>
      <c r="ES8" s="45">
        <f>SUM('AEP North'!ET65)</f>
        <v>0.9668378129308971</v>
      </c>
      <c r="ET8" s="45">
        <f>SUM('AEP North'!EU65)</f>
        <v>0.96929811079484329</v>
      </c>
      <c r="EU8" s="45">
        <f>SUM('AEP North'!EV65)</f>
        <v>0.97004441689908072</v>
      </c>
      <c r="EV8" s="45">
        <f>SUM('AEP North'!EW65)</f>
        <v>0.97109747353325737</v>
      </c>
      <c r="EW8" s="45">
        <f>SUM('AEP North'!EX65)</f>
        <v>0.96707477887406901</v>
      </c>
      <c r="EX8" s="45">
        <f>SUM('AEP North'!EY65)</f>
        <v>0.96853013639480834</v>
      </c>
      <c r="EY8" s="45">
        <f>SUM('AEP North'!EZ65)</f>
        <v>0.97244839262523053</v>
      </c>
      <c r="EZ8" s="45">
        <f>SUM('AEP North'!FA65)</f>
        <v>0.97356813969557832</v>
      </c>
      <c r="FA8" s="45">
        <f>SUM('AEP North'!FB65)</f>
        <v>0.97296607388138623</v>
      </c>
      <c r="FB8" s="45">
        <f>SUM('AEP North'!FC65)</f>
        <v>0.97011055556200043</v>
      </c>
      <c r="FC8" s="45">
        <f>SUM('AEP North'!FD65)</f>
        <v>0.97240212941786941</v>
      </c>
      <c r="FD8" s="45">
        <f>SUM('AEP North'!FE65)</f>
        <v>0.97223306021589284</v>
      </c>
      <c r="FE8" s="45">
        <f>SUM('AEP North'!FF65)</f>
        <v>0.97383931543597879</v>
      </c>
      <c r="FF8" s="45">
        <f>SUM('AEP North'!FG65)</f>
        <v>0.97552652697881748</v>
      </c>
      <c r="FG8" s="45">
        <f>SUM('AEP North'!FH65)</f>
        <v>0.97651487668674808</v>
      </c>
      <c r="FH8" s="45">
        <f>SUM('AEP North'!FI65)</f>
        <v>0.9753100200390149</v>
      </c>
      <c r="FI8" s="45">
        <f>SUM('AEP North'!FJ65)</f>
        <v>0.97032940044820559</v>
      </c>
      <c r="FJ8" s="45">
        <f>SUM('AEP North'!FK65)</f>
        <v>0.97174905667176292</v>
      </c>
      <c r="FK8" s="45">
        <f>SUM('AEP North'!FL65)</f>
        <v>0.97545871559633024</v>
      </c>
      <c r="FL8" s="45">
        <f>SUM('AEP North'!FM65)</f>
        <v>0.97772815957963843</v>
      </c>
      <c r="FM8" s="45">
        <f>SUM('AEP North'!FN65)</f>
        <v>0.97630181081188483</v>
      </c>
      <c r="FN8" s="45">
        <f>SUM('AEP North'!FO65)</f>
        <v>0.97403886609866419</v>
      </c>
      <c r="FO8" s="45">
        <f>SUM('AEP North'!FP65)</f>
        <v>0.97794435338412899</v>
      </c>
      <c r="FP8" s="45">
        <f>SUM('AEP North'!FQ65)</f>
        <v>0.97912609313552246</v>
      </c>
      <c r="FQ8" s="45">
        <f>SUM('AEP North'!FR65)</f>
        <v>0.97960964307710352</v>
      </c>
      <c r="FR8" s="45">
        <f>SUM('AEP North'!FS65)</f>
        <v>0.9809628875311156</v>
      </c>
      <c r="FS8" s="45">
        <f>SUM('AEP North'!FT65)</f>
        <v>0.98137989205918352</v>
      </c>
    </row>
    <row r="9" spans="1:175" x14ac:dyDescent="0.25">
      <c r="A9" s="44" t="s">
        <v>0</v>
      </c>
      <c r="B9" s="45">
        <f>SUM(TNMP!C65)</f>
        <v>0.11487436791872935</v>
      </c>
      <c r="C9" s="45">
        <f>SUM(TNMP!D65)</f>
        <v>0.19553766832421154</v>
      </c>
      <c r="D9" s="45">
        <f>SUM(TNMP!E65)</f>
        <v>0.23302888586555282</v>
      </c>
      <c r="E9" s="45">
        <f>SUM(TNMP!F65)</f>
        <v>0.31268628109559582</v>
      </c>
      <c r="F9" s="45">
        <f>SUM(TNMP!G65)</f>
        <v>0.28444806508282211</v>
      </c>
      <c r="G9" s="45">
        <f>SUM(TNMP!H65)</f>
        <v>0.34094185844590275</v>
      </c>
      <c r="H9" s="45">
        <f>SUM(TNMP!I65)</f>
        <v>0.28737570111670752</v>
      </c>
      <c r="I9" s="45">
        <f>SUM(TNMP!J65)</f>
        <v>0.29076179747287301</v>
      </c>
      <c r="J9" s="45">
        <f>SUM(TNMP!K65)</f>
        <v>0.32080672170795893</v>
      </c>
      <c r="K9" s="45">
        <f>SUM(TNMP!L65)</f>
        <v>0.40828619583375647</v>
      </c>
      <c r="L9" s="45">
        <f>SUM(TNMP!M65)</f>
        <v>0.40282893379460211</v>
      </c>
      <c r="M9" s="45">
        <f>SUM(TNMP!N65)</f>
        <v>0.38863027179140258</v>
      </c>
      <c r="N9" s="45">
        <f>SUM(TNMP!O65)</f>
        <v>0.37815582103808332</v>
      </c>
      <c r="O9" s="45">
        <f>SUM(TNMP!P65)</f>
        <v>0.39420131367724476</v>
      </c>
      <c r="P9" s="45">
        <f>SUM(TNMP!Q65)</f>
        <v>0.40215273009730285</v>
      </c>
      <c r="Q9" s="45">
        <f>SUM(TNMP!R65)</f>
        <v>0.41158510947601468</v>
      </c>
      <c r="R9" s="45">
        <f>SUM(TNMP!S65)</f>
        <v>0.38450264400178868</v>
      </c>
      <c r="S9" s="45">
        <f>SUM(TNMP!T65)</f>
        <v>0.41007789223663277</v>
      </c>
      <c r="T9" s="45">
        <f>SUM(TNMP!U65)</f>
        <v>0.41649905099818796</v>
      </c>
      <c r="U9" s="45">
        <f>SUM(TNMP!V65)</f>
        <v>0.40459658911529917</v>
      </c>
      <c r="V9" s="45">
        <f>SUM(TNMP!W65)</f>
        <v>0.45786306970353913</v>
      </c>
      <c r="W9" s="45">
        <f>SUM(TNMP!X65)</f>
        <v>0.46243357070447538</v>
      </c>
      <c r="X9" s="45">
        <f>SUM(TNMP!Y65)</f>
        <v>0.50939819433517242</v>
      </c>
      <c r="Y9" s="45">
        <f>SUM(TNMP!Z65)</f>
        <v>0.51144437391238795</v>
      </c>
      <c r="Z9" s="45">
        <f>SUM(TNMP!AA65)</f>
        <v>0.51525470424552988</v>
      </c>
      <c r="AA9" s="45">
        <f>SUM(TNMP!AB65)</f>
        <v>0.52377408794934521</v>
      </c>
      <c r="AB9" s="45">
        <f>SUM(TNMP!AC65)</f>
        <v>0.54696723427028227</v>
      </c>
      <c r="AC9" s="45">
        <f>SUM(TNMP!AD65)</f>
        <v>0.56396851608581489</v>
      </c>
      <c r="AD9" s="45">
        <f>SUM(TNMP!AE65)</f>
        <v>0.55783152292281846</v>
      </c>
      <c r="AE9" s="45">
        <f>SUM(TNMP!AF65)</f>
        <v>0.5680161837654496</v>
      </c>
      <c r="AF9" s="45">
        <f>SUM(TNMP!AG65)</f>
        <v>0.54395713798215284</v>
      </c>
      <c r="AG9" s="45">
        <f>SUM(TNMP!AH65)</f>
        <v>0.5568535134241539</v>
      </c>
      <c r="AH9" s="45">
        <f>SUM(TNMP!AI65)</f>
        <v>0.57503093015291329</v>
      </c>
      <c r="AI9" s="45">
        <f>SUM(TNMP!AJ65)</f>
        <v>0.58396798330866762</v>
      </c>
      <c r="AJ9" s="45">
        <f>SUM(TNMP!AK65)</f>
        <v>0.6004707060081319</v>
      </c>
      <c r="AK9" s="45">
        <f>SUM(TNMP!AL65)</f>
        <v>0.57921517992811555</v>
      </c>
      <c r="AL9" s="45">
        <f>SUM(TNMP!AM65)</f>
        <v>0.60388077852448363</v>
      </c>
      <c r="AM9" s="45">
        <f>SUM(TNMP!AN65)</f>
        <v>0.63546794506555093</v>
      </c>
      <c r="AN9" s="45">
        <f>SUM(TNMP!AO65)</f>
        <v>0.63863820886369105</v>
      </c>
      <c r="AO9" s="45">
        <f>SUM(TNMP!AP65)</f>
        <v>0.64246799723616377</v>
      </c>
      <c r="AP9" s="45">
        <f>SUM(TNMP!AQ65)</f>
        <v>0.65543234114298976</v>
      </c>
      <c r="AQ9" s="45">
        <f>SUM(TNMP!AR65)</f>
        <v>0.64854233221214486</v>
      </c>
      <c r="AR9" s="45">
        <f>SUM(TNMP!AS65)</f>
        <v>0.63272655085935725</v>
      </c>
      <c r="AS9" s="45">
        <f>SUM(TNMP!AT65)</f>
        <v>0.65972308632476429</v>
      </c>
      <c r="AT9" s="45">
        <f>SUM(TNMP!AU65)</f>
        <v>0.66772256881690328</v>
      </c>
      <c r="AU9" s="45">
        <f>SUM(TNMP!AV65)</f>
        <v>0.67288766077558759</v>
      </c>
      <c r="AV9" s="45">
        <f>SUM(TNMP!AW65)</f>
        <v>0.68126027376821285</v>
      </c>
      <c r="AW9" s="45">
        <f>SUM(TNMP!AX65)</f>
        <v>0.67563020707354815</v>
      </c>
      <c r="AX9" s="45">
        <f>SUM(TNMP!AY65)</f>
        <v>0.66688134983164626</v>
      </c>
      <c r="AY9" s="45">
        <f>SUM(TNMP!AZ65)</f>
        <v>0.67135989433513521</v>
      </c>
      <c r="AZ9" s="45">
        <f>SUM(TNMP!BA65)</f>
        <v>0.66772337426744233</v>
      </c>
      <c r="BA9" s="45">
        <f>SUM(TNMP!BB65)</f>
        <v>0.67701625917072528</v>
      </c>
      <c r="BB9" s="45">
        <f>SUM(TNMP!BC65)</f>
        <v>0.68091866557444902</v>
      </c>
      <c r="BC9" s="45">
        <f>SUM(TNMP!BD65)</f>
        <v>0.66744421928721454</v>
      </c>
      <c r="BD9" s="45">
        <f>SUM(TNMP!BE65)</f>
        <v>0.6732087864193298</v>
      </c>
      <c r="BE9" s="45">
        <f>SUM(TNMP!BF65)</f>
        <v>0.68331489751905028</v>
      </c>
      <c r="BF9" s="45">
        <f>SUM(TNMP!BG65)</f>
        <v>0.6931625401490451</v>
      </c>
      <c r="BG9" s="45">
        <f>SUM(TNMP!BH65)</f>
        <v>0.7061106740739882</v>
      </c>
      <c r="BH9" s="45">
        <f>SUM(TNMP!BI65)</f>
        <v>0.7189293426935498</v>
      </c>
      <c r="BI9" s="45">
        <f>SUM(TNMP!BJ65)</f>
        <v>0.71047195037530697</v>
      </c>
      <c r="BJ9" s="45">
        <f>SUM(TNMP!BK65)</f>
        <v>0.69398508361349009</v>
      </c>
      <c r="BK9" s="45">
        <f>SUM(TNMP!BL65)</f>
        <v>0.70008490468502715</v>
      </c>
      <c r="BL9" s="45">
        <f>SUM(TNMP!BM65)</f>
        <v>0.71656805791757405</v>
      </c>
      <c r="BM9" s="45">
        <f>SUM(TNMP!BN65)</f>
        <v>0.73019668099811585</v>
      </c>
      <c r="BN9" s="45">
        <f>SUM(TNMP!BO65)</f>
        <v>0.74003975936208832</v>
      </c>
      <c r="BO9" s="45">
        <f>SUM(TNMP!BP65)</f>
        <v>0.72695195310688576</v>
      </c>
      <c r="BP9" s="45">
        <f>SUM(TNMP!BQ65)</f>
        <v>0.72896782886270428</v>
      </c>
      <c r="BQ9" s="45">
        <f>SUM(TNMP!BR65)</f>
        <v>0.73221099897569919</v>
      </c>
      <c r="BR9" s="45">
        <f>SUM(TNMP!BS65)</f>
        <v>0.74522311009134279</v>
      </c>
      <c r="BS9" s="45">
        <f>SUM(TNMP!BT65)</f>
        <v>0.75368964232867308</v>
      </c>
      <c r="BT9" s="45">
        <f>SUM(TNMP!BU65)</f>
        <v>0.76021881815160752</v>
      </c>
      <c r="BU9" s="45">
        <f>SUM(TNMP!BV65)</f>
        <v>0.7682824960152268</v>
      </c>
      <c r="BV9" s="45">
        <f>SUM(TNMP!BW65)</f>
        <v>0.75940666128320367</v>
      </c>
      <c r="BW9" s="45">
        <f>SUM(TNMP!BX65)</f>
        <v>0.7659582748065501</v>
      </c>
      <c r="BX9" s="45">
        <f>SUM(TNMP!BY65)</f>
        <v>0.76970569405111844</v>
      </c>
      <c r="BY9" s="45">
        <f>SUM(TNMP!BZ65)</f>
        <v>0.77627845379192661</v>
      </c>
      <c r="BZ9" s="45">
        <f>SUM(TNMP!CA65)</f>
        <v>0.77915323614884391</v>
      </c>
      <c r="CA9" s="45">
        <f>SUM(TNMP!CB65)</f>
        <v>0.7801490827712888</v>
      </c>
      <c r="CB9" s="45">
        <f>SUM(TNMP!CC65)</f>
        <v>0.77739831475818466</v>
      </c>
      <c r="CC9" s="45">
        <f>SUM(TNMP!CD65)</f>
        <v>0.78911587101801761</v>
      </c>
      <c r="CD9" s="45">
        <f>SUM(TNMP!CE65)</f>
        <v>0.80810798322673072</v>
      </c>
      <c r="CE9" s="45">
        <f>SUM(TNMP!CF65)</f>
        <v>0.82843423060974464</v>
      </c>
      <c r="CF9" s="45">
        <f>SUM(TNMP!CG65)</f>
        <v>0.8353987134993911</v>
      </c>
      <c r="CG9" s="45">
        <f>SUM(TNMP!CH65)</f>
        <v>0.838474876922915</v>
      </c>
      <c r="CH9" s="45">
        <f>SUM(TNMP!CI65)</f>
        <v>0.83502006909503179</v>
      </c>
      <c r="CI9" s="45">
        <f>SUM(TNMP!CJ65)</f>
        <v>0.83129995993696926</v>
      </c>
      <c r="CJ9" s="45">
        <f>SUM(TNMP!CK65)</f>
        <v>0.84098420791415152</v>
      </c>
      <c r="CK9" s="45">
        <f>SUM(TNMP!CL65)</f>
        <v>0.84616874204049852</v>
      </c>
      <c r="CL9" s="45">
        <f>SUM(TNMP!CM65)</f>
        <v>0.85193472098716738</v>
      </c>
      <c r="CM9" s="45">
        <f>SUM(TNMP!CN65)</f>
        <v>0.85769544482865101</v>
      </c>
      <c r="CN9" s="45">
        <f>SUM(TNMP!CO65)</f>
        <v>0.85455824894071297</v>
      </c>
      <c r="CO9" s="45">
        <f>SUM(TNMP!CP65)</f>
        <v>0.85649325692102263</v>
      </c>
      <c r="CP9" s="45">
        <f>SUM(TNMP!CQ65)</f>
        <v>0.86393581095108385</v>
      </c>
      <c r="CQ9" s="45">
        <f>SUM(TNMP!CR65)</f>
        <v>0.86909343626590208</v>
      </c>
      <c r="CR9" s="45">
        <f>SUM(TNMP!CS65)</f>
        <v>0.87032543058012135</v>
      </c>
      <c r="CS9" s="45">
        <f>SUM(TNMP!CT65)</f>
        <v>0.87167676895676338</v>
      </c>
      <c r="CT9" s="45">
        <f>SUM(TNMP!CU65)</f>
        <v>0.8617945609085379</v>
      </c>
      <c r="CU9" s="45">
        <f>SUM(TNMP!CV65)</f>
        <v>0.86586542303138891</v>
      </c>
      <c r="CV9" s="45">
        <f>SUM(TNMP!CW65)</f>
        <v>0.87005600301365549</v>
      </c>
      <c r="CW9" s="45">
        <f>SUM(TNMP!CX65)</f>
        <v>0.87558391002185798</v>
      </c>
      <c r="CX9" s="45">
        <f>SUM(TNMP!CY65)</f>
        <v>0.87623032028767545</v>
      </c>
      <c r="CY9" s="45">
        <f>SUM(TNMP!CZ65)</f>
        <v>0.87490540681050044</v>
      </c>
      <c r="CZ9" s="45">
        <f>SUM(TNMP!DA65)</f>
        <v>0.87755097369437918</v>
      </c>
      <c r="DA9" s="45">
        <f>SUM(TNMP!DB65)</f>
        <v>0.86905437338625335</v>
      </c>
      <c r="DB9" s="45">
        <f>SUM(TNMP!DC65)</f>
        <v>0.87713821420633575</v>
      </c>
      <c r="DC9" s="45">
        <f>SUM(TNMP!DD65)</f>
        <v>0.88336733819479296</v>
      </c>
      <c r="DD9" s="45">
        <f>SUM(TNMP!DE65)</f>
        <v>0.88627058672128178</v>
      </c>
      <c r="DE9" s="45">
        <f>SUM(TNMP!DF65)</f>
        <v>0.88718230572444989</v>
      </c>
      <c r="DF9" s="45">
        <f>SUM(TNMP!DG65)</f>
        <v>0.87917684778022553</v>
      </c>
      <c r="DG9" s="45">
        <f>SUM(TNMP!DH65)</f>
        <v>0.87135812703469062</v>
      </c>
      <c r="DH9" s="45">
        <f>SUM(TNMP!DI65)</f>
        <v>0.88846344806615529</v>
      </c>
      <c r="DI9" s="45">
        <f>SUM(TNMP!DJ65)</f>
        <v>0.87618428745172372</v>
      </c>
      <c r="DJ9" s="45">
        <f>SUM(TNMP!DK65)</f>
        <v>0.88257468815045481</v>
      </c>
      <c r="DK9" s="45">
        <f>SUM(TNMP!DL65)</f>
        <v>0.87971981937213861</v>
      </c>
      <c r="DL9" s="45">
        <f>SUM(TNMP!DM65)</f>
        <v>0.87758812120735419</v>
      </c>
      <c r="DM9" s="45">
        <f>SUM(TNMP!DN65)</f>
        <v>0.87812491243611424</v>
      </c>
      <c r="DN9" s="45">
        <f>SUM(TNMP!DO65)</f>
        <v>0.87954914966458431</v>
      </c>
      <c r="DO9" s="45">
        <f>SUM(TNMP!DP65)</f>
        <v>0.88575630332040756</v>
      </c>
      <c r="DP9" s="45">
        <f>SUM(TNMP!DQ65)</f>
        <v>0.89080775595751427</v>
      </c>
      <c r="DQ9" s="45">
        <f>SUM(TNMP!DR65)</f>
        <v>0.89180419880428952</v>
      </c>
      <c r="DR9" s="45">
        <f>SUM(TNMP!DS65)</f>
        <v>0.8850063096309394</v>
      </c>
      <c r="DS9" s="45">
        <f>SUM(TNMP!DT65)</f>
        <v>0.88747099134338581</v>
      </c>
      <c r="DT9" s="45">
        <f>SUM(TNMP!DU65)</f>
        <v>0.89144740109747278</v>
      </c>
      <c r="DU9" s="45">
        <f>SUM(TNMP!DV65)</f>
        <v>0.89513459641420368</v>
      </c>
      <c r="DV9" s="45">
        <f>SUM(TNMP!DW65)</f>
        <v>0.91283922017797481</v>
      </c>
      <c r="DW9" s="45">
        <f>SUM(TNMP!DX65)</f>
        <v>0.98369397178520679</v>
      </c>
      <c r="DX9" s="45">
        <f>SUM(TNMP!DY65)</f>
        <v>0.99429607019013944</v>
      </c>
      <c r="DY9" s="45">
        <f>SUM(TNMP!DZ65)</f>
        <v>0.99447210676521358</v>
      </c>
      <c r="DZ9" s="45">
        <f>SUM(TNMP!EA65)</f>
        <v>0.99489796063855906</v>
      </c>
      <c r="EA9" s="45">
        <f>SUM(TNMP!EB65)</f>
        <v>0.99573951557241414</v>
      </c>
      <c r="EB9" s="45">
        <f>SUM(TNMP!EC65)</f>
        <v>0.99592453397853198</v>
      </c>
      <c r="EC9" s="45">
        <f>SUM(TNMP!ED65)</f>
        <v>0.99586628411193734</v>
      </c>
      <c r="ED9" s="45">
        <f>SUM(TNMP!EE65)</f>
        <v>0.99456067822406313</v>
      </c>
      <c r="EE9" s="45">
        <f>SUM(TNMP!EF65)</f>
        <v>0.99679384956064265</v>
      </c>
      <c r="EF9" s="45">
        <f>SUM(TNMP!EG65)</f>
        <v>0.99539618528505813</v>
      </c>
      <c r="EG9" s="45">
        <f>SUM(TNMP!EH65)</f>
        <v>0.99643233219746929</v>
      </c>
      <c r="EH9" s="45">
        <f>SUM(TNMP!EI65)</f>
        <v>0.99698713016473262</v>
      </c>
      <c r="EI9" s="45">
        <f>SUM(TNMP!EJ65)</f>
        <v>0.9961385818289078</v>
      </c>
      <c r="EJ9" s="45">
        <f>SUM(TNMP!EK65)</f>
        <v>0.99563856976599596</v>
      </c>
      <c r="EK9" s="45">
        <f>SUM(TNMP!EL65)</f>
        <v>0.99572342313979723</v>
      </c>
      <c r="EL9" s="45">
        <f>SUM(TNMP!EM65)</f>
        <v>0.99596349727465006</v>
      </c>
      <c r="EM9" s="45">
        <f>SUM(TNMP!EN65)</f>
        <v>0.99707667401284505</v>
      </c>
      <c r="EN9" s="45">
        <f>SUM(TNMP!EO65)</f>
        <v>0.99729909718577281</v>
      </c>
      <c r="EO9" s="45">
        <f>SUM(TNMP!EP65)</f>
        <v>0.99639945404197183</v>
      </c>
      <c r="EP9" s="45">
        <f>SUM(TNMP!EQ65)</f>
        <v>0.99604433584977992</v>
      </c>
      <c r="EQ9" s="45">
        <f>SUM(TNMP!ER65)</f>
        <v>0.99619595225815638</v>
      </c>
      <c r="ER9" s="45">
        <f>SUM(TNMP!ES65)</f>
        <v>0.9966258846552708</v>
      </c>
      <c r="ES9" s="45">
        <f>SUM(TNMP!ET65)</f>
        <v>0.99734675965423536</v>
      </c>
      <c r="ET9" s="45">
        <f>SUM(TNMP!EU65)</f>
        <v>0.99700793506024288</v>
      </c>
      <c r="EU9" s="45">
        <f>SUM(TNMP!EV65)</f>
        <v>0.99696311548143501</v>
      </c>
      <c r="EV9" s="45">
        <f>SUM(TNMP!EW65)</f>
        <v>0.99660768931565646</v>
      </c>
      <c r="EW9" s="45">
        <f>SUM(TNMP!EX65)</f>
        <v>0.99664653498666267</v>
      </c>
      <c r="EX9" s="45">
        <f>SUM(TNMP!EY65)</f>
        <v>0.99680651558256383</v>
      </c>
      <c r="EY9" s="45">
        <f>SUM(TNMP!EZ65)</f>
        <v>0.99717533044811768</v>
      </c>
      <c r="EZ9" s="45">
        <f>SUM(TNMP!FA65)</f>
        <v>0.99702892908995344</v>
      </c>
      <c r="FA9" s="45">
        <f>SUM(TNMP!FB65)</f>
        <v>0.99685736950020543</v>
      </c>
      <c r="FB9" s="45">
        <f>SUM(TNMP!FC65)</f>
        <v>0.99602241024641069</v>
      </c>
      <c r="FC9" s="45">
        <f>SUM(TNMP!FD65)</f>
        <v>0.99627532329861135</v>
      </c>
      <c r="FD9" s="45">
        <f>SUM(TNMP!FE65)</f>
        <v>0.99657512561289829</v>
      </c>
      <c r="FE9" s="45">
        <f>SUM(TNMP!FF65)</f>
        <v>0.9972438874916697</v>
      </c>
      <c r="FF9" s="45">
        <f>SUM(TNMP!FG65)</f>
        <v>0.99721332957353992</v>
      </c>
      <c r="FG9" s="45">
        <f>SUM(TNMP!FH65)</f>
        <v>0.99688556578399945</v>
      </c>
      <c r="FH9" s="45">
        <f>SUM(TNMP!FI65)</f>
        <v>0.99594788374530419</v>
      </c>
      <c r="FI9" s="45">
        <f>SUM(TNMP!FJ65)</f>
        <v>0.99603116209866482</v>
      </c>
      <c r="FJ9" s="45">
        <f>SUM(TNMP!FK65)</f>
        <v>0.99617187981874045</v>
      </c>
      <c r="FK9" s="45">
        <f>SUM(TNMP!FL65)</f>
        <v>0.99648153156872865</v>
      </c>
      <c r="FL9" s="45">
        <f>SUM(TNMP!FM65)</f>
        <v>0.99701370151257929</v>
      </c>
      <c r="FM9" s="45">
        <f>SUM(TNMP!FN65)</f>
        <v>0.99644981751063977</v>
      </c>
      <c r="FN9" s="45">
        <f>SUM(TNMP!FO65)</f>
        <v>0.99600816083133437</v>
      </c>
      <c r="FO9" s="45">
        <f>SUM(TNMP!FP65)</f>
        <v>0.99621821005927758</v>
      </c>
      <c r="FP9" s="45">
        <f>SUM(TNMP!FQ65)</f>
        <v>0.99694146640583403</v>
      </c>
      <c r="FQ9" s="45">
        <f>SUM(TNMP!FR65)</f>
        <v>0.99696409261043006</v>
      </c>
      <c r="FR9" s="45">
        <f>SUM(TNMP!FS65)</f>
        <v>0.99703750050800288</v>
      </c>
      <c r="FS9" s="45">
        <f>SUM(TNMP!FT65)</f>
        <v>0.99669295683402825</v>
      </c>
    </row>
    <row r="10" spans="1:175" x14ac:dyDescent="0.25">
      <c r="A10" s="561" t="s">
        <v>101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</row>
    <row r="11" spans="1:175" x14ac:dyDescent="0.25">
      <c r="A11" s="561" t="s">
        <v>102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</row>
    <row r="12" spans="1:175" s="1" customFormat="1" x14ac:dyDescent="0.25">
      <c r="A12" s="46" t="s">
        <v>9</v>
      </c>
      <c r="B12" s="47">
        <f>TOTAL!C65</f>
        <v>4.7214260682664676E-2</v>
      </c>
      <c r="C12" s="47">
        <f>TOTAL!D65</f>
        <v>0.12505325254843808</v>
      </c>
      <c r="D12" s="47">
        <f>TOTAL!E65</f>
        <v>0.19579453604255728</v>
      </c>
      <c r="E12" s="47">
        <f>TOTAL!F65</f>
        <v>0.21494588605608242</v>
      </c>
      <c r="F12" s="47">
        <f>TOTAL!G65</f>
        <v>0.22213246651500632</v>
      </c>
      <c r="G12" s="47">
        <f>TOTAL!H65</f>
        <v>0.25772701842984302</v>
      </c>
      <c r="H12" s="47">
        <f>TOTAL!I65</f>
        <v>0.27278282349824973</v>
      </c>
      <c r="I12" s="47">
        <f>TOTAL!J65</f>
        <v>0.26142754613570113</v>
      </c>
      <c r="J12" s="47">
        <f>TOTAL!K65</f>
        <v>0.29578533384234923</v>
      </c>
      <c r="K12" s="47">
        <f>TOTAL!L65</f>
        <v>0.32809134994642253</v>
      </c>
      <c r="L12" s="47">
        <f>TOTAL!M65</f>
        <v>0.28055662169265294</v>
      </c>
      <c r="M12" s="47">
        <f>TOTAL!N65</f>
        <v>0.33037225751939375</v>
      </c>
      <c r="N12" s="47">
        <f>TOTAL!O65</f>
        <v>0.34028928650361351</v>
      </c>
      <c r="O12" s="47">
        <f>TOTAL!P65</f>
        <v>0.35654636843014503</v>
      </c>
      <c r="P12" s="47">
        <f>TOTAL!Q65</f>
        <v>0.37992291126061006</v>
      </c>
      <c r="Q12" s="47">
        <f>TOTAL!R65</f>
        <v>0.35652799958712833</v>
      </c>
      <c r="R12" s="47">
        <f>TOTAL!S65</f>
        <v>0.36180213688507079</v>
      </c>
      <c r="S12" s="47">
        <f>TOTAL!T65</f>
        <v>0.3629535493543915</v>
      </c>
      <c r="T12" s="47">
        <f>TOTAL!U65</f>
        <v>0.38273008394946201</v>
      </c>
      <c r="U12" s="47">
        <f>TOTAL!V65</f>
        <v>0.38721381076122535</v>
      </c>
      <c r="V12" s="47">
        <f>TOTAL!W65</f>
        <v>0.39980434581891122</v>
      </c>
      <c r="W12" s="47">
        <f>TOTAL!X65</f>
        <v>0.41228533378360765</v>
      </c>
      <c r="X12" s="47">
        <f>TOTAL!Y65</f>
        <v>0.42446081014107484</v>
      </c>
      <c r="Y12" s="47">
        <f>TOTAL!Z65</f>
        <v>0.44127759772092628</v>
      </c>
      <c r="Z12" s="47">
        <f>TOTAL!AA65</f>
        <v>0.44307616266734945</v>
      </c>
      <c r="AA12" s="47">
        <f>TOTAL!AB65</f>
        <v>0.44416689936524123</v>
      </c>
      <c r="AB12" s="47">
        <f>TOTAL!AC65</f>
        <v>0.45215548458310489</v>
      </c>
      <c r="AC12" s="47">
        <f>TOTAL!AD65</f>
        <v>0.47187687919161958</v>
      </c>
      <c r="AD12" s="47">
        <f>TOTAL!AE65</f>
        <v>0.47710511906744124</v>
      </c>
      <c r="AE12" s="47">
        <f>TOTAL!AF65</f>
        <v>0.48683216228699211</v>
      </c>
      <c r="AF12" s="47">
        <f>TOTAL!AG65</f>
        <v>0.50358960306602407</v>
      </c>
      <c r="AG12" s="47">
        <f>TOTAL!AH65</f>
        <v>0.51808594236014183</v>
      </c>
      <c r="AH12" s="47">
        <f>TOTAL!AI65</f>
        <v>0.53128446506026716</v>
      </c>
      <c r="AI12" s="47">
        <f>TOTAL!AJ65</f>
        <v>0.5448246241053829</v>
      </c>
      <c r="AJ12" s="47">
        <f>TOTAL!AK65</f>
        <v>0.55817831082373148</v>
      </c>
      <c r="AK12" s="47">
        <f>TOTAL!AL65</f>
        <v>0.55480325974052414</v>
      </c>
      <c r="AL12" s="47">
        <f>TOTAL!AM65</f>
        <v>0.5599371026858726</v>
      </c>
      <c r="AM12" s="47">
        <f>TOTAL!AN65</f>
        <v>0.5782511022180078</v>
      </c>
      <c r="AN12" s="47">
        <f>TOTAL!AO65</f>
        <v>0.59710167936007597</v>
      </c>
      <c r="AO12" s="47">
        <f>TOTAL!AP65</f>
        <v>0.60882166374972446</v>
      </c>
      <c r="AP12" s="47">
        <f>TOTAL!AQ65</f>
        <v>0.61790082979160388</v>
      </c>
      <c r="AQ12" s="47">
        <f>TOTAL!AR65</f>
        <v>0.62097532679635636</v>
      </c>
      <c r="AR12" s="47">
        <f>TOTAL!AS65</f>
        <v>0.62798287907169414</v>
      </c>
      <c r="AS12" s="47">
        <f>TOTAL!AT65</f>
        <v>0.64289235478010787</v>
      </c>
      <c r="AT12" s="47">
        <f>TOTAL!AU65</f>
        <v>0.65160007853157675</v>
      </c>
      <c r="AU12" s="47">
        <f>TOTAL!AV65</f>
        <v>0.65309805877635441</v>
      </c>
      <c r="AV12" s="47">
        <f>TOTAL!AW65</f>
        <v>0.65911595881256424</v>
      </c>
      <c r="AW12" s="47">
        <f>TOTAL!AX65</f>
        <v>0.65386774874349973</v>
      </c>
      <c r="AX12" s="47">
        <f>TOTAL!AY65</f>
        <v>0.65706384140151597</v>
      </c>
      <c r="AY12" s="47">
        <f>TOTAL!AZ65</f>
        <v>0.65532560422571118</v>
      </c>
      <c r="AZ12" s="47">
        <f>TOTAL!BA65</f>
        <v>0.66406427679654478</v>
      </c>
      <c r="BA12" s="47">
        <f>TOTAL!BB65</f>
        <v>0.66362069424314341</v>
      </c>
      <c r="BB12" s="47">
        <f>TOTAL!BC65</f>
        <v>0.66424069010457198</v>
      </c>
      <c r="BC12" s="47">
        <f>TOTAL!BD65</f>
        <v>0.66574292815898051</v>
      </c>
      <c r="BD12" s="47">
        <f>TOTAL!BE65</f>
        <v>0.66843592258869911</v>
      </c>
      <c r="BE12" s="47">
        <f>TOTAL!BF65</f>
        <v>0.6679884018591552</v>
      </c>
      <c r="BF12" s="47">
        <f>TOTAL!BG65</f>
        <v>0.6747556677242339</v>
      </c>
      <c r="BG12" s="47">
        <f>TOTAL!BH65</f>
        <v>0.68896268317601006</v>
      </c>
      <c r="BH12" s="47">
        <f>TOTAL!BI65</f>
        <v>0.69431681368767173</v>
      </c>
      <c r="BI12" s="47">
        <f>TOTAL!BJ65</f>
        <v>0.696597232265042</v>
      </c>
      <c r="BJ12" s="47">
        <f>TOTAL!BK65</f>
        <v>0.68493101467805584</v>
      </c>
      <c r="BK12" s="47">
        <f>TOTAL!BL65</f>
        <v>0.68489536184355393</v>
      </c>
      <c r="BL12" s="47">
        <f>TOTAL!BM65</f>
        <v>0.69091733595332194</v>
      </c>
      <c r="BM12" s="47">
        <f>TOTAL!BN65</f>
        <v>0.69792821270078642</v>
      </c>
      <c r="BN12" s="47">
        <f>TOTAL!BO65</f>
        <v>0.70177461612460734</v>
      </c>
      <c r="BO12" s="47">
        <f>TOTAL!BP65</f>
        <v>0.70029823119862566</v>
      </c>
      <c r="BP12" s="47">
        <f>TOTAL!BQ65</f>
        <v>0.69707379241198941</v>
      </c>
      <c r="BQ12" s="47">
        <f>TOTAL!BR65</f>
        <v>0.69636912985026012</v>
      </c>
      <c r="BR12" s="47">
        <f>TOTAL!BS65</f>
        <v>0.69904379547068585</v>
      </c>
      <c r="BS12" s="47">
        <f>TOTAL!BT65</f>
        <v>0.70058153179880367</v>
      </c>
      <c r="BT12" s="47">
        <f>TOTAL!BU65</f>
        <v>0.70511109118992255</v>
      </c>
      <c r="BU12" s="47">
        <f>TOTAL!BV65</f>
        <v>0.70856863037822981</v>
      </c>
      <c r="BV12" s="47">
        <f>TOTAL!BW65</f>
        <v>0.70869574166604643</v>
      </c>
      <c r="BW12" s="47">
        <f>TOTAL!BX65</f>
        <v>0.70581163723513529</v>
      </c>
      <c r="BX12" s="47">
        <f>TOTAL!BY65</f>
        <v>0.7116565607601899</v>
      </c>
      <c r="BY12" s="47">
        <f>TOTAL!BZ65</f>
        <v>0.71462008805103838</v>
      </c>
      <c r="BZ12" s="47">
        <f>TOTAL!CA65</f>
        <v>0.71523707329828479</v>
      </c>
      <c r="CA12" s="47">
        <f>TOTAL!CB65</f>
        <v>0.72281843211299601</v>
      </c>
      <c r="CB12" s="47">
        <f>TOTAL!CC65</f>
        <v>0.71481262878672791</v>
      </c>
      <c r="CC12" s="47">
        <f>TOTAL!CD65</f>
        <v>0.71273267086581082</v>
      </c>
      <c r="CD12" s="47">
        <f>TOTAL!CE65</f>
        <v>0.71821880183750419</v>
      </c>
      <c r="CE12" s="47">
        <f>TOTAL!CF65</f>
        <v>0.73384641290223429</v>
      </c>
      <c r="CF12" s="47">
        <f>TOTAL!CG65</f>
        <v>0.71826413515995824</v>
      </c>
      <c r="CG12" s="47">
        <f>TOTAL!CH65</f>
        <v>0.72444170377128125</v>
      </c>
      <c r="CH12" s="47">
        <f>TOTAL!CI65</f>
        <v>0.72167795731275786</v>
      </c>
      <c r="CI12" s="47">
        <f>TOTAL!CJ65</f>
        <v>0.72409555692088978</v>
      </c>
      <c r="CJ12" s="47">
        <f>TOTAL!CK65</f>
        <v>0.73298374232273578</v>
      </c>
      <c r="CK12" s="47">
        <f>TOTAL!CL65</f>
        <v>0.73527819375675374</v>
      </c>
      <c r="CL12" s="47">
        <f>TOTAL!CM65</f>
        <v>0.74042182382173372</v>
      </c>
      <c r="CM12" s="47">
        <f>TOTAL!CN65</f>
        <v>0.7437435851878671</v>
      </c>
      <c r="CN12" s="47">
        <f>TOTAL!CO65</f>
        <v>0.74286457903778758</v>
      </c>
      <c r="CO12" s="47">
        <f>TOTAL!CP65</f>
        <v>0.7464304703882193</v>
      </c>
      <c r="CP12" s="47">
        <f>TOTAL!CQ65</f>
        <v>0.75647557394798448</v>
      </c>
      <c r="CQ12" s="281">
        <f>TOTAL!CR65</f>
        <v>0.76177613522879484</v>
      </c>
      <c r="CR12" s="281">
        <f>TOTAL!CS65</f>
        <v>0.76325692455905492</v>
      </c>
      <c r="CS12" s="281">
        <f>TOTAL!CT65</f>
        <v>0.7653788648592702</v>
      </c>
      <c r="CT12" s="281">
        <f>TOTAL!CU65</f>
        <v>0.75587078669876184</v>
      </c>
      <c r="CU12" s="281">
        <f>TOTAL!CV65</f>
        <v>0.76120193840342476</v>
      </c>
      <c r="CV12" s="281">
        <f>TOTAL!CW65</f>
        <v>0.76414006250485222</v>
      </c>
      <c r="CW12" s="281">
        <f>TOTAL!CX65</f>
        <v>0.76857311931096128</v>
      </c>
      <c r="CX12" s="281">
        <f>TOTAL!CY65</f>
        <v>0.77448099263396153</v>
      </c>
      <c r="CY12" s="281">
        <f>TOTAL!CZ65</f>
        <v>0.7736204014251542</v>
      </c>
      <c r="CZ12" s="281">
        <f>TOTAL!DA65</f>
        <v>0.77472389511043349</v>
      </c>
      <c r="DA12" s="281">
        <f>TOTAL!DB65</f>
        <v>0.77510052967169074</v>
      </c>
      <c r="DB12" s="281">
        <f>TOTAL!DC65</f>
        <v>0.77947169864846955</v>
      </c>
      <c r="DC12" s="281">
        <f>TOTAL!DD65</f>
        <v>0.78728908394906449</v>
      </c>
      <c r="DD12" s="281">
        <f>TOTAL!DE65</f>
        <v>0.78504222019711201</v>
      </c>
      <c r="DE12" s="281">
        <f>TOTAL!DF65</f>
        <v>0.78742797470820725</v>
      </c>
      <c r="DF12" s="281">
        <f>TOTAL!DG65</f>
        <v>0.78266479391625443</v>
      </c>
      <c r="DG12" s="281">
        <f>TOTAL!DH65</f>
        <v>0.78463546141351304</v>
      </c>
      <c r="DH12" s="281">
        <f>TOTAL!DI65</f>
        <v>0.79340303828451486</v>
      </c>
      <c r="DI12" s="281">
        <f>TOTAL!DJ65</f>
        <v>0.79745991143569972</v>
      </c>
      <c r="DJ12" s="281">
        <f>TOTAL!DK65</f>
        <v>0.80064168483989151</v>
      </c>
      <c r="DK12" s="281">
        <f>TOTAL!DL65</f>
        <v>0.80476321118203353</v>
      </c>
      <c r="DL12" s="281">
        <f>TOTAL!DM65</f>
        <v>0.80140749725742111</v>
      </c>
      <c r="DM12" s="281">
        <f>TOTAL!DN65</f>
        <v>0.80239438009454711</v>
      </c>
      <c r="DN12" s="281">
        <f>TOTAL!DO65</f>
        <v>0.8028787180292406</v>
      </c>
      <c r="DO12" s="281">
        <f>TOTAL!DP65</f>
        <v>0.80442143329322047</v>
      </c>
      <c r="DP12" s="281">
        <f>TOTAL!DQ65</f>
        <v>0.80775138664489132</v>
      </c>
      <c r="DQ12" s="281">
        <f>TOTAL!DR65</f>
        <v>0.80665560179440976</v>
      </c>
      <c r="DR12" s="281">
        <f>TOTAL!DS65</f>
        <v>0.80506406760922122</v>
      </c>
      <c r="DS12" s="281">
        <f>TOTAL!DT65</f>
        <v>0.80858692315550307</v>
      </c>
      <c r="DT12" s="281">
        <f>TOTAL!DU65</f>
        <v>0.81183238182499196</v>
      </c>
      <c r="DU12" s="281">
        <f>TOTAL!DV65</f>
        <v>0.81379819838303924</v>
      </c>
      <c r="DV12" s="281">
        <f>TOTAL!DW65</f>
        <v>0.8154383319889863</v>
      </c>
      <c r="DW12" s="281">
        <f>TOTAL!DX65</f>
        <v>0.81704835166431511</v>
      </c>
      <c r="DX12" s="281">
        <f>TOTAL!DY65</f>
        <v>0.81848176878273504</v>
      </c>
      <c r="DY12" s="281">
        <f>TOTAL!DZ65</f>
        <v>0.81691063183468138</v>
      </c>
      <c r="DZ12" s="281">
        <f>TOTAL!EA65</f>
        <v>0.81366039199988183</v>
      </c>
      <c r="EA12" s="281">
        <f>TOTAL!EB65</f>
        <v>0.81217662412007219</v>
      </c>
      <c r="EB12" s="281">
        <f>TOTAL!EC65</f>
        <v>0.81170382431038335</v>
      </c>
      <c r="EC12" s="281">
        <f>TOTAL!ED65</f>
        <v>0.81265727165802171</v>
      </c>
      <c r="ED12" s="281">
        <f>TOTAL!EE65</f>
        <v>0.81041939450836931</v>
      </c>
      <c r="EE12" s="281">
        <f>TOTAL!EF65</f>
        <v>0.81581747662185344</v>
      </c>
      <c r="EF12" s="281">
        <f>TOTAL!EG65</f>
        <v>0.81678968063126389</v>
      </c>
      <c r="EG12" s="281">
        <f>TOTAL!EH65</f>
        <v>0.82090010421129622</v>
      </c>
      <c r="EH12" s="281">
        <f>TOTAL!EI65</f>
        <v>0.82048403413881077</v>
      </c>
      <c r="EI12" s="281">
        <f>TOTAL!EJ65</f>
        <v>0.82506885672426611</v>
      </c>
      <c r="EJ12" s="281">
        <f>TOTAL!EK65</f>
        <v>0.827716435259369</v>
      </c>
      <c r="EK12" s="281">
        <f>TOTAL!EL65</f>
        <v>0.8282472336933987</v>
      </c>
      <c r="EL12" s="281">
        <f>TOTAL!EM65</f>
        <v>0.82868859491606428</v>
      </c>
      <c r="EM12" s="281">
        <f>TOTAL!EN65</f>
        <v>0.83206589450353285</v>
      </c>
      <c r="EN12" s="281">
        <f>TOTAL!EO65</f>
        <v>0.83184456910043503</v>
      </c>
      <c r="EO12" s="281">
        <f>TOTAL!EP65</f>
        <v>0.8330278882344313</v>
      </c>
      <c r="EP12" s="281">
        <f>TOTAL!EQ65</f>
        <v>0.82886578516752174</v>
      </c>
      <c r="EQ12" s="281">
        <f>TOTAL!ER65</f>
        <v>0.83468125625731449</v>
      </c>
      <c r="ER12" s="281">
        <f>TOTAL!ES65</f>
        <v>0.83901290343433998</v>
      </c>
      <c r="ES12" s="281">
        <f>TOTAL!ET65</f>
        <v>0.84326123028314592</v>
      </c>
      <c r="ET12" s="281">
        <f>TOTAL!EU65</f>
        <v>0.84010523573288953</v>
      </c>
      <c r="EU12" s="281">
        <f>TOTAL!EV65</f>
        <v>0.84092540054554243</v>
      </c>
      <c r="EV12" s="281">
        <f>TOTAL!EW65</f>
        <v>0.83811451364082123</v>
      </c>
      <c r="EW12" s="281">
        <f>TOTAL!EX65</f>
        <v>0.83614752245997526</v>
      </c>
      <c r="EX12" s="281">
        <f>TOTAL!EY65</f>
        <v>0.83723333372555131</v>
      </c>
      <c r="EY12" s="281">
        <f>TOTAL!EZ65</f>
        <v>0.8360055862140221</v>
      </c>
      <c r="EZ12" s="281">
        <f>TOTAL!FA65</f>
        <v>0.83594677206154966</v>
      </c>
      <c r="FA12" s="281">
        <f>TOTAL!FB65</f>
        <v>0.83705481573873608</v>
      </c>
      <c r="FB12" s="281">
        <f>TOTAL!FC65</f>
        <v>0.83358750208447374</v>
      </c>
      <c r="FC12" s="281">
        <f>TOTAL!FD65</f>
        <v>0.83338731967440394</v>
      </c>
      <c r="FD12" s="281">
        <f>TOTAL!FE65</f>
        <v>0.83513887780484319</v>
      </c>
      <c r="FE12" s="281">
        <f>TOTAL!FF65</f>
        <v>0.83949233858380889</v>
      </c>
      <c r="FF12" s="281">
        <f>TOTAL!FG65</f>
        <v>0.83935016869854739</v>
      </c>
      <c r="FG12" s="281">
        <f>TOTAL!FH65</f>
        <v>0.84118508546044612</v>
      </c>
      <c r="FH12" s="281">
        <f>TOTAL!FI65</f>
        <v>0.83633634340314855</v>
      </c>
      <c r="FI12" s="281">
        <f>TOTAL!FJ65</f>
        <v>0.8348847769965726</v>
      </c>
      <c r="FJ12" s="281">
        <f>TOTAL!FK65</f>
        <v>0.84030692318516997</v>
      </c>
      <c r="FK12" s="281">
        <f>TOTAL!FL65</f>
        <v>0.84445566175541664</v>
      </c>
      <c r="FL12" s="281">
        <f>TOTAL!FM65</f>
        <v>0.84563996004345177</v>
      </c>
      <c r="FM12" s="281">
        <f>TOTAL!FN65</f>
        <v>0.84417639697015223</v>
      </c>
      <c r="FN12" s="281">
        <f>TOTAL!FO65</f>
        <v>0.8404714412048182</v>
      </c>
      <c r="FO12" s="281">
        <f>TOTAL!FP65</f>
        <v>0.84034599483820871</v>
      </c>
      <c r="FP12" s="281">
        <f>TOTAL!FQ65</f>
        <v>0.84498240112255585</v>
      </c>
      <c r="FQ12" s="281">
        <f>TOTAL!FR65</f>
        <v>0.84620036384319375</v>
      </c>
      <c r="FR12" s="281">
        <f>TOTAL!FS65</f>
        <v>0.8489500520700769</v>
      </c>
      <c r="FS12" s="281">
        <f>TOTAL!FT65</f>
        <v>0.84719581042846936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164"/>
  <sheetViews>
    <sheetView topLeftCell="A23" zoomScaleNormal="100" workbookViewId="0">
      <pane xSplit="1" topLeftCell="L1" activePane="topRight" state="frozen"/>
      <selection activeCell="EB37" sqref="EB37"/>
      <selection pane="topRight" activeCell="P26" sqref="P26"/>
    </sheetView>
  </sheetViews>
  <sheetFormatPr defaultColWidth="9.109375" defaultRowHeight="13.2" x14ac:dyDescent="0.25"/>
  <cols>
    <col min="1" max="1" width="23.109375" style="1" customWidth="1"/>
    <col min="2" max="2" width="8.6640625" style="2" customWidth="1"/>
    <col min="3" max="3" width="10.44140625" style="2" customWidth="1"/>
    <col min="4" max="5" width="10.5546875" style="2" customWidth="1"/>
    <col min="6" max="6" width="11.109375" style="2" customWidth="1"/>
    <col min="7" max="7" width="10.5546875" style="6" customWidth="1"/>
    <col min="8" max="8" width="10.5546875" style="2" customWidth="1"/>
    <col min="9" max="9" width="8.44140625" style="2" customWidth="1"/>
    <col min="10" max="10" width="9.6640625" style="2" customWidth="1"/>
    <col min="11" max="11" width="8" style="2" customWidth="1"/>
    <col min="12" max="12" width="8.6640625" style="2" customWidth="1"/>
    <col min="13" max="13" width="9.33203125" style="2" customWidth="1"/>
    <col min="14" max="16384" width="9.109375" style="2"/>
  </cols>
  <sheetData>
    <row r="1" spans="1:13" ht="12.75" customHeight="1" x14ac:dyDescent="0.25">
      <c r="A1" s="2"/>
      <c r="C1" s="611" t="s">
        <v>37</v>
      </c>
      <c r="D1" s="612"/>
      <c r="E1" s="612"/>
      <c r="F1" s="612"/>
      <c r="G1" s="612"/>
      <c r="H1" s="612"/>
      <c r="I1" s="612"/>
      <c r="J1" s="612"/>
      <c r="K1" s="612"/>
    </row>
    <row r="2" spans="1:13" x14ac:dyDescent="0.25">
      <c r="A2" s="2"/>
      <c r="C2" s="612"/>
      <c r="D2" s="612"/>
      <c r="E2" s="612"/>
      <c r="F2" s="612"/>
      <c r="G2" s="612"/>
      <c r="H2" s="612"/>
      <c r="I2" s="612"/>
      <c r="J2" s="612"/>
      <c r="K2" s="612"/>
    </row>
    <row r="3" spans="1:13" s="1" customFormat="1" ht="15.9" customHeight="1" x14ac:dyDescent="0.25">
      <c r="A3" s="49"/>
      <c r="B3" s="49" t="s">
        <v>14</v>
      </c>
      <c r="C3" s="49" t="s">
        <v>15</v>
      </c>
      <c r="D3" s="49" t="s">
        <v>2</v>
      </c>
      <c r="E3" s="49" t="s">
        <v>3</v>
      </c>
      <c r="F3" s="49" t="s">
        <v>4</v>
      </c>
      <c r="G3" s="50" t="s">
        <v>5</v>
      </c>
      <c r="H3" s="49" t="s">
        <v>6</v>
      </c>
      <c r="I3" s="49" t="s">
        <v>7</v>
      </c>
      <c r="J3" s="49" t="s">
        <v>16</v>
      </c>
      <c r="K3" s="49" t="s">
        <v>17</v>
      </c>
      <c r="L3" s="49" t="s">
        <v>18</v>
      </c>
      <c r="M3" s="49" t="s">
        <v>19</v>
      </c>
    </row>
    <row r="4" spans="1:13" ht="15.9" customHeight="1" x14ac:dyDescent="0.25">
      <c r="A4" s="48" t="s">
        <v>33</v>
      </c>
      <c r="B4" s="16">
        <f>C43</f>
        <v>1313</v>
      </c>
      <c r="C4" s="16">
        <f t="shared" ref="C4:K4" si="0">D43</f>
        <v>1219</v>
      </c>
      <c r="D4" s="16">
        <f t="shared" si="0"/>
        <v>1063</v>
      </c>
      <c r="E4" s="16">
        <f t="shared" si="0"/>
        <v>933</v>
      </c>
      <c r="F4" s="16">
        <f t="shared" si="0"/>
        <v>810</v>
      </c>
      <c r="G4" s="16">
        <f t="shared" si="0"/>
        <v>691</v>
      </c>
      <c r="H4" s="16">
        <f t="shared" si="0"/>
        <v>564</v>
      </c>
      <c r="I4" s="16">
        <f t="shared" si="0"/>
        <v>398</v>
      </c>
      <c r="J4" s="16">
        <f t="shared" si="0"/>
        <v>340</v>
      </c>
      <c r="K4" s="16">
        <f t="shared" si="0"/>
        <v>262</v>
      </c>
      <c r="L4" s="16">
        <f>M43</f>
        <v>233</v>
      </c>
      <c r="M4" s="16">
        <f>N43</f>
        <v>223</v>
      </c>
    </row>
    <row r="5" spans="1:13" ht="15.9" customHeight="1" thickBot="1" x14ac:dyDescent="0.3">
      <c r="A5" s="51" t="s">
        <v>34</v>
      </c>
      <c r="B5" s="17">
        <f>B6-B4</f>
        <v>1323</v>
      </c>
      <c r="C5" s="17">
        <f t="shared" ref="C5:J5" si="1">C6-C4</f>
        <v>1417</v>
      </c>
      <c r="D5" s="17">
        <f t="shared" si="1"/>
        <v>1573</v>
      </c>
      <c r="E5" s="17">
        <f t="shared" si="1"/>
        <v>1703</v>
      </c>
      <c r="F5" s="17">
        <f t="shared" si="1"/>
        <v>1826</v>
      </c>
      <c r="G5" s="17">
        <f t="shared" si="1"/>
        <v>1945</v>
      </c>
      <c r="H5" s="17">
        <f t="shared" si="1"/>
        <v>2072</v>
      </c>
      <c r="I5" s="17">
        <f t="shared" si="1"/>
        <v>2238</v>
      </c>
      <c r="J5" s="17">
        <f t="shared" si="1"/>
        <v>2296</v>
      </c>
      <c r="K5" s="17">
        <f>K6-K4</f>
        <v>2374</v>
      </c>
      <c r="L5" s="17">
        <f>L6-L4</f>
        <v>2403</v>
      </c>
      <c r="M5" s="17">
        <f>M6-M4</f>
        <v>2413</v>
      </c>
    </row>
    <row r="6" spans="1:13" s="1" customFormat="1" ht="15.9" customHeight="1" thickTop="1" x14ac:dyDescent="0.25">
      <c r="A6" s="48" t="s">
        <v>9</v>
      </c>
      <c r="B6" s="8">
        <v>2636</v>
      </c>
      <c r="C6" s="8">
        <v>2636</v>
      </c>
      <c r="D6" s="8">
        <v>2636</v>
      </c>
      <c r="E6" s="8">
        <v>2636</v>
      </c>
      <c r="F6" s="8">
        <v>2636</v>
      </c>
      <c r="G6" s="8">
        <v>2636</v>
      </c>
      <c r="H6" s="8">
        <v>2636</v>
      </c>
      <c r="I6" s="8">
        <v>2636</v>
      </c>
      <c r="J6" s="8">
        <v>2636</v>
      </c>
      <c r="K6" s="8">
        <v>2636</v>
      </c>
      <c r="L6" s="8">
        <v>2636</v>
      </c>
      <c r="M6" s="8">
        <v>2636</v>
      </c>
    </row>
    <row r="7" spans="1:13" s="1" customFormat="1" ht="15.9" customHeight="1" x14ac:dyDescent="0.25">
      <c r="A7" s="4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1:13" ht="15.9" customHeight="1" x14ac:dyDescent="0.25">
      <c r="A8" s="48" t="s">
        <v>35</v>
      </c>
      <c r="B8" s="14">
        <f t="shared" ref="B8:H8" si="2">SUM(B4)/B6</f>
        <v>0.49810318664643399</v>
      </c>
      <c r="C8" s="14">
        <f t="shared" si="2"/>
        <v>0.46244309559939301</v>
      </c>
      <c r="D8" s="14">
        <f t="shared" si="2"/>
        <v>0.40326251896813353</v>
      </c>
      <c r="E8" s="14">
        <f t="shared" si="2"/>
        <v>0.35394537177541729</v>
      </c>
      <c r="F8" s="14">
        <f t="shared" si="2"/>
        <v>0.30728376327769347</v>
      </c>
      <c r="G8" s="14">
        <f t="shared" si="2"/>
        <v>0.26213960546282244</v>
      </c>
      <c r="H8" s="14">
        <f t="shared" si="2"/>
        <v>0.21396054628224584</v>
      </c>
      <c r="I8" s="14">
        <f>SUM(I4)/I6</f>
        <v>0.15098634294385432</v>
      </c>
      <c r="J8" s="14">
        <f>SUM(J4)/J6</f>
        <v>0.12898330804248861</v>
      </c>
      <c r="K8" s="14">
        <f>SUM(K4)/K6</f>
        <v>9.9393019726858878E-2</v>
      </c>
      <c r="L8" s="14">
        <f>SUM(L4)/L6</f>
        <v>8.8391502276176023E-2</v>
      </c>
      <c r="M8" s="14">
        <f>SUM(M4)/M6</f>
        <v>8.4597875569044009E-2</v>
      </c>
    </row>
    <row r="9" spans="1:13" ht="15.9" customHeight="1" x14ac:dyDescent="0.25">
      <c r="A9" s="52" t="s">
        <v>36</v>
      </c>
      <c r="B9" s="26">
        <f t="shared" ref="B9:H9" si="3">SUM(B5/B6)</f>
        <v>0.50189681335356606</v>
      </c>
      <c r="C9" s="26">
        <f t="shared" si="3"/>
        <v>0.53755690440060699</v>
      </c>
      <c r="D9" s="26">
        <f t="shared" si="3"/>
        <v>0.59673748103186641</v>
      </c>
      <c r="E9" s="26">
        <f t="shared" si="3"/>
        <v>0.64605462822458271</v>
      </c>
      <c r="F9" s="26">
        <f t="shared" si="3"/>
        <v>0.69271623672230653</v>
      </c>
      <c r="G9" s="26">
        <f t="shared" si="3"/>
        <v>0.73786039453717756</v>
      </c>
      <c r="H9" s="26">
        <f t="shared" si="3"/>
        <v>0.78603945371775419</v>
      </c>
      <c r="I9" s="26">
        <f>SUM(I5/I6)</f>
        <v>0.84901365705614562</v>
      </c>
      <c r="J9" s="26">
        <f>SUM(J5/J6)</f>
        <v>0.87101669195751141</v>
      </c>
      <c r="K9" s="26">
        <f>SUM(K5/K6)</f>
        <v>0.90060698027314112</v>
      </c>
      <c r="L9" s="26">
        <f>SUM(L5/L6)</f>
        <v>0.91160849772382402</v>
      </c>
      <c r="M9" s="26">
        <f>SUM(M5/M6)</f>
        <v>0.91540212443095603</v>
      </c>
    </row>
    <row r="10" spans="1:13" x14ac:dyDescent="0.25">
      <c r="A10" s="3"/>
      <c r="M10" s="20"/>
    </row>
    <row r="11" spans="1:13" x14ac:dyDescent="0.25">
      <c r="A11" s="48"/>
      <c r="M11" s="18"/>
    </row>
    <row r="12" spans="1:13" x14ac:dyDescent="0.25">
      <c r="A12" s="48"/>
      <c r="M12" s="18"/>
    </row>
    <row r="13" spans="1:13" x14ac:dyDescent="0.25">
      <c r="A13" s="48"/>
      <c r="M13" s="18"/>
    </row>
    <row r="15" spans="1:13" x14ac:dyDescent="0.25">
      <c r="G15" s="7"/>
    </row>
    <row r="16" spans="1:13" x14ac:dyDescent="0.25">
      <c r="A16" s="2"/>
      <c r="G16" s="2"/>
    </row>
    <row r="17" spans="1:7" x14ac:dyDescent="0.25">
      <c r="A17" s="2"/>
      <c r="G17" s="2"/>
    </row>
    <row r="18" spans="1:7" x14ac:dyDescent="0.25">
      <c r="A18" s="2"/>
      <c r="G18" s="2"/>
    </row>
    <row r="19" spans="1:7" x14ac:dyDescent="0.25">
      <c r="A19" s="2"/>
      <c r="G19" s="2"/>
    </row>
    <row r="20" spans="1:7" x14ac:dyDescent="0.25">
      <c r="A20" s="2"/>
      <c r="G20" s="2"/>
    </row>
    <row r="21" spans="1:7" x14ac:dyDescent="0.25">
      <c r="A21" s="2"/>
      <c r="G21" s="2"/>
    </row>
    <row r="22" spans="1:7" x14ac:dyDescent="0.25">
      <c r="A22" s="2"/>
      <c r="G22" s="2"/>
    </row>
    <row r="23" spans="1:7" x14ac:dyDescent="0.25">
      <c r="A23" s="2"/>
      <c r="G23" s="2"/>
    </row>
    <row r="24" spans="1:7" x14ac:dyDescent="0.25">
      <c r="A24" s="2"/>
      <c r="G24" s="2"/>
    </row>
    <row r="25" spans="1:7" x14ac:dyDescent="0.25">
      <c r="A25" s="2"/>
      <c r="G25" s="2"/>
    </row>
    <row r="26" spans="1:7" x14ac:dyDescent="0.25">
      <c r="A26" s="2"/>
      <c r="G26" s="2"/>
    </row>
    <row r="27" spans="1:7" x14ac:dyDescent="0.25">
      <c r="A27" s="2"/>
      <c r="G27" s="2"/>
    </row>
    <row r="28" spans="1:7" x14ac:dyDescent="0.25">
      <c r="A28" s="2"/>
      <c r="G28" s="2"/>
    </row>
    <row r="29" spans="1:7" x14ac:dyDescent="0.25">
      <c r="A29" s="2"/>
      <c r="G29" s="2"/>
    </row>
    <row r="30" spans="1:7" x14ac:dyDescent="0.25">
      <c r="A30" s="2"/>
      <c r="G30" s="2"/>
    </row>
    <row r="31" spans="1:7" x14ac:dyDescent="0.25">
      <c r="A31" s="2"/>
      <c r="G31" s="2"/>
    </row>
    <row r="32" spans="1:7" x14ac:dyDescent="0.25">
      <c r="A32" s="2"/>
      <c r="G32" s="2"/>
    </row>
    <row r="33" spans="1:14" x14ac:dyDescent="0.25">
      <c r="A33" s="2"/>
      <c r="G33" s="2"/>
    </row>
    <row r="34" spans="1:14" x14ac:dyDescent="0.25">
      <c r="A34" s="2"/>
      <c r="G34" s="2"/>
    </row>
    <row r="35" spans="1:14" x14ac:dyDescent="0.25">
      <c r="A35" s="2"/>
      <c r="G35" s="2"/>
    </row>
    <row r="36" spans="1:14" x14ac:dyDescent="0.25">
      <c r="A36" s="2"/>
      <c r="B36" s="2" t="s">
        <v>47</v>
      </c>
      <c r="C36" s="2" t="s">
        <v>14</v>
      </c>
      <c r="D36" s="2" t="s">
        <v>15</v>
      </c>
      <c r="E36" s="2" t="s">
        <v>26</v>
      </c>
      <c r="F36" s="2" t="s">
        <v>27</v>
      </c>
      <c r="G36" s="2" t="s">
        <v>4</v>
      </c>
      <c r="H36" s="2" t="s">
        <v>28</v>
      </c>
      <c r="I36" s="2" t="s">
        <v>29</v>
      </c>
      <c r="J36" s="2" t="s">
        <v>43</v>
      </c>
      <c r="K36" s="2" t="s">
        <v>44</v>
      </c>
      <c r="L36" s="2" t="s">
        <v>17</v>
      </c>
      <c r="M36" s="2" t="s">
        <v>18</v>
      </c>
      <c r="N36" s="2" t="s">
        <v>19</v>
      </c>
    </row>
    <row r="37" spans="1:14" x14ac:dyDescent="0.25">
      <c r="A37" s="274" t="s">
        <v>86</v>
      </c>
      <c r="B37" s="2">
        <v>1175</v>
      </c>
      <c r="C37" s="2">
        <v>456</v>
      </c>
      <c r="D37" s="2">
        <v>443</v>
      </c>
      <c r="E37" s="2">
        <v>395</v>
      </c>
      <c r="F37" s="2">
        <v>333</v>
      </c>
      <c r="G37" s="2">
        <v>284</v>
      </c>
      <c r="H37" s="2">
        <v>220</v>
      </c>
      <c r="I37" s="2">
        <v>185</v>
      </c>
      <c r="J37" s="2">
        <v>142</v>
      </c>
      <c r="K37" s="2">
        <v>117</v>
      </c>
      <c r="L37" s="2">
        <v>82</v>
      </c>
      <c r="M37" s="2">
        <v>71</v>
      </c>
      <c r="N37" s="2">
        <v>69</v>
      </c>
    </row>
    <row r="38" spans="1:14" x14ac:dyDescent="0.25">
      <c r="A38" s="2" t="s">
        <v>46</v>
      </c>
      <c r="B38" s="2">
        <v>1053</v>
      </c>
      <c r="C38" s="2">
        <v>641</v>
      </c>
      <c r="D38" s="2">
        <v>580</v>
      </c>
      <c r="E38" s="2">
        <v>490</v>
      </c>
      <c r="F38" s="2">
        <v>423</v>
      </c>
      <c r="G38" s="2">
        <v>368</v>
      </c>
      <c r="H38" s="2">
        <v>318</v>
      </c>
      <c r="I38" s="2">
        <v>235</v>
      </c>
      <c r="J38" s="2">
        <v>176</v>
      </c>
      <c r="K38" s="2">
        <v>145</v>
      </c>
      <c r="L38" s="2">
        <v>125</v>
      </c>
      <c r="M38" s="2">
        <v>113</v>
      </c>
      <c r="N38" s="2">
        <v>105</v>
      </c>
    </row>
    <row r="39" spans="1:14" x14ac:dyDescent="0.25">
      <c r="A39" s="274" t="s">
        <v>74</v>
      </c>
      <c r="B39" s="2">
        <v>254</v>
      </c>
      <c r="C39" s="2">
        <v>146</v>
      </c>
      <c r="D39" s="2">
        <v>126</v>
      </c>
      <c r="E39" s="2">
        <v>110</v>
      </c>
      <c r="F39" s="2">
        <v>109</v>
      </c>
      <c r="G39" s="2">
        <v>107</v>
      </c>
      <c r="H39" s="2">
        <v>105</v>
      </c>
      <c r="I39" s="2">
        <v>99</v>
      </c>
      <c r="J39" s="2">
        <v>53</v>
      </c>
      <c r="K39" s="2">
        <v>52</v>
      </c>
      <c r="L39" s="2">
        <v>35</v>
      </c>
      <c r="M39" s="2">
        <v>32</v>
      </c>
      <c r="N39" s="2">
        <v>32</v>
      </c>
    </row>
    <row r="40" spans="1:14" x14ac:dyDescent="0.25">
      <c r="A40" s="274" t="s">
        <v>75</v>
      </c>
      <c r="B40" s="2">
        <v>86</v>
      </c>
      <c r="C40" s="2">
        <v>66</v>
      </c>
      <c r="D40" s="2">
        <v>64</v>
      </c>
      <c r="E40" s="2">
        <v>60</v>
      </c>
      <c r="F40" s="2">
        <v>60</v>
      </c>
      <c r="G40" s="2">
        <v>46</v>
      </c>
      <c r="H40" s="2">
        <v>44</v>
      </c>
      <c r="I40" s="2">
        <v>41</v>
      </c>
      <c r="J40" s="2">
        <v>24</v>
      </c>
      <c r="K40" s="2">
        <v>23</v>
      </c>
      <c r="L40" s="2">
        <v>19</v>
      </c>
      <c r="M40" s="2">
        <v>17</v>
      </c>
      <c r="N40" s="2">
        <v>17</v>
      </c>
    </row>
    <row r="41" spans="1:14" x14ac:dyDescent="0.25">
      <c r="A41" s="2" t="s">
        <v>0</v>
      </c>
      <c r="B41" s="2">
        <v>55</v>
      </c>
      <c r="C41" s="2">
        <v>1</v>
      </c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</row>
    <row r="42" spans="1:14" x14ac:dyDescent="0.25">
      <c r="A42" s="2" t="s">
        <v>48</v>
      </c>
      <c r="B42" s="2">
        <v>13</v>
      </c>
      <c r="C42" s="2">
        <v>3</v>
      </c>
      <c r="D42" s="2">
        <v>5</v>
      </c>
      <c r="E42" s="2">
        <v>7</v>
      </c>
      <c r="F42" s="2">
        <v>7</v>
      </c>
      <c r="G42" s="2">
        <v>4</v>
      </c>
      <c r="H42" s="2">
        <v>3</v>
      </c>
      <c r="I42" s="2">
        <v>3</v>
      </c>
      <c r="J42" s="2">
        <v>3</v>
      </c>
      <c r="K42" s="2">
        <v>3</v>
      </c>
      <c r="L42" s="2">
        <v>1</v>
      </c>
      <c r="M42" s="2">
        <v>0</v>
      </c>
      <c r="N42" s="2">
        <v>0</v>
      </c>
    </row>
    <row r="43" spans="1:14" s="53" customFormat="1" x14ac:dyDescent="0.25">
      <c r="A43" s="53" t="s">
        <v>47</v>
      </c>
      <c r="B43" s="53">
        <f>SUM(B37:B42)</f>
        <v>2636</v>
      </c>
      <c r="C43" s="53">
        <f t="shared" ref="C43:K43" si="4">SUM(C37:C42)</f>
        <v>1313</v>
      </c>
      <c r="D43" s="53">
        <f t="shared" si="4"/>
        <v>1219</v>
      </c>
      <c r="E43" s="53">
        <f t="shared" si="4"/>
        <v>1063</v>
      </c>
      <c r="F43" s="53">
        <f t="shared" si="4"/>
        <v>933</v>
      </c>
      <c r="G43" s="53">
        <f t="shared" si="4"/>
        <v>810</v>
      </c>
      <c r="H43" s="53">
        <f t="shared" si="4"/>
        <v>691</v>
      </c>
      <c r="I43" s="53">
        <f t="shared" si="4"/>
        <v>564</v>
      </c>
      <c r="J43" s="53">
        <f t="shared" si="4"/>
        <v>398</v>
      </c>
      <c r="K43" s="53">
        <f t="shared" si="4"/>
        <v>340</v>
      </c>
      <c r="L43" s="53">
        <f>SUM(L37:L42)</f>
        <v>262</v>
      </c>
      <c r="M43" s="53">
        <f>SUM(M37:M42)</f>
        <v>233</v>
      </c>
      <c r="N43" s="53">
        <f>SUM(N37:N42)</f>
        <v>223</v>
      </c>
    </row>
    <row r="44" spans="1:14" x14ac:dyDescent="0.25">
      <c r="A44" s="2"/>
      <c r="G44" s="2"/>
    </row>
    <row r="45" spans="1:14" x14ac:dyDescent="0.25">
      <c r="A45" s="2"/>
      <c r="G45" s="2"/>
    </row>
    <row r="46" spans="1:14" x14ac:dyDescent="0.25">
      <c r="A46" s="2"/>
      <c r="G46" s="2"/>
    </row>
    <row r="47" spans="1:14" x14ac:dyDescent="0.25">
      <c r="A47" s="2"/>
      <c r="G47" s="2"/>
    </row>
    <row r="48" spans="1:14" x14ac:dyDescent="0.25">
      <c r="A48" s="2"/>
      <c r="G48" s="2"/>
    </row>
    <row r="49" spans="1:7" x14ac:dyDescent="0.25">
      <c r="A49" s="2"/>
      <c r="G49" s="2"/>
    </row>
    <row r="50" spans="1:7" x14ac:dyDescent="0.25">
      <c r="A50" s="2"/>
      <c r="G50" s="2"/>
    </row>
    <row r="51" spans="1:7" x14ac:dyDescent="0.25">
      <c r="A51" s="2"/>
      <c r="G51" s="2"/>
    </row>
    <row r="52" spans="1:7" x14ac:dyDescent="0.25">
      <c r="A52" s="2"/>
      <c r="G52" s="2"/>
    </row>
    <row r="53" spans="1:7" x14ac:dyDescent="0.25">
      <c r="A53" s="2"/>
      <c r="G53" s="2"/>
    </row>
    <row r="54" spans="1:7" x14ac:dyDescent="0.25">
      <c r="A54" s="2"/>
      <c r="G54" s="2"/>
    </row>
    <row r="55" spans="1:7" x14ac:dyDescent="0.25">
      <c r="A55" s="2"/>
      <c r="G55" s="2"/>
    </row>
    <row r="56" spans="1:7" x14ac:dyDescent="0.25">
      <c r="A56" s="2"/>
      <c r="G56" s="2"/>
    </row>
    <row r="57" spans="1:7" x14ac:dyDescent="0.25">
      <c r="A57" s="2"/>
      <c r="G57" s="2"/>
    </row>
    <row r="58" spans="1:7" x14ac:dyDescent="0.25">
      <c r="A58" s="2"/>
      <c r="G58" s="2"/>
    </row>
    <row r="59" spans="1:7" x14ac:dyDescent="0.25">
      <c r="A59" s="2"/>
      <c r="G59" s="2"/>
    </row>
    <row r="60" spans="1:7" x14ac:dyDescent="0.25">
      <c r="A60" s="2"/>
      <c r="G60" s="2"/>
    </row>
    <row r="61" spans="1:7" x14ac:dyDescent="0.25">
      <c r="A61" s="2"/>
      <c r="G61" s="2"/>
    </row>
    <row r="62" spans="1:7" x14ac:dyDescent="0.25">
      <c r="A62" s="2"/>
      <c r="G62" s="2"/>
    </row>
    <row r="63" spans="1:7" x14ac:dyDescent="0.25">
      <c r="A63" s="2"/>
      <c r="G63" s="2"/>
    </row>
    <row r="64" spans="1:7" x14ac:dyDescent="0.25">
      <c r="A64" s="2"/>
      <c r="G64" s="2"/>
    </row>
    <row r="65" spans="1:7" x14ac:dyDescent="0.25">
      <c r="A65" s="2"/>
      <c r="G65" s="2"/>
    </row>
    <row r="66" spans="1:7" x14ac:dyDescent="0.25">
      <c r="A66" s="2"/>
      <c r="G66" s="2"/>
    </row>
    <row r="67" spans="1:7" x14ac:dyDescent="0.25">
      <c r="A67" s="2"/>
      <c r="G67" s="2"/>
    </row>
    <row r="68" spans="1:7" x14ac:dyDescent="0.25">
      <c r="A68" s="2"/>
      <c r="G68" s="2"/>
    </row>
    <row r="69" spans="1:7" x14ac:dyDescent="0.25">
      <c r="A69" s="2"/>
      <c r="G69" s="2"/>
    </row>
    <row r="70" spans="1:7" x14ac:dyDescent="0.25">
      <c r="A70" s="2"/>
      <c r="G70" s="2"/>
    </row>
    <row r="71" spans="1:7" x14ac:dyDescent="0.25">
      <c r="A71" s="2"/>
      <c r="G71" s="2"/>
    </row>
    <row r="72" spans="1:7" x14ac:dyDescent="0.25">
      <c r="A72" s="2"/>
      <c r="G72" s="2"/>
    </row>
    <row r="73" spans="1:7" x14ac:dyDescent="0.25">
      <c r="A73" s="2"/>
      <c r="G73" s="2"/>
    </row>
    <row r="74" spans="1:7" x14ac:dyDescent="0.25">
      <c r="A74" s="2"/>
      <c r="G74" s="2"/>
    </row>
    <row r="75" spans="1:7" x14ac:dyDescent="0.25">
      <c r="A75" s="2"/>
      <c r="G75" s="2"/>
    </row>
    <row r="76" spans="1:7" x14ac:dyDescent="0.25">
      <c r="A76" s="2"/>
      <c r="G76" s="2"/>
    </row>
    <row r="77" spans="1:7" x14ac:dyDescent="0.25">
      <c r="A77" s="2"/>
      <c r="G77" s="2"/>
    </row>
    <row r="78" spans="1:7" x14ac:dyDescent="0.25">
      <c r="A78" s="2"/>
      <c r="G78" s="2"/>
    </row>
    <row r="79" spans="1:7" x14ac:dyDescent="0.25">
      <c r="A79" s="2"/>
      <c r="G79" s="2"/>
    </row>
    <row r="80" spans="1:7" x14ac:dyDescent="0.25">
      <c r="A80" s="2"/>
      <c r="G80" s="2"/>
    </row>
    <row r="81" spans="1:7" x14ac:dyDescent="0.25">
      <c r="A81" s="2"/>
      <c r="G81" s="2"/>
    </row>
    <row r="82" spans="1:7" x14ac:dyDescent="0.25">
      <c r="A82" s="2"/>
      <c r="G82" s="2"/>
    </row>
    <row r="83" spans="1:7" x14ac:dyDescent="0.25">
      <c r="A83" s="2"/>
      <c r="G83" s="2"/>
    </row>
    <row r="84" spans="1:7" x14ac:dyDescent="0.25">
      <c r="A84" s="2"/>
      <c r="G84" s="2"/>
    </row>
    <row r="85" spans="1:7" x14ac:dyDescent="0.25">
      <c r="A85" s="2"/>
      <c r="G85" s="2"/>
    </row>
    <row r="86" spans="1:7" x14ac:dyDescent="0.25">
      <c r="A86" s="2"/>
      <c r="G86" s="2"/>
    </row>
    <row r="87" spans="1:7" x14ac:dyDescent="0.25">
      <c r="A87" s="2"/>
      <c r="G87" s="2"/>
    </row>
    <row r="88" spans="1:7" x14ac:dyDescent="0.25">
      <c r="A88" s="2"/>
      <c r="G88" s="2"/>
    </row>
    <row r="89" spans="1:7" x14ac:dyDescent="0.25">
      <c r="A89" s="2"/>
      <c r="G89" s="2"/>
    </row>
    <row r="90" spans="1:7" x14ac:dyDescent="0.25">
      <c r="A90" s="2"/>
      <c r="G90" s="2"/>
    </row>
    <row r="91" spans="1:7" x14ac:dyDescent="0.25">
      <c r="A91" s="2"/>
      <c r="G91" s="2"/>
    </row>
    <row r="92" spans="1:7" x14ac:dyDescent="0.25">
      <c r="A92" s="2"/>
      <c r="G92" s="2"/>
    </row>
    <row r="93" spans="1:7" x14ac:dyDescent="0.25">
      <c r="A93" s="2"/>
      <c r="G93" s="2"/>
    </row>
    <row r="94" spans="1:7" x14ac:dyDescent="0.25">
      <c r="A94" s="2"/>
      <c r="G94" s="2"/>
    </row>
    <row r="95" spans="1:7" x14ac:dyDescent="0.25">
      <c r="A95" s="2"/>
      <c r="G95" s="2"/>
    </row>
    <row r="96" spans="1:7" x14ac:dyDescent="0.25">
      <c r="A96" s="2"/>
      <c r="G96" s="2"/>
    </row>
    <row r="97" spans="1:7" x14ac:dyDescent="0.25">
      <c r="A97" s="2"/>
      <c r="G97" s="2"/>
    </row>
    <row r="98" spans="1:7" x14ac:dyDescent="0.25">
      <c r="A98" s="2"/>
      <c r="G98" s="2"/>
    </row>
    <row r="99" spans="1:7" x14ac:dyDescent="0.25">
      <c r="A99" s="2"/>
      <c r="G99" s="2"/>
    </row>
    <row r="100" spans="1:7" x14ac:dyDescent="0.25">
      <c r="A100" s="2"/>
      <c r="G100" s="2"/>
    </row>
    <row r="101" spans="1:7" x14ac:dyDescent="0.25">
      <c r="A101" s="2"/>
      <c r="G101" s="2"/>
    </row>
    <row r="102" spans="1:7" x14ac:dyDescent="0.25">
      <c r="A102" s="2"/>
      <c r="G102" s="2"/>
    </row>
    <row r="103" spans="1:7" x14ac:dyDescent="0.25">
      <c r="A103" s="2"/>
      <c r="G103" s="2"/>
    </row>
    <row r="104" spans="1:7" x14ac:dyDescent="0.25">
      <c r="A104" s="2"/>
      <c r="G104" s="2"/>
    </row>
    <row r="105" spans="1:7" x14ac:dyDescent="0.25">
      <c r="A105" s="2"/>
      <c r="G105" s="2"/>
    </row>
    <row r="106" spans="1:7" x14ac:dyDescent="0.25">
      <c r="A106" s="2"/>
      <c r="G106" s="2"/>
    </row>
    <row r="107" spans="1:7" x14ac:dyDescent="0.25">
      <c r="A107" s="2"/>
      <c r="G107" s="2"/>
    </row>
    <row r="108" spans="1:7" x14ac:dyDescent="0.25">
      <c r="A108" s="2"/>
      <c r="G108" s="2"/>
    </row>
    <row r="109" spans="1:7" x14ac:dyDescent="0.25">
      <c r="A109" s="2"/>
      <c r="G109" s="2"/>
    </row>
    <row r="110" spans="1:7" x14ac:dyDescent="0.25">
      <c r="A110" s="2"/>
      <c r="G110" s="2"/>
    </row>
    <row r="111" spans="1:7" x14ac:dyDescent="0.25">
      <c r="A111" s="2"/>
      <c r="G111" s="2"/>
    </row>
    <row r="112" spans="1:7" x14ac:dyDescent="0.25">
      <c r="A112" s="2"/>
      <c r="G112" s="2"/>
    </row>
    <row r="113" spans="1:7" x14ac:dyDescent="0.25">
      <c r="A113" s="2"/>
      <c r="G113" s="2"/>
    </row>
    <row r="114" spans="1:7" x14ac:dyDescent="0.25">
      <c r="A114" s="2"/>
      <c r="G114" s="2"/>
    </row>
    <row r="115" spans="1:7" x14ac:dyDescent="0.25">
      <c r="A115" s="2"/>
      <c r="G115" s="2"/>
    </row>
    <row r="116" spans="1:7" x14ac:dyDescent="0.25">
      <c r="A116" s="2"/>
      <c r="G116" s="2"/>
    </row>
    <row r="117" spans="1:7" x14ac:dyDescent="0.25">
      <c r="A117" s="2"/>
      <c r="G117" s="2"/>
    </row>
    <row r="118" spans="1:7" x14ac:dyDescent="0.25">
      <c r="A118" s="2"/>
      <c r="G118" s="2"/>
    </row>
    <row r="119" spans="1:7" x14ac:dyDescent="0.25">
      <c r="A119" s="2"/>
      <c r="G119" s="2"/>
    </row>
    <row r="120" spans="1:7" x14ac:dyDescent="0.25">
      <c r="A120" s="2"/>
      <c r="G120" s="2"/>
    </row>
    <row r="121" spans="1:7" x14ac:dyDescent="0.25">
      <c r="A121" s="2"/>
      <c r="G121" s="2"/>
    </row>
    <row r="122" spans="1:7" x14ac:dyDescent="0.25">
      <c r="A122" s="2"/>
      <c r="G122" s="2"/>
    </row>
    <row r="123" spans="1:7" x14ac:dyDescent="0.25">
      <c r="A123" s="2"/>
      <c r="G123" s="2"/>
    </row>
    <row r="124" spans="1:7" x14ac:dyDescent="0.25">
      <c r="A124" s="2"/>
      <c r="G124" s="2"/>
    </row>
    <row r="125" spans="1:7" x14ac:dyDescent="0.25">
      <c r="A125" s="2"/>
      <c r="G125" s="2"/>
    </row>
    <row r="126" spans="1:7" x14ac:dyDescent="0.25">
      <c r="A126" s="2"/>
      <c r="G126" s="2"/>
    </row>
    <row r="127" spans="1:7" x14ac:dyDescent="0.25">
      <c r="A127" s="2"/>
      <c r="G127" s="2"/>
    </row>
    <row r="128" spans="1:7" x14ac:dyDescent="0.25">
      <c r="A128" s="2"/>
      <c r="G128" s="2"/>
    </row>
    <row r="129" spans="1:7" x14ac:dyDescent="0.25">
      <c r="A129" s="2"/>
      <c r="G129" s="2"/>
    </row>
    <row r="130" spans="1:7" x14ac:dyDescent="0.25">
      <c r="A130" s="2"/>
      <c r="G130" s="2"/>
    </row>
    <row r="131" spans="1:7" x14ac:dyDescent="0.25">
      <c r="A131" s="2"/>
      <c r="G131" s="2"/>
    </row>
    <row r="132" spans="1:7" x14ac:dyDescent="0.25">
      <c r="A132" s="2"/>
      <c r="G132" s="2"/>
    </row>
    <row r="133" spans="1:7" x14ac:dyDescent="0.25">
      <c r="A133" s="2"/>
      <c r="G133" s="2"/>
    </row>
    <row r="134" spans="1:7" x14ac:dyDescent="0.25">
      <c r="A134" s="2"/>
      <c r="G134" s="2"/>
    </row>
    <row r="135" spans="1:7" x14ac:dyDescent="0.25">
      <c r="A135" s="2"/>
      <c r="G135" s="2"/>
    </row>
    <row r="136" spans="1:7" x14ac:dyDescent="0.25">
      <c r="A136" s="2"/>
      <c r="G136" s="2"/>
    </row>
    <row r="137" spans="1:7" x14ac:dyDescent="0.25">
      <c r="A137" s="2"/>
      <c r="G137" s="2"/>
    </row>
    <row r="138" spans="1:7" x14ac:dyDescent="0.25">
      <c r="A138" s="2"/>
      <c r="G138" s="2"/>
    </row>
    <row r="139" spans="1:7" x14ac:dyDescent="0.25">
      <c r="A139" s="2"/>
      <c r="G139" s="2"/>
    </row>
    <row r="140" spans="1:7" x14ac:dyDescent="0.25">
      <c r="A140" s="2"/>
      <c r="G140" s="2"/>
    </row>
    <row r="141" spans="1:7" x14ac:dyDescent="0.25">
      <c r="A141" s="2"/>
      <c r="G141" s="2"/>
    </row>
    <row r="142" spans="1:7" x14ac:dyDescent="0.25">
      <c r="A142" s="2"/>
      <c r="G142" s="2"/>
    </row>
    <row r="143" spans="1:7" x14ac:dyDescent="0.25">
      <c r="A143" s="2"/>
      <c r="G143" s="2"/>
    </row>
    <row r="144" spans="1:7" x14ac:dyDescent="0.25">
      <c r="A144" s="2"/>
      <c r="G144" s="2"/>
    </row>
    <row r="145" spans="1:7" x14ac:dyDescent="0.25">
      <c r="A145" s="2"/>
      <c r="G145" s="2"/>
    </row>
    <row r="146" spans="1:7" x14ac:dyDescent="0.25">
      <c r="A146" s="2"/>
      <c r="G146" s="2"/>
    </row>
    <row r="147" spans="1:7" x14ac:dyDescent="0.25">
      <c r="A147" s="2"/>
      <c r="G147" s="2"/>
    </row>
    <row r="148" spans="1:7" x14ac:dyDescent="0.25">
      <c r="A148" s="2"/>
      <c r="G148" s="2"/>
    </row>
    <row r="149" spans="1:7" x14ac:dyDescent="0.25">
      <c r="A149" s="2"/>
      <c r="G149" s="2"/>
    </row>
    <row r="150" spans="1:7" x14ac:dyDescent="0.25">
      <c r="A150" s="2"/>
      <c r="G150" s="2"/>
    </row>
    <row r="151" spans="1:7" x14ac:dyDescent="0.25">
      <c r="A151" s="2"/>
      <c r="G151" s="2"/>
    </row>
    <row r="152" spans="1:7" x14ac:dyDescent="0.25">
      <c r="A152" s="2"/>
      <c r="G152" s="2"/>
    </row>
    <row r="153" spans="1:7" x14ac:dyDescent="0.25">
      <c r="A153" s="2"/>
      <c r="G153" s="2"/>
    </row>
    <row r="154" spans="1:7" x14ac:dyDescent="0.25">
      <c r="A154" s="2"/>
      <c r="G154" s="2"/>
    </row>
    <row r="155" spans="1:7" x14ac:dyDescent="0.25">
      <c r="A155" s="2"/>
      <c r="G155" s="2"/>
    </row>
    <row r="156" spans="1:7" x14ac:dyDescent="0.25">
      <c r="A156" s="2"/>
      <c r="G156" s="2"/>
    </row>
    <row r="157" spans="1:7" x14ac:dyDescent="0.25">
      <c r="A157" s="2"/>
      <c r="G157" s="2"/>
    </row>
    <row r="158" spans="1:7" x14ac:dyDescent="0.25">
      <c r="A158" s="2"/>
      <c r="G158" s="2"/>
    </row>
    <row r="159" spans="1:7" x14ac:dyDescent="0.25">
      <c r="A159" s="2"/>
      <c r="G159" s="2"/>
    </row>
    <row r="160" spans="1:7" x14ac:dyDescent="0.25">
      <c r="A160" s="2"/>
      <c r="G160" s="2"/>
    </row>
    <row r="161" spans="1:7" x14ac:dyDescent="0.25">
      <c r="A161" s="2"/>
      <c r="G161" s="2"/>
    </row>
    <row r="162" spans="1:7" x14ac:dyDescent="0.25">
      <c r="A162" s="2"/>
      <c r="G162" s="2"/>
    </row>
    <row r="163" spans="1:7" x14ac:dyDescent="0.25">
      <c r="A163" s="2"/>
      <c r="G163" s="2"/>
    </row>
    <row r="164" spans="1:7" x14ac:dyDescent="0.25">
      <c r="A164" s="2"/>
      <c r="G164" s="2"/>
    </row>
  </sheetData>
  <mergeCells count="1">
    <mergeCell ref="C1:K2"/>
  </mergeCells>
  <phoneticPr fontId="7" type="noConversion"/>
  <printOptions horizontalCentered="1"/>
  <pageMargins left="0.75" right="0.75" top="1" bottom="1" header="0.5" footer="0.5"/>
  <pageSetup scale="6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20"/>
  <sheetViews>
    <sheetView topLeftCell="A7" workbookViewId="0">
      <selection activeCell="J35" sqref="J35"/>
    </sheetView>
  </sheetViews>
  <sheetFormatPr defaultColWidth="9.109375" defaultRowHeight="13.2" x14ac:dyDescent="0.25"/>
  <cols>
    <col min="1" max="1" width="12.5546875" style="2" customWidth="1"/>
    <col min="2" max="16384" width="9.109375" style="2"/>
  </cols>
  <sheetData>
    <row r="1" spans="1:12" ht="15.6" x14ac:dyDescent="0.3">
      <c r="A1" s="609" t="s">
        <v>38</v>
      </c>
      <c r="B1" s="610"/>
      <c r="C1" s="610"/>
      <c r="D1" s="610"/>
      <c r="E1" s="610"/>
      <c r="F1" s="610"/>
      <c r="G1" s="610"/>
      <c r="H1" s="610"/>
    </row>
    <row r="2" spans="1:12" ht="15.6" x14ac:dyDescent="0.3">
      <c r="D2" s="43"/>
      <c r="E2" s="43"/>
      <c r="F2" s="43"/>
    </row>
    <row r="4" spans="1:12" x14ac:dyDescent="0.25">
      <c r="B4" s="2" t="s">
        <v>14</v>
      </c>
      <c r="C4" s="2" t="s">
        <v>15</v>
      </c>
      <c r="D4" s="2" t="s">
        <v>26</v>
      </c>
      <c r="E4" s="2" t="s">
        <v>27</v>
      </c>
      <c r="F4" s="2" t="s">
        <v>4</v>
      </c>
      <c r="G4" s="2" t="s">
        <v>28</v>
      </c>
      <c r="H4" s="2" t="s">
        <v>29</v>
      </c>
      <c r="I4" s="2" t="s">
        <v>43</v>
      </c>
      <c r="J4" s="2" t="s">
        <v>44</v>
      </c>
    </row>
    <row r="5" spans="1:12" x14ac:dyDescent="0.25">
      <c r="A5" s="44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</row>
    <row r="6" spans="1:12" x14ac:dyDescent="0.25">
      <c r="A6" s="44" t="s">
        <v>59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</row>
    <row r="7" spans="1:12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</row>
    <row r="8" spans="1:12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</row>
    <row r="9" spans="1:12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</row>
    <row r="10" spans="1:12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</row>
    <row r="16" spans="1:12" x14ac:dyDescent="0.25">
      <c r="F16" s="45"/>
      <c r="G16" s="45"/>
      <c r="H16" s="45"/>
      <c r="I16" s="45"/>
      <c r="J16" s="45"/>
      <c r="K16" s="45"/>
      <c r="L16" s="45"/>
    </row>
    <row r="17" spans="6:12" x14ac:dyDescent="0.25">
      <c r="F17" s="45"/>
      <c r="G17" s="45"/>
      <c r="H17" s="45"/>
      <c r="I17" s="45"/>
      <c r="J17" s="45"/>
      <c r="K17" s="45"/>
      <c r="L17" s="45"/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FS13"/>
  <sheetViews>
    <sheetView topLeftCell="EY1" workbookViewId="0">
      <selection activeCell="FG18" sqref="FG18:FG19"/>
    </sheetView>
  </sheetViews>
  <sheetFormatPr defaultColWidth="9.109375" defaultRowHeight="13.2" x14ac:dyDescent="0.25"/>
  <cols>
    <col min="1" max="1" width="27.33203125" style="2" customWidth="1"/>
    <col min="2" max="2" width="11.33203125" style="2" bestFit="1" customWidth="1"/>
    <col min="3" max="16384" width="9.109375" style="2"/>
  </cols>
  <sheetData>
    <row r="1" spans="1:175" ht="17.399999999999999" x14ac:dyDescent="0.3">
      <c r="A1" s="607" t="s">
        <v>41</v>
      </c>
      <c r="B1" s="607"/>
      <c r="C1" s="607"/>
      <c r="D1" s="607"/>
      <c r="E1" s="607"/>
      <c r="F1" s="607"/>
      <c r="G1" s="607"/>
      <c r="H1" s="607"/>
    </row>
    <row r="4" spans="1:175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</row>
    <row r="5" spans="1:175" x14ac:dyDescent="0.25">
      <c r="A5" s="251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  <c r="K5" s="45">
        <f>TOTAL!L12</f>
        <v>6.8420174588889326E-2</v>
      </c>
      <c r="L5" s="45">
        <f>TOTAL!M12</f>
        <v>7.057387037429029E-2</v>
      </c>
      <c r="M5" s="45">
        <f>TOTAL!N12</f>
        <v>7.3527907559583605E-2</v>
      </c>
      <c r="N5" s="45">
        <f>TOTAL!O12</f>
        <v>7.5918239780730687E-2</v>
      </c>
      <c r="O5" s="45">
        <f>TOTAL!P12</f>
        <v>7.977102764370482E-2</v>
      </c>
      <c r="P5" s="45">
        <f>TOTAL!Q12</f>
        <v>8.3990329868356889E-2</v>
      </c>
      <c r="Q5" s="45">
        <f>TOTAL!R12</f>
        <v>8.9903951569506368E-2</v>
      </c>
      <c r="R5" s="45">
        <f>TOTAL!S12</f>
        <v>9.4465475228821524E-2</v>
      </c>
      <c r="S5" s="45">
        <f>TOTAL!T12</f>
        <v>0.10001272689123324</v>
      </c>
      <c r="T5" s="45">
        <f>TOTAL!U12</f>
        <v>0.10644414789884436</v>
      </c>
      <c r="U5" s="45">
        <f>TOTAL!V12</f>
        <v>0.11268161336764569</v>
      </c>
      <c r="V5" s="45">
        <f>TOTAL!W12</f>
        <v>0.12088760324501407</v>
      </c>
      <c r="W5" s="45">
        <f>TOTAL!X12</f>
        <v>0.12978949386366098</v>
      </c>
      <c r="X5" s="45">
        <f>TOTAL!Y12</f>
        <v>0.13466991991491462</v>
      </c>
      <c r="Y5" s="45">
        <f>TOTAL!Z12</f>
        <v>0.14075199745814526</v>
      </c>
      <c r="Z5" s="45">
        <f>TOTAL!AA12</f>
        <v>0.14259505928936425</v>
      </c>
      <c r="AA5" s="45">
        <f>TOTAL!AB12</f>
        <v>0.14425340627772734</v>
      </c>
      <c r="AB5" s="45">
        <f>TOTAL!AC12</f>
        <v>0.14798693487172176</v>
      </c>
      <c r="AC5" s="45">
        <f>TOTAL!AD12</f>
        <v>0.1502213025325522</v>
      </c>
      <c r="AD5" s="45">
        <f>TOTAL!AE12</f>
        <v>0.15373096865656191</v>
      </c>
      <c r="AE5" s="45">
        <f>TOTAL!AF12</f>
        <v>0.15904818049975072</v>
      </c>
      <c r="AF5" s="45">
        <f>TOTAL!AG12</f>
        <v>0.16524058654716814</v>
      </c>
      <c r="AG5" s="45">
        <f>TOTAL!AH12</f>
        <v>0.17280799242394596</v>
      </c>
      <c r="AH5" s="45">
        <f>TOTAL!AI12</f>
        <v>0.18025774117782689</v>
      </c>
      <c r="AI5" s="45">
        <f>TOTAL!AJ12</f>
        <v>0.18717591937270253</v>
      </c>
      <c r="AJ5" s="45">
        <f>TOTAL!AK12</f>
        <v>0.19338298680926477</v>
      </c>
      <c r="AK5" s="45">
        <f>TOTAL!AL12</f>
        <v>0.19919054197588287</v>
      </c>
      <c r="AL5" s="45">
        <f>TOTAL!AM12</f>
        <v>0.20485300075745566</v>
      </c>
      <c r="AM5" s="45">
        <f>TOTAL!AN12</f>
        <v>0.20992843492920774</v>
      </c>
      <c r="AN5" s="45">
        <f>TOTAL!AO12</f>
        <v>0.21617905903898774</v>
      </c>
      <c r="AO5" s="45">
        <f>TOTAL!AP12</f>
        <v>0.22193760716397948</v>
      </c>
      <c r="AP5" s="45">
        <f>TOTAL!AQ12</f>
        <v>0.22954656385322109</v>
      </c>
      <c r="AQ5" s="45">
        <f>TOTAL!AR12</f>
        <v>0.23865597988809803</v>
      </c>
      <c r="AR5" s="45">
        <f>TOTAL!AS12</f>
        <v>0.24747425217978428</v>
      </c>
      <c r="AS5" s="45">
        <f>TOTAL!AT12</f>
        <v>0.2573130833153775</v>
      </c>
      <c r="AT5" s="45">
        <f>TOTAL!AU12</f>
        <v>0.26713394963856324</v>
      </c>
      <c r="AU5" s="45">
        <f>TOTAL!AV12</f>
        <v>0.27524946564756037</v>
      </c>
      <c r="AV5" s="45">
        <f>TOTAL!AW12</f>
        <v>0.28152783673317355</v>
      </c>
      <c r="AW5" s="45">
        <f>TOTAL!AX12</f>
        <v>0.28580838128753255</v>
      </c>
      <c r="AX5" s="45">
        <f>TOTAL!AY12</f>
        <v>0.28951849882391267</v>
      </c>
      <c r="AY5" s="45">
        <f>TOTAL!AZ12</f>
        <v>0.29289345099134018</v>
      </c>
      <c r="AZ5" s="45">
        <f>TOTAL!BA12</f>
        <v>0.29625878524455562</v>
      </c>
      <c r="BA5" s="45">
        <f>TOTAL!BB12</f>
        <v>0.30080431664409285</v>
      </c>
      <c r="BB5" s="45">
        <f>TOTAL!BC12</f>
        <v>0.30653339152548459</v>
      </c>
      <c r="BC5" s="45">
        <f>TOTAL!BD12</f>
        <v>0.31434388641245897</v>
      </c>
      <c r="BD5" s="45">
        <f>TOTAL!BE12</f>
        <v>0.32263491753907492</v>
      </c>
      <c r="BE5" s="45">
        <f>TOTAL!BF12</f>
        <v>0.33147071208275958</v>
      </c>
      <c r="BF5" s="45">
        <f>TOTAL!BG12</f>
        <v>0.3394357566146462</v>
      </c>
      <c r="BG5" s="45">
        <f>TOTAL!BH12</f>
        <v>0.34776726116819662</v>
      </c>
      <c r="BH5" s="45">
        <f>TOTAL!BI12</f>
        <v>0.35427194766291409</v>
      </c>
      <c r="BI5" s="45">
        <f>TOTAL!BJ12</f>
        <v>0.36054565011547651</v>
      </c>
      <c r="BJ5" s="45">
        <f>TOTAL!BK12</f>
        <v>0.36616918929993603</v>
      </c>
      <c r="BK5" s="45">
        <f>TOTAL!BL12</f>
        <v>0.37045201900305064</v>
      </c>
      <c r="BL5" s="45">
        <f>TOTAL!BM12</f>
        <v>0.37588427550647097</v>
      </c>
      <c r="BM5" s="45">
        <f>TOTAL!BN12</f>
        <v>0.38162471756012711</v>
      </c>
      <c r="BN5" s="45">
        <f>TOTAL!BO12</f>
        <v>0.38719157342704119</v>
      </c>
      <c r="BO5" s="45">
        <f>TOTAL!BP12</f>
        <v>0.39185421210399002</v>
      </c>
      <c r="BP5" s="45">
        <f>TOTAL!BQ12</f>
        <v>0.39622421995792323</v>
      </c>
      <c r="BQ5" s="45">
        <f>TOTAL!BR12</f>
        <v>0.40081821307742083</v>
      </c>
      <c r="BR5" s="45">
        <f>TOTAL!BS12</f>
        <v>0.40391062251432319</v>
      </c>
      <c r="BS5" s="45">
        <f>TOTAL!BT12</f>
        <v>0.40898495436111199</v>
      </c>
      <c r="BT5" s="45">
        <f>TOTAL!BU12</f>
        <v>0.41272154956341556</v>
      </c>
      <c r="BU5" s="45">
        <f>TOTAL!BV12</f>
        <v>0.41672498147213144</v>
      </c>
      <c r="BV5" s="45">
        <f>TOTAL!BW12</f>
        <v>0.41986179855095146</v>
      </c>
      <c r="BW5" s="45">
        <f>TOTAL!BX12</f>
        <v>0.4233169795316083</v>
      </c>
      <c r="BX5" s="45">
        <f>TOTAL!BY12</f>
        <v>0.42709418755208189</v>
      </c>
      <c r="BY5" s="45">
        <f>TOTAL!BZ12</f>
        <v>0.43168149084708185</v>
      </c>
      <c r="BZ5" s="45">
        <f>TOTAL!CA12</f>
        <v>0.43906824671392886</v>
      </c>
      <c r="CA5" s="45">
        <f>TOTAL!CB12</f>
        <v>0.43853670660518129</v>
      </c>
      <c r="CB5" s="45">
        <f>TOTAL!CC12</f>
        <v>0.43936967700319607</v>
      </c>
      <c r="CC5" s="45">
        <f>TOTAL!CD12</f>
        <v>0.44069416207958972</v>
      </c>
      <c r="CD5" s="45">
        <f>TOTAL!CE12</f>
        <v>0.44295707559617331</v>
      </c>
      <c r="CE5" s="45">
        <f>TOTAL!CF12</f>
        <v>0.44540430521157193</v>
      </c>
      <c r="CF5" s="45">
        <f>TOTAL!CG12</f>
        <v>0.44939604295132329</v>
      </c>
      <c r="CG5" s="45">
        <f>TOTAL!CH12</f>
        <v>0.45139866784168964</v>
      </c>
      <c r="CH5" s="45">
        <f>TOTAL!CI12</f>
        <v>0.45216468681334404</v>
      </c>
      <c r="CI5" s="45">
        <f>TOTAL!CJ12</f>
        <v>0.45461278772229508</v>
      </c>
      <c r="CJ5" s="45">
        <f>TOTAL!CK12</f>
        <v>0.45731103086288627</v>
      </c>
      <c r="CK5" s="45">
        <f>TOTAL!CL12</f>
        <v>0.46065659537579168</v>
      </c>
      <c r="CL5" s="45">
        <f>TOTAL!CM12</f>
        <v>0.46424787579415572</v>
      </c>
      <c r="CM5" s="45">
        <f>TOTAL!CN12</f>
        <v>0.46826566885480092</v>
      </c>
      <c r="CN5" s="45">
        <f>TOTAL!CO12</f>
        <v>0.4723207465985928</v>
      </c>
      <c r="CO5" s="45">
        <f>TOTAL!CP12</f>
        <v>0.47732598377015512</v>
      </c>
      <c r="CP5" s="45">
        <f>TOTAL!CQ12</f>
        <v>0.48332288075559104</v>
      </c>
      <c r="CQ5" s="45">
        <f>TOTAL!CR12</f>
        <v>0.48815012327759655</v>
      </c>
      <c r="CR5" s="45">
        <f>TOTAL!CS12</f>
        <v>0.49164707204481406</v>
      </c>
      <c r="CS5" s="45">
        <f>TOTAL!CT12</f>
        <v>0.49517899144292138</v>
      </c>
      <c r="CT5" s="45">
        <f>TOTAL!CU12</f>
        <v>0.49641917791461077</v>
      </c>
      <c r="CU5" s="45">
        <f>TOTAL!CV12</f>
        <v>0.50170168084210076</v>
      </c>
      <c r="CV5" s="45">
        <f>TOTAL!CW12</f>
        <v>0.50520168480269223</v>
      </c>
      <c r="CW5" s="45">
        <f>TOTAL!CX12</f>
        <v>0.50843862279096363</v>
      </c>
      <c r="CX5" s="45">
        <f>TOTAL!CY12</f>
        <v>0.51166990756200559</v>
      </c>
      <c r="CY5" s="45">
        <f>TOTAL!CZ12</f>
        <v>0.51554901300100586</v>
      </c>
      <c r="CZ5" s="45">
        <f>TOTAL!DA12</f>
        <v>0.51976687696885104</v>
      </c>
      <c r="DA5" s="45">
        <f>TOTAL!DB12</f>
        <v>0.52355900233192076</v>
      </c>
      <c r="DB5" s="45">
        <f>TOTAL!DC12</f>
        <v>0.52855165262752812</v>
      </c>
      <c r="DC5" s="45">
        <f>TOTAL!DD12</f>
        <v>0.53110612615020603</v>
      </c>
      <c r="DD5" s="45">
        <f>TOTAL!DE12</f>
        <v>0.53428641941120281</v>
      </c>
      <c r="DE5" s="45">
        <f>TOTAL!DF12</f>
        <v>0.53774756452352357</v>
      </c>
      <c r="DF5" s="45">
        <f>TOTAL!DG12</f>
        <v>0.53945376302451598</v>
      </c>
      <c r="DG5" s="45">
        <f>TOTAL!DH12</f>
        <v>0.54391733600476078</v>
      </c>
      <c r="DH5" s="45">
        <f>TOTAL!DI12</f>
        <v>0.54738565017095375</v>
      </c>
      <c r="DI5" s="45">
        <f>TOTAL!DJ12</f>
        <v>0.55002438693871536</v>
      </c>
      <c r="DJ5" s="45">
        <f>TOTAL!DK12</f>
        <v>0.55190390853210514</v>
      </c>
      <c r="DK5" s="45">
        <f>TOTAL!DL12</f>
        <v>0.55630300328568749</v>
      </c>
      <c r="DL5" s="45">
        <f>TOTAL!DM12</f>
        <v>0.5589622967463469</v>
      </c>
      <c r="DM5" s="45">
        <f>TOTAL!DN12</f>
        <v>0.56327421369141717</v>
      </c>
      <c r="DN5" s="45">
        <f>TOTAL!DO12</f>
        <v>0.56454961109477098</v>
      </c>
      <c r="DO5" s="45">
        <f>TOTAL!DP12</f>
        <v>0.56676286051133928</v>
      </c>
      <c r="DP5" s="45">
        <f>TOTAL!DQ12</f>
        <v>0.56997008919504211</v>
      </c>
      <c r="DQ5" s="45">
        <f>TOTAL!DR12</f>
        <v>0.57022267894810197</v>
      </c>
      <c r="DR5" s="45">
        <f>TOTAL!DS12</f>
        <v>0.57316488788601716</v>
      </c>
      <c r="DS5" s="45">
        <f>TOTAL!DT12</f>
        <v>0.57621920597708676</v>
      </c>
      <c r="DT5" s="45">
        <f>TOTAL!DU12</f>
        <v>0.57990502135681232</v>
      </c>
      <c r="DU5" s="45">
        <f>TOTAL!DV12</f>
        <v>0.58284230741202292</v>
      </c>
      <c r="DV5" s="45">
        <f>TOTAL!DW12</f>
        <v>0.58539360403255425</v>
      </c>
      <c r="DW5" s="45">
        <f>TOTAL!DX12</f>
        <v>0.58760344185280733</v>
      </c>
      <c r="DX5" s="45">
        <f>TOTAL!DY12</f>
        <v>0.59092472875520452</v>
      </c>
      <c r="DY5" s="45">
        <f>TOTAL!DZ12</f>
        <v>0.59331494043745647</v>
      </c>
      <c r="DZ5" s="45">
        <f>TOTAL!EA12</f>
        <v>0.59460972072827445</v>
      </c>
      <c r="EA5" s="45">
        <f>TOTAL!EB12</f>
        <v>0.59618937007423323</v>
      </c>
      <c r="EB5" s="45">
        <f>TOTAL!EC12</f>
        <v>0.59824767482995955</v>
      </c>
      <c r="EC5" s="45">
        <f>TOTAL!ED12</f>
        <v>0.59969499858330311</v>
      </c>
      <c r="ED5" s="45">
        <f>TOTAL!EE12</f>
        <v>0.60202117545443246</v>
      </c>
      <c r="EE5" s="45">
        <f>TOTAL!EF12</f>
        <v>0.60377569884040105</v>
      </c>
      <c r="EF5" s="45">
        <f>TOTAL!EG12</f>
        <v>0.60622344603751432</v>
      </c>
      <c r="EG5" s="45">
        <f>TOTAL!EH12</f>
        <v>0.60878149638233114</v>
      </c>
      <c r="EH5" s="45">
        <f>TOTAL!EI12</f>
        <v>0.61044944964506997</v>
      </c>
      <c r="EI5" s="45">
        <f>TOTAL!EJ12</f>
        <v>0.61251876449984077</v>
      </c>
      <c r="EJ5" s="45">
        <f>TOTAL!EK12</f>
        <v>0.61474837952508965</v>
      </c>
      <c r="EK5" s="45">
        <f>TOTAL!EL12</f>
        <v>0.61632582280903181</v>
      </c>
      <c r="EL5" s="45">
        <f>TOTAL!EM12</f>
        <v>0.61742396866946903</v>
      </c>
      <c r="EM5" s="45">
        <f>TOTAL!EN12</f>
        <v>0.61853288886397839</v>
      </c>
      <c r="EN5" s="45">
        <f>TOTAL!EO12</f>
        <v>0.62006726256391775</v>
      </c>
      <c r="EO5" s="45">
        <f>TOTAL!EP12</f>
        <v>0.62048776618893309</v>
      </c>
      <c r="EP5" s="45">
        <f>TOTAL!EQ12</f>
        <v>0.62081046213903568</v>
      </c>
      <c r="EQ5" s="45">
        <f>TOTAL!ER12</f>
        <v>0.62280177234940404</v>
      </c>
      <c r="ER5" s="45">
        <f>TOTAL!ES12</f>
        <v>0.62444917596758986</v>
      </c>
      <c r="ES5" s="45">
        <f>TOTAL!ET12</f>
        <v>0.6273038612882148</v>
      </c>
      <c r="ET5" s="45">
        <f>TOTAL!EU12</f>
        <v>0.62868457982289982</v>
      </c>
      <c r="EU5" s="45">
        <f>TOTAL!EV12</f>
        <v>0.63051943370483132</v>
      </c>
      <c r="EV5" s="45">
        <f>TOTAL!EW12</f>
        <v>0.63275240910713204</v>
      </c>
      <c r="EW5" s="45">
        <f>TOTAL!EX12</f>
        <v>0.63450473997087986</v>
      </c>
      <c r="EX5" s="45">
        <f>TOTAL!EY12</f>
        <v>0.63568257809463047</v>
      </c>
      <c r="EY5" s="45">
        <f>TOTAL!EZ12</f>
        <v>0.63741049284706841</v>
      </c>
      <c r="EZ5" s="45">
        <f>TOTAL!FA12</f>
        <v>0.63880380073958121</v>
      </c>
      <c r="FA5" s="45">
        <f>TOTAL!FB12</f>
        <v>0.64017855359704301</v>
      </c>
      <c r="FB5" s="45">
        <f>TOTAL!FC12</f>
        <v>0.64131057133823099</v>
      </c>
      <c r="FC5" s="45">
        <f>TOTAL!FD12</f>
        <v>0.6428854428873495</v>
      </c>
      <c r="FD5" s="45">
        <f>TOTAL!FE12</f>
        <v>0.64451162848948618</v>
      </c>
      <c r="FE5" s="45">
        <f>TOTAL!FF12</f>
        <v>0.64649625928930665</v>
      </c>
      <c r="FF5" s="45">
        <f>TOTAL!FG12</f>
        <v>0.64813938349709432</v>
      </c>
      <c r="FG5" s="45">
        <f>TOTAL!FH12</f>
        <v>0.64981216357035243</v>
      </c>
      <c r="FH5" s="45">
        <f>TOTAL!FI12</f>
        <v>0.65180323137394047</v>
      </c>
      <c r="FI5" s="45">
        <f>TOTAL!FJ12</f>
        <v>0.65340026671092011</v>
      </c>
      <c r="FJ5" s="45">
        <f>TOTAL!FK12</f>
        <v>0.65481561710538139</v>
      </c>
      <c r="FK5" s="45">
        <f>TOTAL!FL12</f>
        <v>0.65658399383811572</v>
      </c>
      <c r="FL5" s="45">
        <f>TOTAL!FM12</f>
        <v>0.65780789950974361</v>
      </c>
      <c r="FM5" s="45">
        <f>TOTAL!FN12</f>
        <v>0.65863801063537109</v>
      </c>
      <c r="FN5" s="45">
        <f>TOTAL!FO12</f>
        <v>0.65980737607096795</v>
      </c>
      <c r="FO5" s="45">
        <f>TOTAL!FP12</f>
        <v>0.66113620548420138</v>
      </c>
      <c r="FP5" s="45">
        <f>TOTAL!FQ12</f>
        <v>0.66272674372236318</v>
      </c>
      <c r="FQ5" s="45">
        <f>TOTAL!FR12</f>
        <v>0.6645511863825172</v>
      </c>
      <c r="FR5" s="45">
        <f>TOTAL!FS12</f>
        <v>0.66592128450761656</v>
      </c>
      <c r="FS5" s="45">
        <f>TOTAL!FT12</f>
        <v>0.66695606128379625</v>
      </c>
    </row>
    <row r="6" spans="1:175" x14ac:dyDescent="0.25">
      <c r="A6" s="251" t="s">
        <v>87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  <c r="K6" s="45">
        <f>TOTAL!L20</f>
        <v>0.10373094236861118</v>
      </c>
      <c r="L6" s="45">
        <f>TOTAL!M20</f>
        <v>0.10930666349168552</v>
      </c>
      <c r="M6" s="45">
        <f>TOTAL!N20</f>
        <v>0.11503153051916289</v>
      </c>
      <c r="N6" s="45">
        <f>TOTAL!O20</f>
        <v>0.12563641513037865</v>
      </c>
      <c r="O6" s="45">
        <f>TOTAL!P20</f>
        <v>0.13250189633036621</v>
      </c>
      <c r="P6" s="45">
        <f>TOTAL!Q20</f>
        <v>0.13697880254844283</v>
      </c>
      <c r="Q6" s="45">
        <f>TOTAL!R20</f>
        <v>0.13742016902122403</v>
      </c>
      <c r="R6" s="45">
        <f>TOTAL!S20</f>
        <v>0.14249899494506799</v>
      </c>
      <c r="S6" s="45">
        <f>TOTAL!T20</f>
        <v>0.14964482968521772</v>
      </c>
      <c r="T6" s="45">
        <f>TOTAL!U20</f>
        <v>0.15499595961436113</v>
      </c>
      <c r="U6" s="45">
        <f>TOTAL!V20</f>
        <v>0.16095862980854453</v>
      </c>
      <c r="V6" s="45">
        <f>TOTAL!W20</f>
        <v>0.16485584704126413</v>
      </c>
      <c r="W6" s="45">
        <f>TOTAL!X20</f>
        <v>0.172207755375651</v>
      </c>
      <c r="X6" s="45">
        <f>TOTAL!Y20</f>
        <v>0.17802182165735059</v>
      </c>
      <c r="Y6" s="45">
        <f>TOTAL!Z20</f>
        <v>0.18981054840975009</v>
      </c>
      <c r="Z6" s="45">
        <f>TOTAL!AA20</f>
        <v>0.19209080779581278</v>
      </c>
      <c r="AA6" s="45">
        <f>TOTAL!AB20</f>
        <v>0.19599677468999799</v>
      </c>
      <c r="AB6" s="45">
        <f>TOTAL!AC20</f>
        <v>0.2046405855989219</v>
      </c>
      <c r="AC6" s="45">
        <f>TOTAL!AD20</f>
        <v>0.20651450729263043</v>
      </c>
      <c r="AD6" s="45">
        <f>TOTAL!AE20</f>
        <v>0.21063554877841451</v>
      </c>
      <c r="AE6" s="45">
        <f>TOTAL!AF20</f>
        <v>0.22013345540245627</v>
      </c>
      <c r="AF6" s="45">
        <f>TOTAL!AG20</f>
        <v>0.22999820664166362</v>
      </c>
      <c r="AG6" s="45">
        <f>TOTAL!AH20</f>
        <v>0.23794435699830332</v>
      </c>
      <c r="AH6" s="45">
        <f>TOTAL!AI20</f>
        <v>0.24605551276726786</v>
      </c>
      <c r="AI6" s="45">
        <f>TOTAL!AJ20</f>
        <v>0.2539842714272843</v>
      </c>
      <c r="AJ6" s="45">
        <f>TOTAL!AK20</f>
        <v>0.26080579637416207</v>
      </c>
      <c r="AK6" s="45">
        <f>TOTAL!AL20</f>
        <v>0.26661180639785137</v>
      </c>
      <c r="AL6" s="45">
        <f>TOTAL!AM20</f>
        <v>0.28082509250699789</v>
      </c>
      <c r="AM6" s="45">
        <f>TOTAL!AN20</f>
        <v>0.28436506811476508</v>
      </c>
      <c r="AN6" s="45">
        <f>TOTAL!AO20</f>
        <v>0.29085055248152003</v>
      </c>
      <c r="AO6" s="45">
        <f>TOTAL!AP20</f>
        <v>0.30369282785931789</v>
      </c>
      <c r="AP6" s="45">
        <f>TOTAL!AQ20</f>
        <v>0.31026162884016567</v>
      </c>
      <c r="AQ6" s="45">
        <f>TOTAL!AR20</f>
        <v>0.32184000132253432</v>
      </c>
      <c r="AR6" s="45">
        <f>TOTAL!AS20</f>
        <v>0.32734575419802941</v>
      </c>
      <c r="AS6" s="45">
        <f>TOTAL!AT20</f>
        <v>0.33636126689338758</v>
      </c>
      <c r="AT6" s="45">
        <f>TOTAL!AU20</f>
        <v>0.34142440813882541</v>
      </c>
      <c r="AU6" s="45">
        <f>TOTAL!AV20</f>
        <v>0.34529022628669725</v>
      </c>
      <c r="AV6" s="45">
        <f>TOTAL!AW20</f>
        <v>0.34786685837161069</v>
      </c>
      <c r="AW6" s="45">
        <f>TOTAL!AX20</f>
        <v>0.3527268763119733</v>
      </c>
      <c r="AX6" s="45">
        <f>TOTAL!AY20</f>
        <v>0.35613531441299418</v>
      </c>
      <c r="AY6" s="45">
        <f>TOTAL!AZ20</f>
        <v>0.35808333375770879</v>
      </c>
      <c r="AZ6" s="45">
        <f>TOTAL!BA20</f>
        <v>0.36469088168282926</v>
      </c>
      <c r="BA6" s="45">
        <f>TOTAL!BB20</f>
        <v>0.36723731650459907</v>
      </c>
      <c r="BB6" s="45">
        <f>TOTAL!BC20</f>
        <v>0.37585812781558692</v>
      </c>
      <c r="BC6" s="45">
        <f>TOTAL!BD20</f>
        <v>0.38062472735990471</v>
      </c>
      <c r="BD6" s="45">
        <f>TOTAL!BE20</f>
        <v>0.38428779769064231</v>
      </c>
      <c r="BE6" s="45">
        <f>TOTAL!BF20</f>
        <v>0.39088498447556813</v>
      </c>
      <c r="BF6" s="45">
        <f>TOTAL!BG20</f>
        <v>0.39451918113721063</v>
      </c>
      <c r="BG6" s="45">
        <f>TOTAL!BH20</f>
        <v>0.40672791887398108</v>
      </c>
      <c r="BH6" s="45">
        <f>TOTAL!BI20</f>
        <v>0.41456600071218863</v>
      </c>
      <c r="BI6" s="45">
        <f>TOTAL!BJ20</f>
        <v>0.41937377789424879</v>
      </c>
      <c r="BJ6" s="45">
        <f>TOTAL!BK20</f>
        <v>0.43185274386700656</v>
      </c>
      <c r="BK6" s="45">
        <f>TOTAL!BL20</f>
        <v>0.44066710790863795</v>
      </c>
      <c r="BL6" s="45">
        <f>TOTAL!BM20</f>
        <v>0.44906509758827595</v>
      </c>
      <c r="BM6" s="45">
        <f>TOTAL!BN20</f>
        <v>0.45160042344575874</v>
      </c>
      <c r="BN6" s="45">
        <f>TOTAL!BO20</f>
        <v>0.45837171445420827</v>
      </c>
      <c r="BO6" s="45">
        <f>TOTAL!BP20</f>
        <v>0.46137053398510469</v>
      </c>
      <c r="BP6" s="45">
        <f>TOTAL!BQ20</f>
        <v>0.46774235051788932</v>
      </c>
      <c r="BQ6" s="45">
        <f>TOTAL!BR20</f>
        <v>0.47357602914380992</v>
      </c>
      <c r="BR6" s="45">
        <f>TOTAL!BS20</f>
        <v>0.47503044158015123</v>
      </c>
      <c r="BS6" s="45">
        <f>TOTAL!BT20</f>
        <v>0.48217884007786288</v>
      </c>
      <c r="BT6" s="45">
        <f>TOTAL!BU20</f>
        <v>0.49212143862171892</v>
      </c>
      <c r="BU6" s="45">
        <f>TOTAL!BV20</f>
        <v>0.49178960448715908</v>
      </c>
      <c r="BV6" s="45">
        <f>TOTAL!BW20</f>
        <v>0.49580829819844968</v>
      </c>
      <c r="BW6" s="45">
        <f>TOTAL!BX20</f>
        <v>0.49911276407361915</v>
      </c>
      <c r="BX6" s="45">
        <f>TOTAL!BY20</f>
        <v>0.50166666055496678</v>
      </c>
      <c r="BY6" s="45">
        <f>TOTAL!BZ20</f>
        <v>0.50441839340915862</v>
      </c>
      <c r="BZ6" s="45">
        <f>TOTAL!CA20</f>
        <v>0.50698730433659889</v>
      </c>
      <c r="CA6" s="45">
        <f>TOTAL!CB20</f>
        <v>0.51174477462729773</v>
      </c>
      <c r="CB6" s="45">
        <f>TOTAL!CC20</f>
        <v>0.51335346226555101</v>
      </c>
      <c r="CC6" s="45">
        <f>TOTAL!CD20</f>
        <v>0.52090035670201285</v>
      </c>
      <c r="CD6" s="45">
        <f>TOTAL!CE20</f>
        <v>0.52877103923750013</v>
      </c>
      <c r="CE6" s="45">
        <f>TOTAL!CF20</f>
        <v>0.53207902645807381</v>
      </c>
      <c r="CF6" s="45">
        <f>TOTAL!CG20</f>
        <v>0.53738210259949393</v>
      </c>
      <c r="CG6" s="45">
        <f>TOTAL!CH20</f>
        <v>0.54504862330858816</v>
      </c>
      <c r="CH6" s="45">
        <f>TOTAL!CI20</f>
        <v>0.55207430055194207</v>
      </c>
      <c r="CI6" s="45">
        <f>TOTAL!CJ20</f>
        <v>0.55152729827991809</v>
      </c>
      <c r="CJ6" s="45">
        <f>TOTAL!CK20</f>
        <v>0.5546471037750268</v>
      </c>
      <c r="CK6" s="45">
        <f>TOTAL!CL20</f>
        <v>0.55863609182216478</v>
      </c>
      <c r="CL6" s="45">
        <f>TOTAL!CM20</f>
        <v>0.56291347996425534</v>
      </c>
      <c r="CM6" s="45">
        <f>TOTAL!CN20</f>
        <v>0.56512376806763176</v>
      </c>
      <c r="CN6" s="45">
        <f>TOTAL!CO20</f>
        <v>0.56939996587945696</v>
      </c>
      <c r="CO6" s="45">
        <f>TOTAL!CP20</f>
        <v>0.57382247368741257</v>
      </c>
      <c r="CP6" s="45">
        <f>TOTAL!CQ20</f>
        <v>0.57960151940737292</v>
      </c>
      <c r="CQ6" s="45">
        <f>TOTAL!CR20</f>
        <v>0.58544965550219485</v>
      </c>
      <c r="CR6" s="45">
        <f>TOTAL!CS20</f>
        <v>0.59002618678611862</v>
      </c>
      <c r="CS6" s="45">
        <f>TOTAL!CT20</f>
        <v>0.59345391067047526</v>
      </c>
      <c r="CT6" s="45">
        <f>TOTAL!CU20</f>
        <v>0.5932908661889833</v>
      </c>
      <c r="CU6" s="45">
        <f>TOTAL!CV20</f>
        <v>0.59822637717880389</v>
      </c>
      <c r="CV6" s="45">
        <f>TOTAL!CW20</f>
        <v>0.60156519555190879</v>
      </c>
      <c r="CW6" s="45">
        <f>TOTAL!CX20</f>
        <v>0.60309033721794592</v>
      </c>
      <c r="CX6" s="45">
        <f>TOTAL!CY20</f>
        <v>0.60641929297023889</v>
      </c>
      <c r="CY6" s="45">
        <f>TOTAL!CZ20</f>
        <v>0.61010788403826688</v>
      </c>
      <c r="CZ6" s="45">
        <f>TOTAL!DA20</f>
        <v>0.61580565507891938</v>
      </c>
      <c r="DA6" s="45">
        <f>TOTAL!DB20</f>
        <v>0.61809945705042091</v>
      </c>
      <c r="DB6" s="45">
        <f>TOTAL!DC20</f>
        <v>0.62208191369655896</v>
      </c>
      <c r="DC6" s="45">
        <f>TOTAL!DD20</f>
        <v>0.62412636901391949</v>
      </c>
      <c r="DD6" s="45">
        <f>TOTAL!DE20</f>
        <v>0.62937094399136173</v>
      </c>
      <c r="DE6" s="45">
        <f>TOTAL!DF20</f>
        <v>0.63403332109240607</v>
      </c>
      <c r="DF6" s="45">
        <f>TOTAL!DG20</f>
        <v>0.63255628293150246</v>
      </c>
      <c r="DG6" s="45">
        <f>TOTAL!DH20</f>
        <v>0.6385311556764024</v>
      </c>
      <c r="DH6" s="45">
        <f>TOTAL!DI20</f>
        <v>0.64114360115011126</v>
      </c>
      <c r="DI6" s="45">
        <f>TOTAL!DJ20</f>
        <v>0.64332443994050603</v>
      </c>
      <c r="DJ6" s="45">
        <f>TOTAL!DK20</f>
        <v>0.64542124720837502</v>
      </c>
      <c r="DK6" s="45">
        <f>TOTAL!DL20</f>
        <v>0.65212064619437182</v>
      </c>
      <c r="DL6" s="45">
        <f>TOTAL!DM20</f>
        <v>0.66466661125669813</v>
      </c>
      <c r="DM6" s="45">
        <f>TOTAL!DN20</f>
        <v>0.65755655742001895</v>
      </c>
      <c r="DN6" s="45">
        <f>TOTAL!DO20</f>
        <v>0.658583180537194</v>
      </c>
      <c r="DO6" s="45">
        <f>TOTAL!DP20</f>
        <v>0.66060432841544681</v>
      </c>
      <c r="DP6" s="45">
        <f>TOTAL!DQ20</f>
        <v>0.6646054554718579</v>
      </c>
      <c r="DQ6" s="45">
        <f>TOTAL!DR20</f>
        <v>0.66540368762345325</v>
      </c>
      <c r="DR6" s="45">
        <f>TOTAL!DS20</f>
        <v>0.66826240449720375</v>
      </c>
      <c r="DS6" s="45">
        <f>TOTAL!DT20</f>
        <v>0.6703643362277325</v>
      </c>
      <c r="DT6" s="45">
        <f>TOTAL!DU20</f>
        <v>0.67167854935481319</v>
      </c>
      <c r="DU6" s="45">
        <f>TOTAL!DV20</f>
        <v>0.67288273606039073</v>
      </c>
      <c r="DV6" s="45">
        <f>TOTAL!DW20</f>
        <v>0.67489133950889579</v>
      </c>
      <c r="DW6" s="45">
        <f>TOTAL!DX20</f>
        <v>0.68279046643011754</v>
      </c>
      <c r="DX6" s="45">
        <f>TOTAL!DY20</f>
        <v>0.68086503244278362</v>
      </c>
      <c r="DY6" s="45">
        <f>TOTAL!DZ20</f>
        <v>0.67584384331267411</v>
      </c>
      <c r="DZ6" s="45">
        <f>TOTAL!EA20</f>
        <v>0.67744455183699204</v>
      </c>
      <c r="EA6" s="45">
        <f>TOTAL!EB20</f>
        <v>0.67742182977269083</v>
      </c>
      <c r="EB6" s="45">
        <f>TOTAL!EC20</f>
        <v>0.67896612029991255</v>
      </c>
      <c r="EC6" s="45">
        <f>TOTAL!ED20</f>
        <v>0.67917682151577885</v>
      </c>
      <c r="ED6" s="45">
        <f>TOTAL!EE20</f>
        <v>0.6801157685325353</v>
      </c>
      <c r="EE6" s="45">
        <f>TOTAL!EF20</f>
        <v>0.68096986606754906</v>
      </c>
      <c r="EF6" s="45">
        <f>TOTAL!EG20</f>
        <v>0.68161557986404886</v>
      </c>
      <c r="EG6" s="45">
        <f>TOTAL!EH20</f>
        <v>0.68273227818056026</v>
      </c>
      <c r="EH6" s="45">
        <f>TOTAL!EI20</f>
        <v>0.68350648931063762</v>
      </c>
      <c r="EI6" s="45">
        <f>TOTAL!EJ20</f>
        <v>0.68726112032001319</v>
      </c>
      <c r="EJ6" s="45">
        <f>TOTAL!EK20</f>
        <v>0.68656489074167393</v>
      </c>
      <c r="EK6" s="45">
        <f>TOTAL!EL20</f>
        <v>0.68725852818925892</v>
      </c>
      <c r="EL6" s="45">
        <f>TOTAL!EM20</f>
        <v>0.68882081223732461</v>
      </c>
      <c r="EM6" s="45">
        <f>TOTAL!EN20</f>
        <v>0.68992571285614246</v>
      </c>
      <c r="EN6" s="45">
        <f>TOTAL!EO20</f>
        <v>0.69483524651831163</v>
      </c>
      <c r="EO6" s="45">
        <f>TOTAL!EP20</f>
        <v>0.6927025751728445</v>
      </c>
      <c r="EP6" s="45">
        <f>TOTAL!EQ20</f>
        <v>0.69197008709824825</v>
      </c>
      <c r="EQ6" s="45">
        <f>TOTAL!ER20</f>
        <v>0.69956532710077635</v>
      </c>
      <c r="ER6" s="45">
        <f>TOTAL!ES20</f>
        <v>0.70351680301000485</v>
      </c>
      <c r="ES6" s="45">
        <f>TOTAL!ET20</f>
        <v>0.70471872787670864</v>
      </c>
      <c r="ET6" s="45">
        <f>TOTAL!EU20</f>
        <v>0.70456732238630937</v>
      </c>
      <c r="EU6" s="45">
        <f>TOTAL!EV20</f>
        <v>0.70424556305020158</v>
      </c>
      <c r="EV6" s="45">
        <f>TOTAL!EW20</f>
        <v>0.70557455343703812</v>
      </c>
      <c r="EW6" s="45">
        <f>TOTAL!EX20</f>
        <v>0.70588705744000924</v>
      </c>
      <c r="EX6" s="45">
        <f>TOTAL!EY20</f>
        <v>0.70645158749182702</v>
      </c>
      <c r="EY6" s="45">
        <f>TOTAL!EZ20</f>
        <v>0.70654664889737329</v>
      </c>
      <c r="EZ6" s="45">
        <f>TOTAL!FA20</f>
        <v>0.70806194266569644</v>
      </c>
      <c r="FA6" s="45">
        <f>TOTAL!FB20</f>
        <v>0.7090065765150072</v>
      </c>
      <c r="FB6" s="45">
        <f>TOTAL!FC20</f>
        <v>0.70900698023295872</v>
      </c>
      <c r="FC6" s="45">
        <f>TOTAL!FD20</f>
        <v>0.70580027905122589</v>
      </c>
      <c r="FD6" s="45">
        <f>TOTAL!FE20</f>
        <v>0.70613042077568777</v>
      </c>
      <c r="FE6" s="45">
        <f>TOTAL!FF20</f>
        <v>0.70643097834761459</v>
      </c>
      <c r="FF6" s="45">
        <f>TOTAL!FG20</f>
        <v>0.70692161242715679</v>
      </c>
      <c r="FG6" s="45">
        <f>TOTAL!FH20</f>
        <v>0.71030483988763737</v>
      </c>
      <c r="FH6" s="45">
        <f>TOTAL!FI20</f>
        <v>0.71466882839264201</v>
      </c>
      <c r="FI6" s="45">
        <f>TOTAL!FJ20</f>
        <v>0.71931323234766165</v>
      </c>
      <c r="FJ6" s="45">
        <f>TOTAL!FK20</f>
        <v>0.72059107419825108</v>
      </c>
      <c r="FK6" s="45">
        <f>TOTAL!FL20</f>
        <v>0.72833740371157929</v>
      </c>
      <c r="FL6" s="45">
        <f>TOTAL!FM20</f>
        <v>0.72925115612407709</v>
      </c>
      <c r="FM6" s="45">
        <f>TOTAL!FN20</f>
        <v>0.73086568556931508</v>
      </c>
      <c r="FN6" s="45">
        <f>TOTAL!FO20</f>
        <v>0.73155905068295801</v>
      </c>
      <c r="FO6" s="45">
        <f>TOTAL!FP20</f>
        <v>0.73943204269110918</v>
      </c>
      <c r="FP6" s="45">
        <f>TOTAL!FQ20</f>
        <v>0.74183402017385613</v>
      </c>
      <c r="FQ6" s="45">
        <f>TOTAL!FR20</f>
        <v>0.74188569915687463</v>
      </c>
      <c r="FR6" s="45">
        <f>TOTAL!FS20</f>
        <v>0.74378859486514537</v>
      </c>
      <c r="FS6" s="45">
        <f>TOTAL!FT20</f>
        <v>0.7443153524304793</v>
      </c>
    </row>
    <row r="7" spans="1:175" x14ac:dyDescent="0.25">
      <c r="A7" s="251" t="s">
        <v>88</v>
      </c>
      <c r="B7" s="45">
        <f>TOTAL!C28</f>
        <v>4.8700109849871845E-2</v>
      </c>
      <c r="C7" s="45">
        <f>TOTAL!D28</f>
        <v>9.8209629758386929E-2</v>
      </c>
      <c r="D7" s="45">
        <f>TOTAL!E28</f>
        <v>0.10803246571508536</v>
      </c>
      <c r="E7" s="45">
        <f>TOTAL!F28</f>
        <v>0.11949256581639613</v>
      </c>
      <c r="F7" s="45">
        <f>TOTAL!G28</f>
        <v>0.12793117802136811</v>
      </c>
      <c r="G7" s="45">
        <f>TOTAL!H28</f>
        <v>0.14798036995092487</v>
      </c>
      <c r="H7" s="45">
        <f>TOTAL!I28</f>
        <v>0.14456654456654458</v>
      </c>
      <c r="I7" s="45">
        <f>TOTAL!J28</f>
        <v>0.16166751398068124</v>
      </c>
      <c r="J7" s="45">
        <f>TOTAL!K28</f>
        <v>0.16800101664760453</v>
      </c>
      <c r="K7" s="45">
        <f>TOTAL!L28</f>
        <v>0.17970216493555249</v>
      </c>
      <c r="L7" s="45">
        <f>TOTAL!M28</f>
        <v>0.18344688367398435</v>
      </c>
      <c r="M7" s="45">
        <f>TOTAL!N28</f>
        <v>0.18477710233029382</v>
      </c>
      <c r="N7" s="45">
        <f>TOTAL!O28</f>
        <v>0.25762156714537665</v>
      </c>
      <c r="O7" s="45">
        <f>TOTAL!P28</f>
        <v>0.2803203661327231</v>
      </c>
      <c r="P7" s="45">
        <f>TOTAL!Q28</f>
        <v>0.28273771940901626</v>
      </c>
      <c r="Q7" s="45">
        <f>TOTAL!R28</f>
        <v>0.28643469490670703</v>
      </c>
      <c r="R7" s="45">
        <f>TOTAL!S28</f>
        <v>0.29662836216694027</v>
      </c>
      <c r="S7" s="45">
        <f>TOTAL!T28</f>
        <v>0.31537484116899617</v>
      </c>
      <c r="T7" s="45">
        <f>TOTAL!U28</f>
        <v>0.32270714737507905</v>
      </c>
      <c r="U7" s="45">
        <f>TOTAL!V28</f>
        <v>0.32374191912789962</v>
      </c>
      <c r="V7" s="45">
        <f>TOTAL!W28</f>
        <v>0.33367359959168047</v>
      </c>
      <c r="W7" s="45">
        <f>TOTAL!X28</f>
        <v>0.34078000757288907</v>
      </c>
      <c r="X7" s="45">
        <f>TOTAL!Y28</f>
        <v>0.33884189980481455</v>
      </c>
      <c r="Y7" s="45">
        <f>TOTAL!Z28</f>
        <v>0.35016015374759768</v>
      </c>
      <c r="Z7" s="45">
        <f>TOTAL!AA28</f>
        <v>0.36464497041420119</v>
      </c>
      <c r="AA7" s="45">
        <f>TOTAL!AB28</f>
        <v>0.36521197007481299</v>
      </c>
      <c r="AB7" s="45">
        <f>TOTAL!AC28</f>
        <v>0.37844671884406983</v>
      </c>
      <c r="AC7" s="45">
        <f>TOTAL!AD28</f>
        <v>0.38454946131243878</v>
      </c>
      <c r="AD7" s="45">
        <f>TOTAL!AE28</f>
        <v>0.39244865330217688</v>
      </c>
      <c r="AE7" s="45">
        <f>TOTAL!AF28</f>
        <v>0.40490648530483364</v>
      </c>
      <c r="AF7" s="45">
        <f>TOTAL!AG28</f>
        <v>0.41461342395921835</v>
      </c>
      <c r="AG7" s="45">
        <f>TOTAL!AH28</f>
        <v>0.42033200048467223</v>
      </c>
      <c r="AH7" s="45">
        <f>TOTAL!AI28</f>
        <v>0.42057917436845349</v>
      </c>
      <c r="AI7" s="45">
        <f>TOTAL!AJ28</f>
        <v>0.43529125030465515</v>
      </c>
      <c r="AJ7" s="45">
        <f>TOTAL!AK28</f>
        <v>0.43723951949007112</v>
      </c>
      <c r="AK7" s="45">
        <f>TOTAL!AL28</f>
        <v>0.44683731233079005</v>
      </c>
      <c r="AL7" s="45">
        <f>TOTAL!AM28</f>
        <v>0.4661393969352447</v>
      </c>
      <c r="AM7" s="45">
        <f>TOTAL!AN28</f>
        <v>0.46768492804847261</v>
      </c>
      <c r="AN7" s="45">
        <f>TOTAL!AO28</f>
        <v>0.48690773067331672</v>
      </c>
      <c r="AO7" s="45">
        <f>TOTAL!AP28</f>
        <v>0.49133165829145731</v>
      </c>
      <c r="AP7" s="45">
        <f>TOTAL!AQ28</f>
        <v>0.49817953546767108</v>
      </c>
      <c r="AQ7" s="45">
        <f>TOTAL!AR28</f>
        <v>0.53839452395768517</v>
      </c>
      <c r="AR7" s="45">
        <f>TOTAL!AS28</f>
        <v>0.54894796522615597</v>
      </c>
      <c r="AS7" s="45">
        <f>TOTAL!AT28</f>
        <v>0.55854079368991871</v>
      </c>
      <c r="AT7" s="45">
        <f>TOTAL!AU28</f>
        <v>0.56324135347733795</v>
      </c>
      <c r="AU7" s="45">
        <f>TOTAL!AV28</f>
        <v>0.56781781781781782</v>
      </c>
      <c r="AV7" s="45">
        <f>TOTAL!AW28</f>
        <v>0.57377666248431614</v>
      </c>
      <c r="AW7" s="45">
        <f>TOTAL!AX28</f>
        <v>0.57558212712397738</v>
      </c>
      <c r="AX7" s="45">
        <f>TOTAL!AY28</f>
        <v>0.58701488894312914</v>
      </c>
      <c r="AY7" s="45">
        <f>TOTAL!AZ28</f>
        <v>0.58809055118110232</v>
      </c>
      <c r="AZ7" s="45">
        <f>TOTAL!BA28</f>
        <v>0.59445903988535942</v>
      </c>
      <c r="BA7" s="45">
        <f>TOTAL!BB28</f>
        <v>0.59171086715184407</v>
      </c>
      <c r="BB7" s="45">
        <f>TOTAL!BC28</f>
        <v>0.5939116833112742</v>
      </c>
      <c r="BC7" s="45">
        <f>TOTAL!BD28</f>
        <v>0.59700952610635472</v>
      </c>
      <c r="BD7" s="45">
        <f>TOTAL!BE28</f>
        <v>0.6027677496991577</v>
      </c>
      <c r="BE7" s="45">
        <f>TOTAL!BF28</f>
        <v>0.60648967551622424</v>
      </c>
      <c r="BF7" s="45">
        <f>TOTAL!BG28</f>
        <v>0.60956271023546371</v>
      </c>
      <c r="BG7" s="45">
        <f>TOTAL!BH28</f>
        <v>0.60621013359008302</v>
      </c>
      <c r="BH7" s="45">
        <f>TOTAL!BI28</f>
        <v>0.60835668169082713</v>
      </c>
      <c r="BI7" s="45">
        <f>TOTAL!BJ28</f>
        <v>0.60930175178879842</v>
      </c>
      <c r="BJ7" s="45">
        <f>TOTAL!BK28</f>
        <v>0.61552303262955854</v>
      </c>
      <c r="BK7" s="45">
        <f>TOTAL!BL28</f>
        <v>0.62323429128105212</v>
      </c>
      <c r="BL7" s="45">
        <f>TOTAL!BM28</f>
        <v>0.62746033639508525</v>
      </c>
      <c r="BM7" s="45">
        <f>TOTAL!BN28</f>
        <v>0.62776562120106982</v>
      </c>
      <c r="BN7" s="45">
        <f>TOTAL!BO28</f>
        <v>0.63256809801356018</v>
      </c>
      <c r="BO7" s="45">
        <f>TOTAL!BP28</f>
        <v>0.63314600023914858</v>
      </c>
      <c r="BP7" s="45">
        <f>TOTAL!BQ28</f>
        <v>0.63223090799759474</v>
      </c>
      <c r="BQ7" s="45">
        <f>TOTAL!BR28</f>
        <v>0.6387904559414127</v>
      </c>
      <c r="BR7" s="45">
        <f>TOTAL!BS28</f>
        <v>0.63805924661709135</v>
      </c>
      <c r="BS7" s="45">
        <f>TOTAL!BT28</f>
        <v>0.64407997126780803</v>
      </c>
      <c r="BT7" s="45">
        <f>TOTAL!BU28</f>
        <v>0.64578601315002993</v>
      </c>
      <c r="BU7" s="45">
        <f>TOTAL!BV28</f>
        <v>0.64696066746126346</v>
      </c>
      <c r="BV7" s="45">
        <f>TOTAL!BW28</f>
        <v>0.65051656572853578</v>
      </c>
      <c r="BW7" s="45">
        <f>TOTAL!BX28</f>
        <v>0.6389263390121338</v>
      </c>
      <c r="BX7" s="45">
        <f>TOTAL!BY28</f>
        <v>0.6531452087007642</v>
      </c>
      <c r="BY7" s="45">
        <f>TOTAL!BZ28</f>
        <v>0.65244046215515206</v>
      </c>
      <c r="BZ7" s="45">
        <f>TOTAL!CA28</f>
        <v>0.65176359561165509</v>
      </c>
      <c r="CA7" s="45">
        <f>TOTAL!CB28</f>
        <v>0.65433988929454712</v>
      </c>
      <c r="CB7" s="45">
        <f>TOTAL!CC28</f>
        <v>0.65589755639097747</v>
      </c>
      <c r="CC7" s="45">
        <f>TOTAL!CD28</f>
        <v>0.65531415149735761</v>
      </c>
      <c r="CD7" s="45">
        <f>TOTAL!CE28</f>
        <v>0.65550070521861781</v>
      </c>
      <c r="CE7" s="45">
        <f>TOTAL!CF28</f>
        <v>0.65784521289108444</v>
      </c>
      <c r="CF7" s="45">
        <f>TOTAL!CG28</f>
        <v>0.65933678269049856</v>
      </c>
      <c r="CG7" s="45">
        <f>TOTAL!CH28</f>
        <v>0.66035087719298247</v>
      </c>
      <c r="CH7" s="45">
        <f>TOTAL!CI28</f>
        <v>0.65930599369085174</v>
      </c>
      <c r="CI7" s="45">
        <f>TOTAL!CJ28</f>
        <v>0.66297634308355669</v>
      </c>
      <c r="CJ7" s="45">
        <f>TOTAL!CK28</f>
        <v>0.66356444858073527</v>
      </c>
      <c r="CK7" s="45">
        <f>TOTAL!CL28</f>
        <v>0.66503610528767765</v>
      </c>
      <c r="CL7" s="45">
        <f>TOTAL!CM28</f>
        <v>0.66779344911994409</v>
      </c>
      <c r="CM7" s="45">
        <f>TOTAL!CN28</f>
        <v>0.66957229195722923</v>
      </c>
      <c r="CN7" s="45">
        <f>TOTAL!CO28</f>
        <v>0.67178770949720668</v>
      </c>
      <c r="CO7" s="45">
        <f>TOTAL!CP28</f>
        <v>0.68190785656260877</v>
      </c>
      <c r="CP7" s="45">
        <f>TOTAL!CQ28</f>
        <v>0.68438769587928028</v>
      </c>
      <c r="CQ7" s="45">
        <f>TOTAL!CR28</f>
        <v>0.69028810408921937</v>
      </c>
      <c r="CR7" s="45">
        <f>TOTAL!CS28</f>
        <v>0.69144117988619203</v>
      </c>
      <c r="CS7" s="45">
        <f>TOTAL!CT28</f>
        <v>0.69401176877812387</v>
      </c>
      <c r="CT7" s="45">
        <f>TOTAL!CU28</f>
        <v>0.68827813013859529</v>
      </c>
      <c r="CU7" s="45">
        <f>TOTAL!CV28</f>
        <v>0.6895515487748497</v>
      </c>
      <c r="CV7" s="45">
        <f>TOTAL!CW28</f>
        <v>0.6912736122378027</v>
      </c>
      <c r="CW7" s="45">
        <f>TOTAL!CX28</f>
        <v>0.69255700891306859</v>
      </c>
      <c r="CX7" s="45">
        <f>TOTAL!CY28</f>
        <v>0.69441541855334954</v>
      </c>
      <c r="CY7" s="45">
        <f>TOTAL!CZ28</f>
        <v>0.69871423607089078</v>
      </c>
      <c r="CZ7" s="45">
        <f>TOTAL!DA28</f>
        <v>0.70221606648199442</v>
      </c>
      <c r="DA7" s="45">
        <f>TOTAL!DB28</f>
        <v>0.70466682145344783</v>
      </c>
      <c r="DB7" s="45">
        <f>TOTAL!DC28</f>
        <v>0.7077367205542725</v>
      </c>
      <c r="DC7" s="45">
        <f>TOTAL!DD28</f>
        <v>0.71071884798513529</v>
      </c>
      <c r="DD7" s="45">
        <f>TOTAL!DE28</f>
        <v>0.71146932622057291</v>
      </c>
      <c r="DE7" s="45">
        <f>TOTAL!DF28</f>
        <v>0.71528735632183904</v>
      </c>
      <c r="DF7" s="45">
        <f>TOTAL!DG28</f>
        <v>0.70160816997300157</v>
      </c>
      <c r="DG7" s="45">
        <f>TOTAL!DH28</f>
        <v>0.71064123190071249</v>
      </c>
      <c r="DH7" s="45">
        <f>TOTAL!DI28</f>
        <v>0.71336553945249592</v>
      </c>
      <c r="DI7" s="45">
        <f>TOTAL!DJ28</f>
        <v>0.71043731778425656</v>
      </c>
      <c r="DJ7" s="45">
        <f>TOTAL!DK28</f>
        <v>0.71081523008642844</v>
      </c>
      <c r="DK7" s="45">
        <f>TOTAL!DL28</f>
        <v>0.72318657316932977</v>
      </c>
      <c r="DL7" s="45">
        <f>TOTAL!DM28</f>
        <v>0.72169975618251481</v>
      </c>
      <c r="DM7" s="45">
        <f>TOTAL!DN28</f>
        <v>0.72498274672187712</v>
      </c>
      <c r="DN7" s="45">
        <f>TOTAL!DO28</f>
        <v>0.72578776645041709</v>
      </c>
      <c r="DO7" s="45">
        <f>TOTAL!DP28</f>
        <v>0.72733596104799447</v>
      </c>
      <c r="DP7" s="45">
        <f>TOTAL!DQ28</f>
        <v>0.73100828729281764</v>
      </c>
      <c r="DQ7" s="45">
        <f>TOTAL!DR28</f>
        <v>0.72858483923961515</v>
      </c>
      <c r="DR7" s="45">
        <f>TOTAL!DS28</f>
        <v>0.73397879207007832</v>
      </c>
      <c r="DS7" s="45">
        <f>TOTAL!DT28</f>
        <v>0.73752711496746204</v>
      </c>
      <c r="DT7" s="45">
        <f>TOTAL!DU28</f>
        <v>0.73969188944268238</v>
      </c>
      <c r="DU7" s="45">
        <f>TOTAL!DV28</f>
        <v>0.7412761151891587</v>
      </c>
      <c r="DV7" s="45">
        <f>TOTAL!DW28</f>
        <v>0.74597273853779433</v>
      </c>
      <c r="DW7" s="45">
        <f>TOTAL!DX28</f>
        <v>0.75371120107962208</v>
      </c>
      <c r="DX7" s="45">
        <f>TOTAL!DY28</f>
        <v>0.75969167989118114</v>
      </c>
      <c r="DY7" s="45">
        <f>TOTAL!DZ28</f>
        <v>0.76069153776160148</v>
      </c>
      <c r="DZ7" s="45">
        <f>TOTAL!EA28</f>
        <v>0.76110731373889273</v>
      </c>
      <c r="EA7" s="45">
        <f>TOTAL!EB28</f>
        <v>0.7622455826437039</v>
      </c>
      <c r="EB7" s="45">
        <f>TOTAL!EC28</f>
        <v>0.76414039794321487</v>
      </c>
      <c r="EC7" s="45">
        <f>TOTAL!ED28</f>
        <v>0.7646796657381616</v>
      </c>
      <c r="ED7" s="45">
        <f>TOTAL!EE28</f>
        <v>0.7606495384273162</v>
      </c>
      <c r="EE7" s="45">
        <f>TOTAL!EF28</f>
        <v>0.76259390190013254</v>
      </c>
      <c r="EF7" s="45">
        <f>TOTAL!EG28</f>
        <v>0.7626911992906229</v>
      </c>
      <c r="EG7" s="45">
        <f>TOTAL!EH28</f>
        <v>0.7635740351653213</v>
      </c>
      <c r="EH7" s="45">
        <f>TOTAL!EI28</f>
        <v>0.7675443428445522</v>
      </c>
      <c r="EI7" s="45">
        <f>TOTAL!EJ28</f>
        <v>0.76984649122807014</v>
      </c>
      <c r="EJ7" s="45">
        <f>TOTAL!EK28</f>
        <v>0.76891123742894618</v>
      </c>
      <c r="EK7" s="45">
        <f>TOTAL!EL28</f>
        <v>0.77000108849461191</v>
      </c>
      <c r="EL7" s="45">
        <f>TOTAL!EM28</f>
        <v>0.7696818329894668</v>
      </c>
      <c r="EM7" s="45">
        <f>TOTAL!EN28</f>
        <v>0.76986449864498641</v>
      </c>
      <c r="EN7" s="45">
        <f>TOTAL!EO28</f>
        <v>0.77007023230686111</v>
      </c>
      <c r="EO7" s="45">
        <f>TOTAL!EP28</f>
        <v>0.77042253521126758</v>
      </c>
      <c r="EP7" s="45">
        <f>TOTAL!EQ28</f>
        <v>0.76787070181147632</v>
      </c>
      <c r="EQ7" s="45">
        <f>TOTAL!ER28</f>
        <v>0.77189212420758568</v>
      </c>
      <c r="ER7" s="45">
        <f>TOTAL!ES28</f>
        <v>0.77008759597707366</v>
      </c>
      <c r="ES7" s="45">
        <f>TOTAL!ET28</f>
        <v>0.77083111063693588</v>
      </c>
      <c r="ET7" s="45">
        <f>TOTAL!EU28</f>
        <v>0.7716476728086058</v>
      </c>
      <c r="EU7" s="45">
        <f>TOTAL!EV28</f>
        <v>0.77122516204441616</v>
      </c>
      <c r="EV7" s="45">
        <f>TOTAL!EW28</f>
        <v>0.77119542178889355</v>
      </c>
      <c r="EW7" s="45">
        <f>TOTAL!EX28</f>
        <v>0.77079580375119217</v>
      </c>
      <c r="EX7" s="45">
        <f>TOTAL!EY28</f>
        <v>0.77164021164021168</v>
      </c>
      <c r="EY7" s="45">
        <f>TOTAL!EZ28</f>
        <v>0.77237662474902247</v>
      </c>
      <c r="EZ7" s="45">
        <f>TOTAL!FA28</f>
        <v>0.77368032873248338</v>
      </c>
      <c r="FA7" s="45">
        <f>TOTAL!FB28</f>
        <v>0.77343832020997372</v>
      </c>
      <c r="FB7" s="45">
        <f>TOTAL!FC28</f>
        <v>0.77354920100925151</v>
      </c>
      <c r="FC7" s="45">
        <f>TOTAL!FD28</f>
        <v>0.77410873908928379</v>
      </c>
      <c r="FD7" s="45">
        <f>TOTAL!FE28</f>
        <v>0.77531148570830277</v>
      </c>
      <c r="FE7" s="45">
        <f>TOTAL!FF28</f>
        <v>0.77608195693079662</v>
      </c>
      <c r="FF7" s="45">
        <f>TOTAL!FG28</f>
        <v>0.77871851155012017</v>
      </c>
      <c r="FG7" s="45">
        <f>TOTAL!FH28</f>
        <v>0.7789144050104384</v>
      </c>
      <c r="FH7" s="45">
        <f>TOTAL!FI28</f>
        <v>0.78134715025906731</v>
      </c>
      <c r="FI7" s="45">
        <f>TOTAL!FJ28</f>
        <v>0.78131788559015203</v>
      </c>
      <c r="FJ7" s="45">
        <f>TOTAL!FK28</f>
        <v>0.78230800990916594</v>
      </c>
      <c r="FK7" s="45">
        <f>TOTAL!FL28</f>
        <v>0.80131950989632417</v>
      </c>
      <c r="FL7" s="45">
        <f>TOTAL!FM28</f>
        <v>0.80106971943323635</v>
      </c>
      <c r="FM7" s="45">
        <f>TOTAL!FN28</f>
        <v>0.8022810133682341</v>
      </c>
      <c r="FN7" s="45">
        <f>TOTAL!FO28</f>
        <v>0.80177653108929403</v>
      </c>
      <c r="FO7" s="45">
        <f>TOTAL!FP28</f>
        <v>0.80624019200590791</v>
      </c>
      <c r="FP7" s="45">
        <f>TOTAL!FQ28</f>
        <v>0.80773490862100794</v>
      </c>
      <c r="FQ7" s="45">
        <f>TOTAL!FR28</f>
        <v>0.80871580899397311</v>
      </c>
      <c r="FR7" s="45">
        <f>TOTAL!FS28</f>
        <v>0.81098961683359372</v>
      </c>
      <c r="FS7" s="45">
        <f>TOTAL!FT28</f>
        <v>0.81588513267902585</v>
      </c>
    </row>
    <row r="8" spans="1:175" x14ac:dyDescent="0.25">
      <c r="A8" s="251" t="s">
        <v>89</v>
      </c>
      <c r="B8" s="45">
        <f>TOTAL!C35</f>
        <v>9.4561070691488256E-3</v>
      </c>
      <c r="C8" s="45">
        <f>TOTAL!D35</f>
        <v>1.2362260385047195E-2</v>
      </c>
      <c r="D8" s="45">
        <f>TOTAL!E35</f>
        <v>1.5025488658301158E-2</v>
      </c>
      <c r="E8" s="45">
        <f>TOTAL!F35</f>
        <v>1.7639415595207517E-2</v>
      </c>
      <c r="F8" s="45">
        <f>TOTAL!G35</f>
        <v>1.9880359227523483E-2</v>
      </c>
      <c r="G8" s="45">
        <f>TOTAL!H35</f>
        <v>2.2769610550897337E-2</v>
      </c>
      <c r="H8" s="45">
        <f>TOTAL!I35</f>
        <v>2.563092387604134E-2</v>
      </c>
      <c r="I8" s="45">
        <f>TOTAL!J35</f>
        <v>3.1277004137129395E-2</v>
      </c>
      <c r="J8" s="45">
        <f>TOTAL!K35</f>
        <v>3.4519013084685926E-2</v>
      </c>
      <c r="K8" s="45">
        <f>TOTAL!L35</f>
        <v>2.4687023193161434E-2</v>
      </c>
      <c r="L8" s="45">
        <f>TOTAL!M35</f>
        <v>2.6249207335430024E-2</v>
      </c>
      <c r="M8" s="45">
        <f>TOTAL!N35</f>
        <v>2.8342761635381845E-2</v>
      </c>
      <c r="N8" s="45">
        <f>TOTAL!O35</f>
        <v>4.5100436815553098E-2</v>
      </c>
      <c r="O8" s="45">
        <f>TOTAL!P35</f>
        <v>4.8234312053133957E-2</v>
      </c>
      <c r="P8" s="45">
        <f>TOTAL!Q35</f>
        <v>5.3550819723965665E-2</v>
      </c>
      <c r="Q8" s="45">
        <f>TOTAL!R35</f>
        <v>5.1338311497655081E-2</v>
      </c>
      <c r="R8" s="45">
        <f>TOTAL!S35</f>
        <v>5.834754844071207E-2</v>
      </c>
      <c r="S8" s="45">
        <f>TOTAL!T35</f>
        <v>6.1749941956815872E-2</v>
      </c>
      <c r="T8" s="45">
        <f>TOTAL!U35</f>
        <v>6.6309869375907118E-2</v>
      </c>
      <c r="U8" s="45">
        <f>TOTAL!V35</f>
        <v>7.0514007778967797E-2</v>
      </c>
      <c r="V8" s="45">
        <f>TOTAL!W35</f>
        <v>7.4234817813765189E-2</v>
      </c>
      <c r="W8" s="45">
        <f>TOTAL!X35</f>
        <v>7.7596819596803909E-2</v>
      </c>
      <c r="X8" s="45">
        <f>TOTAL!Y35</f>
        <v>7.5816414292788445E-2</v>
      </c>
      <c r="Y8" s="45">
        <f>TOTAL!Z35</f>
        <v>8.1680299231369977E-2</v>
      </c>
      <c r="Z8" s="45">
        <f>TOTAL!AA35</f>
        <v>7.9217901296277787E-2</v>
      </c>
      <c r="AA8" s="45">
        <f>TOTAL!AB35</f>
        <v>8.1029141685948158E-2</v>
      </c>
      <c r="AB8" s="45">
        <f>TOTAL!AC35</f>
        <v>8.740751575431796E-2</v>
      </c>
      <c r="AC8" s="45">
        <f>TOTAL!AD35</f>
        <v>8.5908890854474063E-2</v>
      </c>
      <c r="AD8" s="45">
        <f>TOTAL!AE35</f>
        <v>8.6389310125052202E-2</v>
      </c>
      <c r="AE8" s="45">
        <f>TOTAL!AF35</f>
        <v>9.235979662340528E-2</v>
      </c>
      <c r="AF8" s="45">
        <f>TOTAL!AG35</f>
        <v>9.4374245402677109E-2</v>
      </c>
      <c r="AG8" s="45">
        <f>TOTAL!AH35</f>
        <v>9.9676948952772598E-2</v>
      </c>
      <c r="AH8" s="45">
        <f>TOTAL!AI35</f>
        <v>0.10259153012106773</v>
      </c>
      <c r="AI8" s="45">
        <f>TOTAL!AJ35</f>
        <v>0.10748675010020933</v>
      </c>
      <c r="AJ8" s="45">
        <f>TOTAL!AK35</f>
        <v>0.109579914760023</v>
      </c>
      <c r="AK8" s="45">
        <f>TOTAL!AL35</f>
        <v>0.1122891389005108</v>
      </c>
      <c r="AL8" s="45">
        <f>TOTAL!AM35</f>
        <v>0.12322461505037613</v>
      </c>
      <c r="AM8" s="45">
        <f>TOTAL!AN35</f>
        <v>0.12353221911930784</v>
      </c>
      <c r="AN8" s="45">
        <f>TOTAL!AO35</f>
        <v>0.12971604515908314</v>
      </c>
      <c r="AO8" s="45">
        <f>TOTAL!AP35</f>
        <v>0.13178976813221316</v>
      </c>
      <c r="AP8" s="45">
        <f>TOTAL!AQ35</f>
        <v>0.13682809979850771</v>
      </c>
      <c r="AQ8" s="45">
        <f>TOTAL!AR35</f>
        <v>0.1434053888404328</v>
      </c>
      <c r="AR8" s="45">
        <f>TOTAL!AS35</f>
        <v>0.14403298176096965</v>
      </c>
      <c r="AS8" s="45">
        <f>TOTAL!AT35</f>
        <v>0.15299989439416689</v>
      </c>
      <c r="AT8" s="45">
        <f>TOTAL!AU35</f>
        <v>0.15354656306496903</v>
      </c>
      <c r="AU8" s="45">
        <f>TOTAL!AV35</f>
        <v>0.1567987012359518</v>
      </c>
      <c r="AV8" s="45">
        <f>TOTAL!AW35</f>
        <v>0.15906384786786756</v>
      </c>
      <c r="AW8" s="45">
        <f>TOTAL!AX35</f>
        <v>0.16141165291669346</v>
      </c>
      <c r="AX8" s="45">
        <f>TOTAL!AY35</f>
        <v>0.16434953853388984</v>
      </c>
      <c r="AY8" s="45">
        <f>TOTAL!AZ35</f>
        <v>0.16513048362184823</v>
      </c>
      <c r="AZ8" s="45">
        <f>TOTAL!BA35</f>
        <v>0.17457101548529469</v>
      </c>
      <c r="BA8" s="45">
        <f>TOTAL!BB35</f>
        <v>0.17084598125907352</v>
      </c>
      <c r="BB8" s="45">
        <f>TOTAL!BC35</f>
        <v>0.18117580277361833</v>
      </c>
      <c r="BC8" s="45">
        <f>TOTAL!BD35</f>
        <v>0.18440606908553375</v>
      </c>
      <c r="BD8" s="45">
        <f>TOTAL!BE35</f>
        <v>0.18469707269843233</v>
      </c>
      <c r="BE8" s="45">
        <f>TOTAL!BF35</f>
        <v>0.19329790171176145</v>
      </c>
      <c r="BF8" s="45">
        <f>TOTAL!BG35</f>
        <v>0.19216555031405561</v>
      </c>
      <c r="BG8" s="45">
        <f>TOTAL!BH35</f>
        <v>0.2001598648231622</v>
      </c>
      <c r="BH8" s="45">
        <f>TOTAL!BI35</f>
        <v>0.20046882819290437</v>
      </c>
      <c r="BI8" s="45">
        <f>TOTAL!BJ35</f>
        <v>0.2007150153217569</v>
      </c>
      <c r="BJ8" s="45">
        <f>TOTAL!BK35</f>
        <v>0.21408985555233642</v>
      </c>
      <c r="BK8" s="45">
        <f>TOTAL!BL35</f>
        <v>0.21565368408155003</v>
      </c>
      <c r="BL8" s="45">
        <f>TOTAL!BM35</f>
        <v>0.22320071478453765</v>
      </c>
      <c r="BM8" s="45">
        <f>TOTAL!BN35</f>
        <v>0.22111908516504147</v>
      </c>
      <c r="BN8" s="45">
        <f>TOTAL!BO35</f>
        <v>0.2296302042927334</v>
      </c>
      <c r="BO8" s="45">
        <f>TOTAL!BP35</f>
        <v>0.23050222309367729</v>
      </c>
      <c r="BP8" s="45">
        <f>TOTAL!BQ35</f>
        <v>0.2374912635246057</v>
      </c>
      <c r="BQ8" s="45">
        <f>TOTAL!BR35</f>
        <v>0.24540849474690599</v>
      </c>
      <c r="BR8" s="45">
        <f>TOTAL!BS35</f>
        <v>0.24138637294615631</v>
      </c>
      <c r="BS8" s="45">
        <f>TOTAL!BT35</f>
        <v>0.2496501647255859</v>
      </c>
      <c r="BT8" s="45">
        <f>TOTAL!BU35</f>
        <v>0.25217766183233109</v>
      </c>
      <c r="BU8" s="45">
        <f>TOTAL!BV35</f>
        <v>0.25524944567627494</v>
      </c>
      <c r="BV8" s="45">
        <f>TOTAL!BW35</f>
        <v>0.25859749385694747</v>
      </c>
      <c r="BW8" s="45">
        <f>TOTAL!BX35</f>
        <v>0.26014154629278202</v>
      </c>
      <c r="BX8" s="45">
        <f>TOTAL!BY35</f>
        <v>0.26209124347081253</v>
      </c>
      <c r="BY8" s="45">
        <f>TOTAL!BZ35</f>
        <v>0.26449537730924033</v>
      </c>
      <c r="BZ8" s="45">
        <f>TOTAL!CA35</f>
        <v>0.26727067453786657</v>
      </c>
      <c r="CA8" s="45">
        <f>TOTAL!CB35</f>
        <v>0.27153749922165554</v>
      </c>
      <c r="CB8" s="45">
        <f>TOTAL!CC35</f>
        <v>0.27512883659415333</v>
      </c>
      <c r="CC8" s="45">
        <f>TOTAL!CD35</f>
        <v>0.27802914022588254</v>
      </c>
      <c r="CD8" s="45">
        <f>TOTAL!CE35</f>
        <v>0.28060921889845392</v>
      </c>
      <c r="CE8" s="45">
        <f>TOTAL!CF35</f>
        <v>0.2837865183480669</v>
      </c>
      <c r="CF8" s="45">
        <f>TOTAL!CG35</f>
        <v>0.2880494027600603</v>
      </c>
      <c r="CG8" s="45">
        <f>TOTAL!CH35</f>
        <v>0.29214220580462674</v>
      </c>
      <c r="CH8" s="45">
        <f>TOTAL!CI35</f>
        <v>0.29195235106776074</v>
      </c>
      <c r="CI8" s="45">
        <f>TOTAL!CJ35</f>
        <v>0.29569272072156938</v>
      </c>
      <c r="CJ8" s="45">
        <f>TOTAL!CK35</f>
        <v>0.29782736138992022</v>
      </c>
      <c r="CK8" s="45">
        <f>TOTAL!CL35</f>
        <v>0.3002181653895768</v>
      </c>
      <c r="CL8" s="45">
        <f>TOTAL!CM35</f>
        <v>0.30424121658304348</v>
      </c>
      <c r="CM8" s="45">
        <f>TOTAL!CN35</f>
        <v>0.30741719235815318</v>
      </c>
      <c r="CN8" s="45">
        <f>TOTAL!CO35</f>
        <v>0.31098678557049197</v>
      </c>
      <c r="CO8" s="45">
        <f>TOTAL!CP35</f>
        <v>0.31490186401198939</v>
      </c>
      <c r="CP8" s="45">
        <f>TOTAL!CQ35</f>
        <v>0.32117829793382457</v>
      </c>
      <c r="CQ8" s="45">
        <f>TOTAL!CR35</f>
        <v>0.32660668147135175</v>
      </c>
      <c r="CR8" s="45">
        <f>TOTAL!CS35</f>
        <v>0.3307089965103413</v>
      </c>
      <c r="CS8" s="45">
        <f>TOTAL!CT35</f>
        <v>0.33507521387325534</v>
      </c>
      <c r="CT8" s="45">
        <f>TOTAL!CU35</f>
        <v>0.33136272033876685</v>
      </c>
      <c r="CU8" s="45">
        <f>TOTAL!CV35</f>
        <v>0.33958344890499703</v>
      </c>
      <c r="CV8" s="45">
        <f>TOTAL!CW35</f>
        <v>0.34351395527378092</v>
      </c>
      <c r="CW8" s="45">
        <f>TOTAL!CX35</f>
        <v>0.34651564480453312</v>
      </c>
      <c r="CX8" s="45">
        <f>TOTAL!CY35</f>
        <v>0.34934808228317732</v>
      </c>
      <c r="CY8" s="45">
        <f>TOTAL!CZ35</f>
        <v>0.35296987284928921</v>
      </c>
      <c r="CZ8" s="45">
        <f>TOTAL!DA35</f>
        <v>0.35147581634847735</v>
      </c>
      <c r="DA8" s="45">
        <f>TOTAL!DB35</f>
        <v>0.35601895856346494</v>
      </c>
      <c r="DB8" s="45">
        <f>TOTAL!DC35</f>
        <v>0.36175914747839938</v>
      </c>
      <c r="DC8" s="45">
        <f>TOTAL!DD35</f>
        <v>0.36254840983002412</v>
      </c>
      <c r="DD8" s="45">
        <f>TOTAL!DE35</f>
        <v>0.3681267776273251</v>
      </c>
      <c r="DE8" s="45">
        <f>TOTAL!DF35</f>
        <v>0.37509894038044173</v>
      </c>
      <c r="DF8" s="45">
        <f>TOTAL!DG35</f>
        <v>0.37328555377527206</v>
      </c>
      <c r="DG8" s="45">
        <f>TOTAL!DH35</f>
        <v>0.38172063712089127</v>
      </c>
      <c r="DH8" s="45">
        <f>TOTAL!DI35</f>
        <v>0.38439295190499495</v>
      </c>
      <c r="DI8" s="45">
        <f>TOTAL!DJ35</f>
        <v>0.3848878782302374</v>
      </c>
      <c r="DJ8" s="45">
        <f>TOTAL!DK35</f>
        <v>0.38561270872919423</v>
      </c>
      <c r="DK8" s="45">
        <f>TOTAL!DL35</f>
        <v>0.39403064330212018</v>
      </c>
      <c r="DL8" s="45">
        <f>TOTAL!DM35</f>
        <v>0.39372932927635929</v>
      </c>
      <c r="DM8" s="45">
        <f>TOTAL!DN35</f>
        <v>0.39973703223958706</v>
      </c>
      <c r="DN8" s="45">
        <f>TOTAL!DO35</f>
        <v>0.40061357450404944</v>
      </c>
      <c r="DO8" s="45">
        <f>TOTAL!DP35</f>
        <v>0.40402268178785855</v>
      </c>
      <c r="DP8" s="45">
        <f>TOTAL!DQ35</f>
        <v>0.41103537854982714</v>
      </c>
      <c r="DQ8" s="45">
        <f>TOTAL!DR35</f>
        <v>0.40676909587840016</v>
      </c>
      <c r="DR8" s="45">
        <f>TOTAL!DS35</f>
        <v>0.40968063529169102</v>
      </c>
      <c r="DS8" s="45">
        <f>TOTAL!DT35</f>
        <v>0.41625264235031167</v>
      </c>
      <c r="DT8" s="45">
        <f>TOTAL!DU35</f>
        <v>0.42083919611330872</v>
      </c>
      <c r="DU8" s="45">
        <f>TOTAL!DV35</f>
        <v>0.42350063646724029</v>
      </c>
      <c r="DV8" s="45">
        <f>TOTAL!DW35</f>
        <v>0.42835618904126027</v>
      </c>
      <c r="DW8" s="45">
        <f>TOTAL!DX35</f>
        <v>0.43921419569087961</v>
      </c>
      <c r="DX8" s="45">
        <f>TOTAL!DY35</f>
        <v>0.44893541684760463</v>
      </c>
      <c r="DY8" s="45">
        <f>TOTAL!DZ35</f>
        <v>0.45091074803307912</v>
      </c>
      <c r="DZ8" s="45">
        <f>TOTAL!EA35</f>
        <v>0.45331031981625003</v>
      </c>
      <c r="EA8" s="45">
        <f>TOTAL!EB35</f>
        <v>0.45266378324229561</v>
      </c>
      <c r="EB8" s="45">
        <f>TOTAL!EC35</f>
        <v>0.45494742116560472</v>
      </c>
      <c r="EC8" s="45">
        <f>TOTAL!ED35</f>
        <v>0.45673980128183389</v>
      </c>
      <c r="ED8" s="45">
        <f>TOTAL!EE35</f>
        <v>0.4617777867762683</v>
      </c>
      <c r="EE8" s="45">
        <f>TOTAL!EF35</f>
        <v>0.46431403379170594</v>
      </c>
      <c r="EF8" s="45">
        <f>TOTAL!EG35</f>
        <v>0.46698209267279417</v>
      </c>
      <c r="EG8" s="45">
        <f>TOTAL!EH35</f>
        <v>0.47021001835111809</v>
      </c>
      <c r="EH8" s="45">
        <f>TOTAL!EI35</f>
        <v>0.47191806940131831</v>
      </c>
      <c r="EI8" s="45">
        <f>TOTAL!EJ35</f>
        <v>0.47432271814418625</v>
      </c>
      <c r="EJ8" s="45">
        <f>TOTAL!EK35</f>
        <v>0.47563547715569188</v>
      </c>
      <c r="EK8" s="45">
        <f>TOTAL!EL35</f>
        <v>0.4765547742006373</v>
      </c>
      <c r="EL8" s="45">
        <f>TOTAL!EM35</f>
        <v>0.47841979183875766</v>
      </c>
      <c r="EM8" s="45">
        <f>TOTAL!EN35</f>
        <v>0.48171686912548783</v>
      </c>
      <c r="EN8" s="45">
        <f>TOTAL!EO35</f>
        <v>0.48325217139747767</v>
      </c>
      <c r="EO8" s="45">
        <f>TOTAL!EP35</f>
        <v>0.4826799606173644</v>
      </c>
      <c r="EP8" s="45">
        <f>TOTAL!EQ35</f>
        <v>0.48533063228456674</v>
      </c>
      <c r="EQ8" s="45">
        <f>TOTAL!ER35</f>
        <v>0.4834982562590377</v>
      </c>
      <c r="ER8" s="45">
        <f>TOTAL!ES35</f>
        <v>0.48605891838517878</v>
      </c>
      <c r="ES8" s="45">
        <f>TOTAL!ET35</f>
        <v>0.49112954423368055</v>
      </c>
      <c r="ET8" s="45">
        <f>TOTAL!EU35</f>
        <v>0.4925877327675256</v>
      </c>
      <c r="EU8" s="45">
        <f>TOTAL!EV35</f>
        <v>0.49324102011242799</v>
      </c>
      <c r="EV8" s="45">
        <f>TOTAL!EW35</f>
        <v>0.49478307850993214</v>
      </c>
      <c r="EW8" s="45">
        <f>TOTAL!EX35</f>
        <v>0.49615495563951567</v>
      </c>
      <c r="EX8" s="45">
        <f>TOTAL!EY35</f>
        <v>0.49768626289132489</v>
      </c>
      <c r="EY8" s="45">
        <f>TOTAL!EZ35</f>
        <v>0.49937153993898997</v>
      </c>
      <c r="EZ8" s="45">
        <f>TOTAL!FA35</f>
        <v>0.50047744007242945</v>
      </c>
      <c r="FA8" s="45">
        <f>TOTAL!FB35</f>
        <v>0.50181810449316355</v>
      </c>
      <c r="FB8" s="45">
        <f>TOTAL!FC35</f>
        <v>0.50281836123297985</v>
      </c>
      <c r="FC8" s="45">
        <f>TOTAL!FD35</f>
        <v>0.5043920480813685</v>
      </c>
      <c r="FD8" s="45">
        <f>TOTAL!FE35</f>
        <v>0.50589628530458786</v>
      </c>
      <c r="FE8" s="45">
        <f>TOTAL!FF35</f>
        <v>0.50824927002348774</v>
      </c>
      <c r="FF8" s="45">
        <f>TOTAL!FG35</f>
        <v>0.51143119082066779</v>
      </c>
      <c r="FG8" s="45">
        <f>TOTAL!FH35</f>
        <v>0.51878905345984727</v>
      </c>
      <c r="FH8" s="45">
        <f>TOTAL!FI35</f>
        <v>0.52191480718451677</v>
      </c>
      <c r="FI8" s="45">
        <f>TOTAL!FJ35</f>
        <v>0.5230533085025898</v>
      </c>
      <c r="FJ8" s="45">
        <f>TOTAL!FK35</f>
        <v>0.52555074428844273</v>
      </c>
      <c r="FK8" s="45">
        <f>TOTAL!FL35</f>
        <v>0.53602299294339706</v>
      </c>
      <c r="FL8" s="45">
        <f>TOTAL!FM35</f>
        <v>0.53838883598376086</v>
      </c>
      <c r="FM8" s="45">
        <f>TOTAL!FN35</f>
        <v>0.54139448359746722</v>
      </c>
      <c r="FN8" s="45">
        <f>TOTAL!FO35</f>
        <v>0.54305997306513076</v>
      </c>
      <c r="FO8" s="45">
        <f>TOTAL!FP35</f>
        <v>0.54519824673414774</v>
      </c>
      <c r="FP8" s="45">
        <f>TOTAL!FQ35</f>
        <v>0.54669806917647401</v>
      </c>
      <c r="FQ8" s="45">
        <f>TOTAL!FR35</f>
        <v>0.54768027313784384</v>
      </c>
      <c r="FR8" s="45">
        <f>TOTAL!FS35</f>
        <v>0.55033156403285433</v>
      </c>
      <c r="FS8" s="45">
        <f>TOTAL!FT35</f>
        <v>0.55196972427464408</v>
      </c>
    </row>
    <row r="9" spans="1:175" s="1" customFormat="1" x14ac:dyDescent="0.25">
      <c r="A9" s="215" t="s">
        <v>9</v>
      </c>
      <c r="B9" s="47">
        <f>TOTAL!C12</f>
        <v>1.7282126591911719E-2</v>
      </c>
      <c r="C9" s="47">
        <f>TOTAL!D12</f>
        <v>2.3205121367533131E-2</v>
      </c>
      <c r="D9" s="47">
        <f>TOTAL!E12</f>
        <v>2.1787375725814295E-2</v>
      </c>
      <c r="E9" s="47">
        <f>TOTAL!F12</f>
        <v>2.3135968803208205E-2</v>
      </c>
      <c r="F9" s="47">
        <f>TOTAL!G12</f>
        <v>2.9329579299585549E-2</v>
      </c>
      <c r="G9" s="47">
        <f>TOTAL!H12</f>
        <v>3.7127240685608603E-2</v>
      </c>
      <c r="H9" s="47">
        <f>TOTAL!I12</f>
        <v>3.3612172188349373E-2</v>
      </c>
      <c r="I9" s="47">
        <f>TOTAL!J12</f>
        <v>6.1525469016381555E-2</v>
      </c>
      <c r="J9" s="47">
        <f>TOTAL!K12</f>
        <v>6.5531663194051071E-2</v>
      </c>
      <c r="K9" s="47">
        <f>TOTAL!L12</f>
        <v>6.8420174588889326E-2</v>
      </c>
      <c r="L9" s="47">
        <f>TOTAL!M12</f>
        <v>7.057387037429029E-2</v>
      </c>
      <c r="M9" s="47">
        <f>TOTAL!N12</f>
        <v>7.3527907559583605E-2</v>
      </c>
      <c r="N9" s="47">
        <f>TOTAL!O12</f>
        <v>7.5918239780730687E-2</v>
      </c>
      <c r="O9" s="47">
        <f>TOTAL!P12</f>
        <v>7.977102764370482E-2</v>
      </c>
      <c r="P9" s="47">
        <f>TOTAL!Q12</f>
        <v>8.3990329868356889E-2</v>
      </c>
      <c r="Q9" s="47">
        <f>TOTAL!R12</f>
        <v>8.9903951569506368E-2</v>
      </c>
      <c r="R9" s="47">
        <f>TOTAL!S12</f>
        <v>9.4465475228821524E-2</v>
      </c>
      <c r="S9" s="47">
        <f>TOTAL!T12</f>
        <v>0.10001272689123324</v>
      </c>
      <c r="T9" s="47">
        <f>TOTAL!U12</f>
        <v>0.10644414789884436</v>
      </c>
      <c r="U9" s="47">
        <f>TOTAL!V12</f>
        <v>0.11268161336764569</v>
      </c>
      <c r="V9" s="47">
        <f>TOTAL!W12</f>
        <v>0.12088760324501407</v>
      </c>
      <c r="W9" s="47">
        <f>TOTAL!X12</f>
        <v>0.12978949386366098</v>
      </c>
      <c r="X9" s="47">
        <f>TOTAL!Y12</f>
        <v>0.13466991991491462</v>
      </c>
      <c r="Y9" s="47">
        <f>TOTAL!Z12</f>
        <v>0.14075199745814526</v>
      </c>
      <c r="Z9" s="47">
        <f>TOTAL!AA12</f>
        <v>0.14259505928936425</v>
      </c>
      <c r="AA9" s="47">
        <f>TOTAL!AB12</f>
        <v>0.14425340627772734</v>
      </c>
      <c r="AB9" s="47">
        <f>TOTAL!AC12</f>
        <v>0.14798693487172176</v>
      </c>
      <c r="AC9" s="47">
        <f>TOTAL!AD12</f>
        <v>0.1502213025325522</v>
      </c>
      <c r="AD9" s="47">
        <f>TOTAL!AE12</f>
        <v>0.15373096865656191</v>
      </c>
      <c r="AE9" s="47">
        <f>TOTAL!AF12</f>
        <v>0.15904818049975072</v>
      </c>
      <c r="AF9" s="47">
        <f>TOTAL!AG12</f>
        <v>0.16524058654716814</v>
      </c>
      <c r="AG9" s="47">
        <f>TOTAL!AH12</f>
        <v>0.17280799242394596</v>
      </c>
      <c r="AH9" s="47">
        <f>TOTAL!AI12</f>
        <v>0.18025774117782689</v>
      </c>
      <c r="AI9" s="47">
        <f>TOTAL!AJ12</f>
        <v>0.18717591937270253</v>
      </c>
      <c r="AJ9" s="47">
        <f>TOTAL!AK12</f>
        <v>0.19338298680926477</v>
      </c>
      <c r="AK9" s="47">
        <f>TOTAL!AL12</f>
        <v>0.19919054197588287</v>
      </c>
      <c r="AL9" s="47">
        <f>TOTAL!AM12</f>
        <v>0.20485300075745566</v>
      </c>
      <c r="AM9" s="47">
        <f>TOTAL!AN12</f>
        <v>0.20992843492920774</v>
      </c>
      <c r="AN9" s="47">
        <f>TOTAL!AO12</f>
        <v>0.21617905903898774</v>
      </c>
      <c r="AO9" s="47">
        <f>TOTAL!AP12</f>
        <v>0.22193760716397948</v>
      </c>
      <c r="AP9" s="47">
        <f>TOTAL!AQ12</f>
        <v>0.22954656385322109</v>
      </c>
      <c r="AQ9" s="47">
        <f>TOTAL!AR12</f>
        <v>0.23865597988809803</v>
      </c>
      <c r="AR9" s="47">
        <f>TOTAL!AS12</f>
        <v>0.24747425217978428</v>
      </c>
      <c r="AS9" s="47">
        <f>TOTAL!AT12</f>
        <v>0.2573130833153775</v>
      </c>
      <c r="AT9" s="47">
        <f>TOTAL!AU12</f>
        <v>0.26713394963856324</v>
      </c>
      <c r="AU9" s="47">
        <f>TOTAL!AV12</f>
        <v>0.27524946564756037</v>
      </c>
      <c r="AV9" s="47">
        <f>TOTAL!AW12</f>
        <v>0.28152783673317355</v>
      </c>
      <c r="AW9" s="47">
        <f>TOTAL!AX12</f>
        <v>0.28580838128753255</v>
      </c>
      <c r="AX9" s="47">
        <f>TOTAL!AY12</f>
        <v>0.28951849882391267</v>
      </c>
      <c r="AY9" s="47">
        <f>TOTAL!AZ12</f>
        <v>0.29289345099134018</v>
      </c>
      <c r="AZ9" s="47">
        <f>TOTAL!BA12</f>
        <v>0.29625878524455562</v>
      </c>
      <c r="BA9" s="47">
        <f>TOTAL!BB12</f>
        <v>0.30080431664409285</v>
      </c>
      <c r="BB9" s="47">
        <f>TOTAL!BC12</f>
        <v>0.30653339152548459</v>
      </c>
      <c r="BC9" s="47">
        <f>TOTAL!BD12</f>
        <v>0.31434388641245897</v>
      </c>
      <c r="BD9" s="47">
        <f>TOTAL!BE12</f>
        <v>0.32263491753907492</v>
      </c>
      <c r="BE9" s="47">
        <f>TOTAL!BF12</f>
        <v>0.33147071208275958</v>
      </c>
      <c r="BF9" s="47">
        <f>TOTAL!BG12</f>
        <v>0.3394357566146462</v>
      </c>
      <c r="BG9" s="47">
        <f>TOTAL!BH12</f>
        <v>0.34776726116819662</v>
      </c>
      <c r="BH9" s="47">
        <f>TOTAL!BI12</f>
        <v>0.35427194766291409</v>
      </c>
      <c r="BI9" s="47">
        <f>TOTAL!BJ12</f>
        <v>0.36054565011547651</v>
      </c>
      <c r="BJ9" s="47">
        <f>TOTAL!BK12</f>
        <v>0.36616918929993603</v>
      </c>
      <c r="BK9" s="47">
        <f>TOTAL!BL12</f>
        <v>0.37045201900305064</v>
      </c>
      <c r="BL9" s="47">
        <f>TOTAL!BM12</f>
        <v>0.37588427550647097</v>
      </c>
      <c r="BM9" s="47">
        <f>TOTAL!BN12</f>
        <v>0.38162471756012711</v>
      </c>
      <c r="BN9" s="47">
        <f>TOTAL!BO12</f>
        <v>0.38719157342704119</v>
      </c>
      <c r="BO9" s="47">
        <f>TOTAL!BP12</f>
        <v>0.39185421210399002</v>
      </c>
      <c r="BP9" s="47">
        <f>TOTAL!BQ12</f>
        <v>0.39622421995792323</v>
      </c>
      <c r="BQ9" s="47">
        <f>TOTAL!BR12</f>
        <v>0.40081821307742083</v>
      </c>
      <c r="BR9" s="47">
        <f>TOTAL!BS12</f>
        <v>0.40391062251432319</v>
      </c>
      <c r="BS9" s="47">
        <f>TOTAL!BT12</f>
        <v>0.40898495436111199</v>
      </c>
      <c r="BT9" s="47">
        <f>TOTAL!BU12</f>
        <v>0.41272154956341556</v>
      </c>
      <c r="BU9" s="47">
        <f>TOTAL!BV12</f>
        <v>0.41672498147213144</v>
      </c>
      <c r="BV9" s="47">
        <f>TOTAL!BW12</f>
        <v>0.41986179855095146</v>
      </c>
      <c r="BW9" s="47">
        <f>TOTAL!BX12</f>
        <v>0.4233169795316083</v>
      </c>
      <c r="BX9" s="47">
        <f>TOTAL!BY12</f>
        <v>0.42709418755208189</v>
      </c>
      <c r="BY9" s="47">
        <f>TOTAL!BZ12</f>
        <v>0.43168149084708185</v>
      </c>
      <c r="BZ9" s="47">
        <f>TOTAL!CA12</f>
        <v>0.43906824671392886</v>
      </c>
      <c r="CA9" s="47">
        <f>TOTAL!CB12</f>
        <v>0.43853670660518129</v>
      </c>
      <c r="CB9" s="47">
        <f>TOTAL!CC12</f>
        <v>0.43936967700319607</v>
      </c>
      <c r="CC9" s="47">
        <f>TOTAL!CD12</f>
        <v>0.44069416207958972</v>
      </c>
      <c r="CD9" s="47">
        <f>TOTAL!CE12</f>
        <v>0.44295707559617331</v>
      </c>
      <c r="CE9" s="47">
        <f>TOTAL!CF12</f>
        <v>0.44540430521157193</v>
      </c>
      <c r="CF9" s="47">
        <f>TOTAL!CG12</f>
        <v>0.44939604295132329</v>
      </c>
      <c r="CG9" s="47">
        <f>TOTAL!CH12</f>
        <v>0.45139866784168964</v>
      </c>
      <c r="CH9" s="47">
        <f>TOTAL!CI12</f>
        <v>0.45216468681334404</v>
      </c>
      <c r="CI9" s="47">
        <f>TOTAL!CJ12</f>
        <v>0.45461278772229508</v>
      </c>
      <c r="CJ9" s="47">
        <f>TOTAL!CK12</f>
        <v>0.45731103086288627</v>
      </c>
      <c r="CK9" s="47">
        <f>TOTAL!CL12</f>
        <v>0.46065659537579168</v>
      </c>
      <c r="CL9" s="47">
        <f>TOTAL!CM12</f>
        <v>0.46424787579415572</v>
      </c>
      <c r="CM9" s="47">
        <f>TOTAL!CN12</f>
        <v>0.46826566885480092</v>
      </c>
      <c r="CN9" s="47">
        <f>TOTAL!CO12</f>
        <v>0.4723207465985928</v>
      </c>
      <c r="CO9" s="47">
        <f>TOTAL!CP12</f>
        <v>0.47732598377015512</v>
      </c>
      <c r="CP9" s="47">
        <f>TOTAL!CQ12</f>
        <v>0.48332288075559104</v>
      </c>
      <c r="CQ9" s="281">
        <f>TOTAL!CR12</f>
        <v>0.48815012327759655</v>
      </c>
      <c r="CR9" s="281">
        <f>TOTAL!CS12</f>
        <v>0.49164707204481406</v>
      </c>
      <c r="CS9" s="281">
        <f>TOTAL!CT12</f>
        <v>0.49517899144292138</v>
      </c>
      <c r="CT9" s="281">
        <f>TOTAL!CU12</f>
        <v>0.49641917791461077</v>
      </c>
      <c r="CU9" s="281">
        <f>TOTAL!CV12</f>
        <v>0.50170168084210076</v>
      </c>
      <c r="CV9" s="281">
        <f>TOTAL!CW12</f>
        <v>0.50520168480269223</v>
      </c>
      <c r="CW9" s="281">
        <f>TOTAL!CX12</f>
        <v>0.50843862279096363</v>
      </c>
      <c r="CX9" s="281">
        <f>TOTAL!CY12</f>
        <v>0.51166990756200559</v>
      </c>
      <c r="CY9" s="281">
        <f>TOTAL!CZ12</f>
        <v>0.51554901300100586</v>
      </c>
      <c r="CZ9" s="281">
        <f>TOTAL!DA12</f>
        <v>0.51976687696885104</v>
      </c>
      <c r="DA9" s="281">
        <f>TOTAL!DB12</f>
        <v>0.52355900233192076</v>
      </c>
      <c r="DB9" s="281">
        <f>TOTAL!DC12</f>
        <v>0.52855165262752812</v>
      </c>
      <c r="DC9" s="281">
        <f>TOTAL!DD12</f>
        <v>0.53110612615020603</v>
      </c>
      <c r="DD9" s="281">
        <f>TOTAL!DE12</f>
        <v>0.53428641941120281</v>
      </c>
      <c r="DE9" s="281">
        <f>TOTAL!DF12</f>
        <v>0.53774756452352357</v>
      </c>
      <c r="DF9" s="281">
        <f>TOTAL!DG12</f>
        <v>0.53945376302451598</v>
      </c>
      <c r="DG9" s="281">
        <f>TOTAL!DH12</f>
        <v>0.54391733600476078</v>
      </c>
      <c r="DH9" s="281">
        <f>TOTAL!DI12</f>
        <v>0.54738565017095375</v>
      </c>
      <c r="DI9" s="281">
        <f>TOTAL!DJ12</f>
        <v>0.55002438693871536</v>
      </c>
      <c r="DJ9" s="281">
        <f>TOTAL!DK12</f>
        <v>0.55190390853210514</v>
      </c>
      <c r="DK9" s="281">
        <f>TOTAL!DL12</f>
        <v>0.55630300328568749</v>
      </c>
      <c r="DL9" s="281">
        <f>TOTAL!DM12</f>
        <v>0.5589622967463469</v>
      </c>
      <c r="DM9" s="281">
        <f>TOTAL!DN12</f>
        <v>0.56327421369141717</v>
      </c>
      <c r="DN9" s="281">
        <f>TOTAL!DO12</f>
        <v>0.56454961109477098</v>
      </c>
      <c r="DO9" s="281">
        <f>TOTAL!DP12</f>
        <v>0.56676286051133928</v>
      </c>
      <c r="DP9" s="281">
        <f>TOTAL!DQ12</f>
        <v>0.56997008919504211</v>
      </c>
      <c r="DQ9" s="281">
        <f>TOTAL!DR12</f>
        <v>0.57022267894810197</v>
      </c>
      <c r="DR9" s="281">
        <f>TOTAL!DS12</f>
        <v>0.57316488788601716</v>
      </c>
      <c r="DS9" s="281">
        <f>TOTAL!DT12</f>
        <v>0.57621920597708676</v>
      </c>
      <c r="DT9" s="281">
        <f>TOTAL!DU12</f>
        <v>0.57990502135681232</v>
      </c>
      <c r="DU9" s="281">
        <f>TOTAL!DV12</f>
        <v>0.58284230741202292</v>
      </c>
      <c r="DV9" s="281">
        <f>TOTAL!DW12</f>
        <v>0.58539360403255425</v>
      </c>
      <c r="DW9" s="281">
        <f>TOTAL!DX12</f>
        <v>0.58760344185280733</v>
      </c>
      <c r="DX9" s="281">
        <f>TOTAL!DY12</f>
        <v>0.59092472875520452</v>
      </c>
      <c r="DY9" s="281">
        <f>TOTAL!DZ12</f>
        <v>0.59331494043745647</v>
      </c>
      <c r="DZ9" s="281">
        <f>TOTAL!EA12</f>
        <v>0.59460972072827445</v>
      </c>
      <c r="EA9" s="281">
        <f>TOTAL!EB12</f>
        <v>0.59618937007423323</v>
      </c>
      <c r="EB9" s="281">
        <f>TOTAL!EC12</f>
        <v>0.59824767482995955</v>
      </c>
      <c r="EC9" s="281">
        <f>TOTAL!ED12</f>
        <v>0.59969499858330311</v>
      </c>
      <c r="ED9" s="281">
        <f>TOTAL!EE12</f>
        <v>0.60202117545443246</v>
      </c>
      <c r="EE9" s="281">
        <f>TOTAL!EF12</f>
        <v>0.60377569884040105</v>
      </c>
      <c r="EF9" s="281">
        <f>TOTAL!EG12</f>
        <v>0.60622344603751432</v>
      </c>
      <c r="EG9" s="281">
        <f>TOTAL!EH12</f>
        <v>0.60878149638233114</v>
      </c>
      <c r="EH9" s="281">
        <f>TOTAL!EI12</f>
        <v>0.61044944964506997</v>
      </c>
      <c r="EI9" s="281">
        <f>TOTAL!EJ12</f>
        <v>0.61251876449984077</v>
      </c>
      <c r="EJ9" s="281">
        <f>TOTAL!EK12</f>
        <v>0.61474837952508965</v>
      </c>
      <c r="EK9" s="281">
        <f>TOTAL!EL12</f>
        <v>0.61632582280903181</v>
      </c>
      <c r="EL9" s="281">
        <f>TOTAL!EM12</f>
        <v>0.61742396866946903</v>
      </c>
      <c r="EM9" s="281">
        <f>TOTAL!EN12</f>
        <v>0.61853288886397839</v>
      </c>
      <c r="EN9" s="281">
        <f>TOTAL!EO12</f>
        <v>0.62006726256391775</v>
      </c>
      <c r="EO9" s="281">
        <f>TOTAL!EP12</f>
        <v>0.62048776618893309</v>
      </c>
      <c r="EP9" s="281">
        <f>TOTAL!EQ12</f>
        <v>0.62081046213903568</v>
      </c>
      <c r="EQ9" s="281">
        <f>TOTAL!ER12</f>
        <v>0.62280177234940404</v>
      </c>
      <c r="ER9" s="281">
        <f>TOTAL!ES12</f>
        <v>0.62444917596758986</v>
      </c>
      <c r="ES9" s="281">
        <f>TOTAL!ET12</f>
        <v>0.6273038612882148</v>
      </c>
      <c r="ET9" s="281">
        <f>TOTAL!EU12</f>
        <v>0.62868457982289982</v>
      </c>
      <c r="EU9" s="281">
        <f>TOTAL!EV12</f>
        <v>0.63051943370483132</v>
      </c>
      <c r="EV9" s="281">
        <f>TOTAL!EW12</f>
        <v>0.63275240910713204</v>
      </c>
      <c r="EW9" s="281">
        <f>TOTAL!EX12</f>
        <v>0.63450473997087986</v>
      </c>
      <c r="EX9" s="281">
        <f>TOTAL!EY12</f>
        <v>0.63568257809463047</v>
      </c>
      <c r="EY9" s="281">
        <f>TOTAL!EZ12</f>
        <v>0.63741049284706841</v>
      </c>
      <c r="EZ9" s="281">
        <f>TOTAL!FA12</f>
        <v>0.63880380073958121</v>
      </c>
      <c r="FA9" s="281">
        <f>TOTAL!FB12</f>
        <v>0.64017855359704301</v>
      </c>
      <c r="FB9" s="281">
        <f>TOTAL!FC12</f>
        <v>0.64131057133823099</v>
      </c>
      <c r="FC9" s="281">
        <f>TOTAL!FD12</f>
        <v>0.6428854428873495</v>
      </c>
      <c r="FD9" s="281">
        <f>TOTAL!FE12</f>
        <v>0.64451162848948618</v>
      </c>
      <c r="FE9" s="281">
        <f>TOTAL!FF12</f>
        <v>0.64649625928930665</v>
      </c>
      <c r="FF9" s="281">
        <f>TOTAL!FG12</f>
        <v>0.64813938349709432</v>
      </c>
      <c r="FG9" s="281">
        <f>TOTAL!FH12</f>
        <v>0.64981216357035243</v>
      </c>
      <c r="FH9" s="281">
        <f>TOTAL!FI12</f>
        <v>0.65180323137394047</v>
      </c>
      <c r="FI9" s="281">
        <f>TOTAL!FJ12</f>
        <v>0.65340026671092011</v>
      </c>
      <c r="FJ9" s="281">
        <f>TOTAL!FK12</f>
        <v>0.65481561710538139</v>
      </c>
      <c r="FK9" s="281">
        <f>TOTAL!FL12</f>
        <v>0.65658399383811572</v>
      </c>
      <c r="FL9" s="281">
        <f>TOTAL!FM12</f>
        <v>0.65780789950974361</v>
      </c>
      <c r="FM9" s="281">
        <f>TOTAL!FN12</f>
        <v>0.65863801063537109</v>
      </c>
      <c r="FN9" s="281">
        <f>TOTAL!FO12</f>
        <v>0.65980737607096795</v>
      </c>
      <c r="FO9" s="281">
        <f>TOTAL!FP12</f>
        <v>0.66113620548420138</v>
      </c>
      <c r="FP9" s="281">
        <f>TOTAL!FQ12</f>
        <v>0.66272674372236318</v>
      </c>
      <c r="FQ9" s="281">
        <f>TOTAL!FR12</f>
        <v>0.6645511863825172</v>
      </c>
      <c r="FR9" s="281">
        <f>TOTAL!FS12</f>
        <v>0.66592128450761656</v>
      </c>
      <c r="FS9" s="281">
        <f>TOTAL!FT12</f>
        <v>0.66695606128379625</v>
      </c>
    </row>
    <row r="12" spans="1:175" x14ac:dyDescent="0.25">
      <c r="EM12" s="508"/>
      <c r="EN12" s="508"/>
      <c r="EO12" s="508"/>
      <c r="EP12" s="508"/>
      <c r="EQ12" s="508"/>
      <c r="ER12" s="508"/>
      <c r="ES12" s="508"/>
    </row>
    <row r="13" spans="1:175" x14ac:dyDescent="0.25">
      <c r="EM13" s="508"/>
      <c r="EN13" s="508"/>
      <c r="EO13" s="508"/>
      <c r="EP13" s="508"/>
      <c r="EQ13" s="508"/>
      <c r="ER13" s="508"/>
      <c r="ES13" s="508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>
      <selection activeCell="Q15" sqref="Q15"/>
    </sheetView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1:FZ1930"/>
  <sheetViews>
    <sheetView zoomScaleNormal="100" workbookViewId="0">
      <pane xSplit="2" ySplit="5" topLeftCell="FK57" activePane="bottomRight" state="frozen"/>
      <selection activeCell="EB37" sqref="EB37"/>
      <selection pane="topRight" activeCell="EB37" sqref="EB37"/>
      <selection pane="bottomLeft" activeCell="EB37" sqref="EB37"/>
      <selection pane="bottomRight" activeCell="FX82" sqref="FX82"/>
    </sheetView>
  </sheetViews>
  <sheetFormatPr defaultColWidth="9.109375" defaultRowHeight="13.2" x14ac:dyDescent="0.25"/>
  <cols>
    <col min="1" max="1" width="1.5546875" style="2" customWidth="1"/>
    <col min="2" max="2" width="31.33203125" style="1" customWidth="1"/>
    <col min="3" max="6" width="11.44140625" style="2" customWidth="1"/>
    <col min="7" max="7" width="11.33203125" style="2" customWidth="1"/>
    <col min="8" max="8" width="11.44140625" style="6" customWidth="1"/>
    <col min="9" max="14" width="11.44140625" style="2" customWidth="1"/>
    <col min="15" max="59" width="11.33203125" style="2" customWidth="1"/>
    <col min="60" max="62" width="11.6640625" style="2" customWidth="1"/>
    <col min="63" max="74" width="10.88671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1" width="13" style="2" customWidth="1"/>
    <col min="102" max="102" width="12.33203125" style="2" customWidth="1"/>
    <col min="103" max="103" width="3" style="2" hidden="1" customWidth="1"/>
    <col min="104" max="105" width="13" style="2" hidden="1" customWidth="1"/>
    <col min="106" max="106" width="3.44140625" style="2" hidden="1" customWidth="1"/>
    <col min="107" max="110" width="13" style="2" hidden="1" customWidth="1"/>
    <col min="111" max="117" width="13" style="2" customWidth="1"/>
    <col min="118" max="118" width="13" style="329" customWidth="1"/>
    <col min="119" max="119" width="13" style="302" customWidth="1"/>
    <col min="120" max="122" width="13" style="2" customWidth="1"/>
    <col min="123" max="123" width="11" style="2" customWidth="1"/>
    <col min="124" max="124" width="11.33203125" style="2" customWidth="1"/>
    <col min="125" max="125" width="11" style="2" customWidth="1"/>
    <col min="126" max="126" width="12.6640625" style="2" customWidth="1"/>
    <col min="127" max="127" width="13" style="2" customWidth="1"/>
    <col min="128" max="128" width="13.6640625" style="2" customWidth="1"/>
    <col min="129" max="129" width="13.109375" style="2" bestFit="1" customWidth="1"/>
    <col min="130" max="130" width="11.44140625" style="297" bestFit="1" customWidth="1"/>
    <col min="131" max="131" width="11.109375" style="2" customWidth="1"/>
    <col min="132" max="132" width="13.109375" style="2" bestFit="1" customWidth="1"/>
    <col min="133" max="133" width="12" style="2" customWidth="1"/>
    <col min="134" max="134" width="11.44140625" style="2" customWidth="1"/>
    <col min="135" max="135" width="10.33203125" style="2" customWidth="1"/>
    <col min="136" max="136" width="11" style="2" customWidth="1"/>
    <col min="137" max="137" width="10.33203125" style="2" customWidth="1"/>
    <col min="138" max="143" width="13.109375" style="2" bestFit="1" customWidth="1"/>
    <col min="144" max="144" width="11.5546875" style="2" customWidth="1"/>
    <col min="145" max="145" width="11.6640625" style="2" customWidth="1"/>
    <col min="146" max="146" width="10.33203125" style="2" customWidth="1"/>
    <col min="147" max="147" width="13.109375" style="2" bestFit="1" customWidth="1"/>
    <col min="148" max="148" width="11.44140625" style="2" bestFit="1" customWidth="1"/>
    <col min="149" max="152" width="13.109375" style="2" bestFit="1" customWidth="1"/>
    <col min="153" max="153" width="11.6640625" style="2" customWidth="1"/>
    <col min="154" max="154" width="10.33203125" style="2" customWidth="1"/>
    <col min="155" max="155" width="11" style="2" customWidth="1"/>
    <col min="156" max="157" width="10.33203125" style="2" customWidth="1"/>
    <col min="158" max="158" width="10.5546875" style="2" customWidth="1"/>
    <col min="159" max="161" width="11.44140625" style="2" bestFit="1" customWidth="1"/>
    <col min="162" max="162" width="10.44140625" style="2" bestFit="1" customWidth="1"/>
    <col min="163" max="164" width="11.44140625" style="2" bestFit="1" customWidth="1"/>
    <col min="165" max="165" width="13.109375" style="2" bestFit="1" customWidth="1"/>
    <col min="166" max="166" width="12.6640625" style="2" customWidth="1"/>
    <col min="167" max="167" width="11.5546875" style="2" customWidth="1"/>
    <col min="168" max="168" width="10.33203125" style="2" customWidth="1"/>
    <col min="169" max="169" width="11" style="2" customWidth="1"/>
    <col min="170" max="170" width="13.6640625" style="2" customWidth="1"/>
    <col min="171" max="171" width="13.109375" style="2" bestFit="1" customWidth="1"/>
    <col min="172" max="173" width="11.44140625" style="2" bestFit="1" customWidth="1"/>
    <col min="174" max="174" width="10.33203125" style="2" customWidth="1"/>
    <col min="175" max="175" width="12" style="2" customWidth="1"/>
    <col min="176" max="176" width="10.21875" style="2" customWidth="1"/>
    <col min="177" max="16384" width="9.109375" style="2"/>
  </cols>
  <sheetData>
    <row r="1" spans="2:182" ht="13.5" customHeight="1" x14ac:dyDescent="0.25">
      <c r="ED1" s="302" t="s">
        <v>95</v>
      </c>
    </row>
    <row r="2" spans="2:182" ht="13.5" customHeight="1" x14ac:dyDescent="0.25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ht="13.5" customHeight="1" thickBot="1" x14ac:dyDescent="0.3">
      <c r="B3" s="2"/>
      <c r="C3" s="582" t="s">
        <v>46</v>
      </c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46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 t="s">
        <v>23</v>
      </c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 t="s">
        <v>46</v>
      </c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 t="s">
        <v>46</v>
      </c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 t="s">
        <v>46</v>
      </c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76" t="s">
        <v>23</v>
      </c>
      <c r="BX3" s="576"/>
      <c r="BY3" s="576"/>
      <c r="BZ3" s="576"/>
      <c r="CA3" s="576"/>
      <c r="CB3" s="576"/>
      <c r="CC3" s="576"/>
      <c r="CD3" s="576"/>
      <c r="CE3" s="576"/>
      <c r="CF3" s="576"/>
      <c r="CG3" s="576"/>
      <c r="CH3" s="576"/>
      <c r="CI3" s="576" t="s">
        <v>23</v>
      </c>
      <c r="CJ3" s="576"/>
      <c r="CK3" s="576"/>
      <c r="CL3" s="576"/>
      <c r="CM3" s="576"/>
      <c r="CN3" s="576"/>
      <c r="CO3" s="576"/>
      <c r="CP3" s="576"/>
      <c r="CQ3" s="576"/>
      <c r="CR3" s="576"/>
      <c r="CS3" s="576"/>
      <c r="CT3" s="576"/>
      <c r="CU3" s="576" t="s">
        <v>23</v>
      </c>
      <c r="CV3" s="576"/>
      <c r="CW3" s="576"/>
      <c r="CX3" s="576"/>
      <c r="CY3" s="576"/>
      <c r="CZ3" s="576"/>
      <c r="DA3" s="576"/>
      <c r="DB3" s="576"/>
      <c r="DC3" s="576"/>
      <c r="DD3" s="576"/>
      <c r="DE3" s="576"/>
      <c r="DF3" s="576"/>
      <c r="DG3" s="582" t="s">
        <v>23</v>
      </c>
      <c r="DH3" s="582"/>
      <c r="DI3" s="582"/>
      <c r="DJ3" s="582"/>
      <c r="DK3" s="582"/>
      <c r="DL3" s="582"/>
      <c r="DM3" s="582"/>
      <c r="DN3" s="582"/>
      <c r="DO3" s="582"/>
      <c r="DP3" s="582"/>
      <c r="DQ3" s="582"/>
      <c r="DR3" s="582"/>
      <c r="DS3" s="582" t="s">
        <v>46</v>
      </c>
      <c r="DT3" s="582"/>
      <c r="DU3" s="582"/>
      <c r="DV3" s="582"/>
      <c r="DW3" s="582"/>
      <c r="DX3" s="582"/>
      <c r="DY3" s="582"/>
      <c r="DZ3" s="582"/>
      <c r="EA3" s="582"/>
      <c r="EB3" s="582"/>
      <c r="EC3" s="582"/>
      <c r="ED3" s="582"/>
      <c r="EE3" s="582" t="s">
        <v>46</v>
      </c>
      <c r="EF3" s="582"/>
      <c r="EG3" s="582"/>
      <c r="EH3" s="582"/>
      <c r="EI3" s="582"/>
      <c r="EJ3" s="582"/>
      <c r="EK3" s="582"/>
      <c r="EL3" s="582"/>
      <c r="EM3" s="582"/>
      <c r="EN3" s="582"/>
      <c r="EO3" s="582"/>
      <c r="EP3" s="582"/>
      <c r="EQ3" s="582" t="s">
        <v>46</v>
      </c>
      <c r="ER3" s="582"/>
      <c r="ES3" s="582"/>
      <c r="ET3" s="582"/>
      <c r="EU3" s="582"/>
      <c r="EV3" s="582"/>
      <c r="EW3" s="582"/>
      <c r="EX3" s="582"/>
      <c r="EY3" s="582"/>
      <c r="EZ3" s="582"/>
      <c r="FA3" s="582"/>
      <c r="FB3" s="582"/>
      <c r="FC3" s="582" t="s">
        <v>46</v>
      </c>
      <c r="FD3" s="582"/>
      <c r="FE3" s="582"/>
      <c r="FF3" s="582"/>
      <c r="FG3" s="582"/>
      <c r="FH3" s="582"/>
      <c r="FI3" s="582"/>
      <c r="FJ3" s="582"/>
      <c r="FK3" s="582"/>
      <c r="FL3" s="582"/>
      <c r="FM3" s="582"/>
      <c r="FN3" s="582"/>
      <c r="FO3" s="582" t="s">
        <v>46</v>
      </c>
      <c r="FP3" s="582"/>
      <c r="FQ3" s="582"/>
      <c r="FR3" s="582"/>
      <c r="FS3" s="582"/>
      <c r="FT3" s="582"/>
      <c r="FU3" s="582"/>
      <c r="FV3" s="582"/>
      <c r="FW3" s="582"/>
      <c r="FX3" s="582"/>
      <c r="FY3" s="582"/>
      <c r="FZ3" s="582"/>
    </row>
    <row r="4" spans="2:182" s="263" customFormat="1" ht="13.5" customHeight="1" thickBot="1" x14ac:dyDescent="0.3">
      <c r="C4" s="586">
        <v>2002</v>
      </c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8"/>
      <c r="O4" s="586">
        <v>2003</v>
      </c>
      <c r="P4" s="587"/>
      <c r="Q4" s="587"/>
      <c r="R4" s="587"/>
      <c r="S4" s="587"/>
      <c r="T4" s="587"/>
      <c r="U4" s="587"/>
      <c r="V4" s="587"/>
      <c r="W4" s="587"/>
      <c r="X4" s="587"/>
      <c r="Y4" s="587"/>
      <c r="Z4" s="588"/>
      <c r="AA4" s="586">
        <v>2004</v>
      </c>
      <c r="AB4" s="587"/>
      <c r="AC4" s="587"/>
      <c r="AD4" s="587"/>
      <c r="AE4" s="587"/>
      <c r="AF4" s="587"/>
      <c r="AG4" s="587"/>
      <c r="AH4" s="587"/>
      <c r="AI4" s="587"/>
      <c r="AJ4" s="587"/>
      <c r="AK4" s="587"/>
      <c r="AL4" s="588"/>
      <c r="AM4" s="586">
        <v>2005</v>
      </c>
      <c r="AN4" s="587"/>
      <c r="AO4" s="587"/>
      <c r="AP4" s="587"/>
      <c r="AQ4" s="587"/>
      <c r="AR4" s="587"/>
      <c r="AS4" s="587"/>
      <c r="AT4" s="587"/>
      <c r="AU4" s="587"/>
      <c r="AV4" s="587"/>
      <c r="AW4" s="587"/>
      <c r="AX4" s="588"/>
      <c r="AY4" s="586">
        <v>2006</v>
      </c>
      <c r="AZ4" s="587"/>
      <c r="BA4" s="587"/>
      <c r="BB4" s="587"/>
      <c r="BC4" s="587"/>
      <c r="BD4" s="587"/>
      <c r="BE4" s="587"/>
      <c r="BF4" s="587"/>
      <c r="BG4" s="587"/>
      <c r="BH4" s="587"/>
      <c r="BI4" s="587"/>
      <c r="BJ4" s="588"/>
      <c r="BK4" s="586">
        <v>2007</v>
      </c>
      <c r="BL4" s="587"/>
      <c r="BM4" s="587"/>
      <c r="BN4" s="587"/>
      <c r="BO4" s="587"/>
      <c r="BP4" s="587"/>
      <c r="BQ4" s="587"/>
      <c r="BR4" s="587"/>
      <c r="BS4" s="587"/>
      <c r="BT4" s="587"/>
      <c r="BU4" s="587"/>
      <c r="BV4" s="588"/>
      <c r="BW4" s="586">
        <v>2008</v>
      </c>
      <c r="BX4" s="587"/>
      <c r="BY4" s="587"/>
      <c r="BZ4" s="587"/>
      <c r="CA4" s="587"/>
      <c r="CB4" s="587"/>
      <c r="CC4" s="587"/>
      <c r="CD4" s="587"/>
      <c r="CE4" s="587"/>
      <c r="CF4" s="587"/>
      <c r="CG4" s="587"/>
      <c r="CH4" s="588"/>
      <c r="CI4" s="572">
        <v>2009</v>
      </c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4"/>
      <c r="CU4" s="577">
        <v>2010</v>
      </c>
      <c r="CV4" s="578"/>
      <c r="CW4" s="578"/>
      <c r="CX4" s="578"/>
      <c r="CY4" s="578"/>
      <c r="CZ4" s="578"/>
      <c r="DA4" s="578"/>
      <c r="DB4" s="578"/>
      <c r="DC4" s="578"/>
      <c r="DD4" s="578"/>
      <c r="DE4" s="578"/>
      <c r="DF4" s="592"/>
      <c r="DG4" s="595">
        <v>2011</v>
      </c>
      <c r="DH4" s="596"/>
      <c r="DI4" s="596"/>
      <c r="DJ4" s="596"/>
      <c r="DK4" s="596"/>
      <c r="DL4" s="596"/>
      <c r="DM4" s="596"/>
      <c r="DN4" s="596"/>
      <c r="DO4" s="596"/>
      <c r="DP4" s="596"/>
      <c r="DQ4" s="596"/>
      <c r="DR4" s="597"/>
      <c r="DS4" s="595">
        <v>2012</v>
      </c>
      <c r="DT4" s="596"/>
      <c r="DU4" s="596"/>
      <c r="DV4" s="596"/>
      <c r="DW4" s="596"/>
      <c r="DX4" s="596"/>
      <c r="DY4" s="596"/>
      <c r="DZ4" s="596"/>
      <c r="EA4" s="596"/>
      <c r="EB4" s="596"/>
      <c r="EC4" s="596"/>
      <c r="ED4" s="597"/>
      <c r="EE4" s="572">
        <v>2013</v>
      </c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4"/>
      <c r="EQ4" s="572">
        <v>2014</v>
      </c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4"/>
      <c r="FC4" s="572">
        <v>2015</v>
      </c>
      <c r="FD4" s="573"/>
      <c r="FE4" s="573"/>
      <c r="FF4" s="573"/>
      <c r="FG4" s="573"/>
      <c r="FH4" s="573"/>
      <c r="FI4" s="573"/>
      <c r="FJ4" s="573"/>
      <c r="FK4" s="573"/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2:182" s="1" customFormat="1" ht="13.5" customHeight="1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20" t="s">
        <v>72</v>
      </c>
      <c r="DH5" s="211" t="s">
        <v>73</v>
      </c>
      <c r="DI5" s="211" t="s">
        <v>2</v>
      </c>
      <c r="DJ5" s="211" t="s">
        <v>3</v>
      </c>
      <c r="DK5" s="211" t="s">
        <v>4</v>
      </c>
      <c r="DL5" s="211" t="s">
        <v>5</v>
      </c>
      <c r="DM5" s="211" t="s">
        <v>6</v>
      </c>
      <c r="DN5" s="211" t="s">
        <v>7</v>
      </c>
      <c r="DO5" s="211" t="s">
        <v>68</v>
      </c>
      <c r="DP5" s="211" t="s">
        <v>69</v>
      </c>
      <c r="DQ5" s="211" t="s">
        <v>70</v>
      </c>
      <c r="DR5" s="212" t="s">
        <v>71</v>
      </c>
      <c r="DS5" s="220" t="s">
        <v>72</v>
      </c>
      <c r="DT5" s="211" t="s">
        <v>73</v>
      </c>
      <c r="DU5" s="211" t="s">
        <v>2</v>
      </c>
      <c r="DV5" s="211" t="s">
        <v>3</v>
      </c>
      <c r="DW5" s="211" t="s">
        <v>4</v>
      </c>
      <c r="DX5" s="211" t="s">
        <v>5</v>
      </c>
      <c r="DY5" s="211" t="s">
        <v>6</v>
      </c>
      <c r="DZ5" s="211" t="s">
        <v>7</v>
      </c>
      <c r="EA5" s="211" t="s">
        <v>68</v>
      </c>
      <c r="EB5" s="211" t="s">
        <v>69</v>
      </c>
      <c r="EC5" s="211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2:182" ht="13.5" customHeight="1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42"/>
      <c r="P6" s="42"/>
      <c r="Q6" s="18"/>
      <c r="Z6" s="66"/>
      <c r="AM6" s="174"/>
      <c r="AY6" s="174"/>
      <c r="BK6" s="174"/>
      <c r="BV6" s="66"/>
      <c r="BW6" s="174"/>
      <c r="CC6" s="589" t="s">
        <v>90</v>
      </c>
      <c r="CD6" s="589"/>
      <c r="CE6" s="589"/>
      <c r="CH6" s="64"/>
      <c r="CI6" s="252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20"/>
    </row>
    <row r="7" spans="2:182" ht="13.5" customHeight="1" x14ac:dyDescent="0.25">
      <c r="B7" s="3"/>
      <c r="C7" s="18"/>
      <c r="D7" s="18"/>
      <c r="E7" s="18"/>
      <c r="F7" s="18"/>
      <c r="G7" s="18"/>
      <c r="H7" s="19"/>
      <c r="I7" s="18"/>
      <c r="J7" s="18"/>
      <c r="K7" s="42"/>
      <c r="L7" s="18"/>
      <c r="M7" s="18"/>
      <c r="N7" s="20"/>
      <c r="O7" s="42"/>
      <c r="P7" s="42"/>
      <c r="Q7" s="18"/>
      <c r="Z7" s="20"/>
      <c r="AM7" s="74"/>
      <c r="AY7" s="74"/>
      <c r="BK7" s="74"/>
      <c r="BV7" s="20"/>
      <c r="BW7" s="74"/>
      <c r="CC7" s="590"/>
      <c r="CD7" s="590"/>
      <c r="CE7" s="590"/>
      <c r="CH7" s="18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20"/>
    </row>
    <row r="8" spans="2:182" ht="13.5" customHeight="1" x14ac:dyDescent="0.25">
      <c r="B8" s="3" t="s">
        <v>1</v>
      </c>
      <c r="C8" s="29">
        <v>1154571</v>
      </c>
      <c r="D8" s="29">
        <v>1154571</v>
      </c>
      <c r="E8" s="16">
        <v>1487189</v>
      </c>
      <c r="F8" s="16">
        <v>1484765</v>
      </c>
      <c r="G8" s="16">
        <v>1471559</v>
      </c>
      <c r="H8" s="16">
        <v>1454591</v>
      </c>
      <c r="I8" s="16">
        <v>1460213</v>
      </c>
      <c r="J8" s="16">
        <v>1412422</v>
      </c>
      <c r="K8" s="39">
        <v>1410641</v>
      </c>
      <c r="L8" s="16">
        <v>1415381</v>
      </c>
      <c r="M8" s="16">
        <v>1416859</v>
      </c>
      <c r="N8" s="21">
        <v>1417307</v>
      </c>
      <c r="O8" s="39">
        <v>1412437</v>
      </c>
      <c r="P8" s="39">
        <v>1415260</v>
      </c>
      <c r="Q8" s="16">
        <v>1416926</v>
      </c>
      <c r="R8" s="39">
        <v>1418684</v>
      </c>
      <c r="S8" s="39">
        <v>1421238</v>
      </c>
      <c r="T8" s="39">
        <v>1423525</v>
      </c>
      <c r="U8" s="39">
        <v>1425118</v>
      </c>
      <c r="V8" s="39">
        <v>1425420</v>
      </c>
      <c r="W8" s="39">
        <v>1422697</v>
      </c>
      <c r="X8" s="39">
        <v>1417431</v>
      </c>
      <c r="Y8" s="39">
        <v>1410127</v>
      </c>
      <c r="Z8" s="193">
        <v>1407346</v>
      </c>
      <c r="AA8" s="39">
        <v>1405294</v>
      </c>
      <c r="AB8" s="39">
        <v>1403171</v>
      </c>
      <c r="AC8" s="39">
        <v>1400635</v>
      </c>
      <c r="AD8" s="39">
        <v>1398500</v>
      </c>
      <c r="AE8" s="39">
        <v>1396717</v>
      </c>
      <c r="AF8" s="39">
        <v>1392208</v>
      </c>
      <c r="AG8" s="39">
        <v>1383232</v>
      </c>
      <c r="AH8" s="39">
        <v>1375586</v>
      </c>
      <c r="AI8" s="39">
        <v>1366161</v>
      </c>
      <c r="AJ8" s="68">
        <v>1358972</v>
      </c>
      <c r="AK8" s="68">
        <v>1352200</v>
      </c>
      <c r="AL8" s="68">
        <v>1341801</v>
      </c>
      <c r="AM8" s="88">
        <v>1334968</v>
      </c>
      <c r="AN8" s="68">
        <v>1325645</v>
      </c>
      <c r="AO8" s="68">
        <v>1318985</v>
      </c>
      <c r="AP8" s="68">
        <v>1312230</v>
      </c>
      <c r="AQ8" s="68">
        <v>1304568</v>
      </c>
      <c r="AR8" s="68">
        <v>1295766</v>
      </c>
      <c r="AS8" s="68">
        <v>1285329</v>
      </c>
      <c r="AT8" s="68">
        <v>1268919</v>
      </c>
      <c r="AU8" s="68">
        <v>1249788</v>
      </c>
      <c r="AV8" s="68">
        <v>1233679</v>
      </c>
      <c r="AW8" s="68">
        <v>1225757</v>
      </c>
      <c r="AX8" s="68">
        <v>1223224</v>
      </c>
      <c r="AY8" s="88">
        <v>1223457</v>
      </c>
      <c r="AZ8" s="68">
        <v>1222677</v>
      </c>
      <c r="BA8" s="68">
        <v>1220656</v>
      </c>
      <c r="BB8" s="68">
        <v>1217082</v>
      </c>
      <c r="BC8" s="68">
        <v>1211656</v>
      </c>
      <c r="BD8" s="68">
        <v>1201329</v>
      </c>
      <c r="BE8" s="68">
        <v>1183515</v>
      </c>
      <c r="BF8" s="68">
        <v>1169818</v>
      </c>
      <c r="BG8" s="68">
        <v>1154253</v>
      </c>
      <c r="BH8" s="68">
        <v>1139532</v>
      </c>
      <c r="BI8" s="68">
        <v>1127589</v>
      </c>
      <c r="BJ8" s="68">
        <v>1111386</v>
      </c>
      <c r="BK8" s="88">
        <v>1099743</v>
      </c>
      <c r="BL8" s="68">
        <v>1092529</v>
      </c>
      <c r="BM8" s="68">
        <v>1084483</v>
      </c>
      <c r="BN8" s="68">
        <v>1083194</v>
      </c>
      <c r="BO8" s="68">
        <v>1080617</v>
      </c>
      <c r="BP8" s="68">
        <v>1076666</v>
      </c>
      <c r="BQ8" s="68">
        <v>1071597</v>
      </c>
      <c r="BR8" s="68">
        <v>1065958</v>
      </c>
      <c r="BS8" s="68">
        <v>1059429</v>
      </c>
      <c r="BT8" s="68">
        <v>1050899</v>
      </c>
      <c r="BU8" s="68">
        <v>1040867</v>
      </c>
      <c r="BV8" s="89">
        <v>1032786</v>
      </c>
      <c r="BW8" s="88">
        <v>1024094</v>
      </c>
      <c r="BX8" s="68">
        <v>1018127</v>
      </c>
      <c r="BY8" s="68">
        <v>1011138</v>
      </c>
      <c r="BZ8" s="68">
        <v>1004405</v>
      </c>
      <c r="CA8" s="68">
        <v>998221</v>
      </c>
      <c r="CB8" s="68">
        <v>1001505</v>
      </c>
      <c r="CC8" s="68">
        <v>1009668</v>
      </c>
      <c r="CD8" s="68">
        <v>1012751</v>
      </c>
      <c r="CE8" s="68">
        <v>1006923</v>
      </c>
      <c r="CF8" s="68">
        <v>992222</v>
      </c>
      <c r="CG8" s="68">
        <v>967249</v>
      </c>
      <c r="CH8" s="69">
        <v>988565</v>
      </c>
      <c r="CI8" s="201">
        <v>991481</v>
      </c>
      <c r="CJ8" s="69">
        <v>986027</v>
      </c>
      <c r="CK8" s="69">
        <v>981342</v>
      </c>
      <c r="CL8" s="69">
        <v>974377</v>
      </c>
      <c r="CM8" s="69">
        <v>967173</v>
      </c>
      <c r="CN8" s="69">
        <v>960806</v>
      </c>
      <c r="CO8" s="69">
        <v>954332</v>
      </c>
      <c r="CP8" s="69">
        <v>945651</v>
      </c>
      <c r="CQ8" s="69">
        <v>939664</v>
      </c>
      <c r="CR8" s="69">
        <v>925770</v>
      </c>
      <c r="CS8" s="69">
        <v>917481</v>
      </c>
      <c r="CT8" s="89">
        <v>910956</v>
      </c>
      <c r="CU8" s="69">
        <v>904667</v>
      </c>
      <c r="CV8" s="69">
        <v>899622</v>
      </c>
      <c r="CW8" s="69">
        <v>896163</v>
      </c>
      <c r="CX8" s="69">
        <v>893613</v>
      </c>
      <c r="CY8" s="69">
        <v>888576</v>
      </c>
      <c r="CZ8" s="69">
        <v>884596</v>
      </c>
      <c r="DA8" s="69">
        <v>876218</v>
      </c>
      <c r="DB8" s="69">
        <v>868809</v>
      </c>
      <c r="DC8" s="69">
        <v>862042</v>
      </c>
      <c r="DD8" s="69">
        <v>858579</v>
      </c>
      <c r="DE8" s="69">
        <v>853517</v>
      </c>
      <c r="DF8" s="89">
        <v>849965</v>
      </c>
      <c r="DG8" s="311">
        <v>847623</v>
      </c>
      <c r="DH8" s="311">
        <v>846632</v>
      </c>
      <c r="DI8" s="311">
        <v>846094</v>
      </c>
      <c r="DJ8" s="311">
        <v>843456</v>
      </c>
      <c r="DK8" s="311">
        <v>841092</v>
      </c>
      <c r="DL8" s="311">
        <v>841260</v>
      </c>
      <c r="DM8" s="311">
        <v>840414</v>
      </c>
      <c r="DN8" s="328">
        <v>839385</v>
      </c>
      <c r="DO8" s="311">
        <v>839129</v>
      </c>
      <c r="DP8" s="311">
        <v>839523</v>
      </c>
      <c r="DQ8" s="311">
        <v>835344</v>
      </c>
      <c r="DR8" s="311">
        <v>832320</v>
      </c>
      <c r="DS8" s="297">
        <v>829711</v>
      </c>
      <c r="DT8" s="311">
        <v>827498</v>
      </c>
      <c r="DU8" s="311">
        <v>824809</v>
      </c>
      <c r="DV8" s="311">
        <v>821257</v>
      </c>
      <c r="DW8" s="311">
        <v>818515</v>
      </c>
      <c r="DX8" s="311">
        <v>816140</v>
      </c>
      <c r="DY8" s="311">
        <v>812346</v>
      </c>
      <c r="DZ8" s="297">
        <v>811114</v>
      </c>
      <c r="EA8" s="311">
        <v>810758</v>
      </c>
      <c r="EB8" s="311">
        <v>806655</v>
      </c>
      <c r="EC8" s="311">
        <v>801902</v>
      </c>
      <c r="ED8" s="311">
        <v>799016</v>
      </c>
      <c r="EE8" s="311">
        <v>795533</v>
      </c>
      <c r="EF8" s="311">
        <v>792584</v>
      </c>
      <c r="EG8" s="311">
        <v>789908</v>
      </c>
      <c r="EH8" s="311">
        <v>787404</v>
      </c>
      <c r="EI8" s="311">
        <v>785220</v>
      </c>
      <c r="EJ8" s="311">
        <v>784092</v>
      </c>
      <c r="EK8" s="359">
        <f>783227+496</f>
        <v>783723</v>
      </c>
      <c r="EL8" s="359">
        <f>782953+489</f>
        <v>783442</v>
      </c>
      <c r="EM8" s="359">
        <f>781446+491</f>
        <v>781937</v>
      </c>
      <c r="EN8" s="509">
        <v>780753</v>
      </c>
      <c r="EO8" s="509">
        <v>778362</v>
      </c>
      <c r="EP8" s="509">
        <v>777067</v>
      </c>
      <c r="EQ8" s="351">
        <v>776718</v>
      </c>
      <c r="ER8" s="351">
        <v>776511</v>
      </c>
      <c r="ES8" s="351">
        <v>776840</v>
      </c>
      <c r="ET8" s="351">
        <v>775568</v>
      </c>
      <c r="EU8" s="351">
        <v>774183</v>
      </c>
      <c r="EV8" s="351">
        <v>773797</v>
      </c>
      <c r="EW8" s="351">
        <v>772678</v>
      </c>
      <c r="EX8" s="351">
        <v>770797</v>
      </c>
      <c r="EY8" s="351">
        <v>770318</v>
      </c>
      <c r="EZ8" s="351">
        <v>769388</v>
      </c>
      <c r="FA8" s="351">
        <v>766072</v>
      </c>
      <c r="FB8" s="351">
        <v>763468</v>
      </c>
      <c r="FC8" s="351">
        <v>761997</v>
      </c>
      <c r="FD8" s="351">
        <v>760051</v>
      </c>
      <c r="FE8" s="351">
        <v>759340</v>
      </c>
      <c r="FF8" s="120">
        <v>758557</v>
      </c>
      <c r="FG8" s="351">
        <v>757178</v>
      </c>
      <c r="FH8" s="351">
        <v>757426</v>
      </c>
      <c r="FI8" s="359">
        <v>756125</v>
      </c>
      <c r="FJ8" s="359">
        <v>753948</v>
      </c>
      <c r="FK8" s="359">
        <v>751162</v>
      </c>
      <c r="FL8" s="362">
        <v>748952</v>
      </c>
      <c r="FM8" s="362">
        <v>747182</v>
      </c>
      <c r="FN8" s="362">
        <v>748041</v>
      </c>
      <c r="FO8" s="362">
        <v>749253</v>
      </c>
      <c r="FP8" s="362">
        <v>750109</v>
      </c>
      <c r="FQ8" s="362">
        <v>749472</v>
      </c>
      <c r="FR8" s="362">
        <v>748216</v>
      </c>
      <c r="FS8" s="362">
        <v>747703</v>
      </c>
      <c r="FT8" s="362">
        <v>748916</v>
      </c>
    </row>
    <row r="9" spans="2:182" ht="13.5" customHeight="1" thickBot="1" x14ac:dyDescent="0.3">
      <c r="B9" s="5" t="s">
        <v>8</v>
      </c>
      <c r="C9" s="30">
        <v>30183</v>
      </c>
      <c r="D9" s="30">
        <v>44139</v>
      </c>
      <c r="E9" s="17">
        <v>47791</v>
      </c>
      <c r="F9" s="17">
        <v>50215</v>
      </c>
      <c r="G9" s="17">
        <v>66353</v>
      </c>
      <c r="H9" s="17">
        <v>88930</v>
      </c>
      <c r="I9" s="17">
        <v>82952</v>
      </c>
      <c r="J9" s="17">
        <v>137854</v>
      </c>
      <c r="K9" s="40">
        <v>145625</v>
      </c>
      <c r="L9" s="17">
        <v>149644</v>
      </c>
      <c r="M9" s="17">
        <v>150163</v>
      </c>
      <c r="N9" s="22">
        <v>151923</v>
      </c>
      <c r="O9" s="40">
        <v>156205</v>
      </c>
      <c r="P9" s="40">
        <v>159006</v>
      </c>
      <c r="Q9" s="17">
        <v>162461</v>
      </c>
      <c r="R9" s="40">
        <v>165673</v>
      </c>
      <c r="S9" s="40">
        <v>167906</v>
      </c>
      <c r="T9" s="40">
        <v>169220</v>
      </c>
      <c r="U9" s="40">
        <v>174627</v>
      </c>
      <c r="V9" s="40">
        <v>179999</v>
      </c>
      <c r="W9" s="40">
        <v>188701</v>
      </c>
      <c r="X9" s="40">
        <v>198757</v>
      </c>
      <c r="Y9" s="40">
        <v>206746</v>
      </c>
      <c r="Z9" s="196">
        <v>215554</v>
      </c>
      <c r="AA9" s="40">
        <v>220905</v>
      </c>
      <c r="AB9" s="40">
        <v>224148</v>
      </c>
      <c r="AC9" s="40">
        <v>231637</v>
      </c>
      <c r="AD9" s="40">
        <v>237708</v>
      </c>
      <c r="AE9" s="40">
        <v>244320</v>
      </c>
      <c r="AF9" s="40">
        <v>255071</v>
      </c>
      <c r="AG9" s="40">
        <v>267173</v>
      </c>
      <c r="AH9" s="40">
        <v>279633</v>
      </c>
      <c r="AI9" s="39">
        <v>293293</v>
      </c>
      <c r="AJ9" s="68">
        <v>303744</v>
      </c>
      <c r="AK9" s="68">
        <v>313913</v>
      </c>
      <c r="AL9" s="68">
        <v>324296</v>
      </c>
      <c r="AM9" s="88">
        <v>334993</v>
      </c>
      <c r="AN9" s="68">
        <v>347841</v>
      </c>
      <c r="AO9" s="68">
        <v>358970</v>
      </c>
      <c r="AP9" s="68">
        <v>369643</v>
      </c>
      <c r="AQ9" s="68">
        <v>382943</v>
      </c>
      <c r="AR9" s="68">
        <v>398169</v>
      </c>
      <c r="AS9" s="68">
        <v>414860</v>
      </c>
      <c r="AT9" s="68">
        <v>436033</v>
      </c>
      <c r="AU9" s="68">
        <v>457438</v>
      </c>
      <c r="AV9" s="68">
        <v>475846</v>
      </c>
      <c r="AW9" s="68">
        <v>490641</v>
      </c>
      <c r="AX9" s="68">
        <v>498921</v>
      </c>
      <c r="AY9" s="88">
        <v>504806</v>
      </c>
      <c r="AZ9" s="68">
        <v>509819</v>
      </c>
      <c r="BA9" s="68">
        <v>513519</v>
      </c>
      <c r="BB9" s="68">
        <v>521758</v>
      </c>
      <c r="BC9" s="68">
        <v>533174</v>
      </c>
      <c r="BD9" s="68">
        <v>549698</v>
      </c>
      <c r="BE9" s="68">
        <v>573585</v>
      </c>
      <c r="BF9" s="68">
        <v>589509</v>
      </c>
      <c r="BG9" s="68">
        <v>607318</v>
      </c>
      <c r="BH9" s="68">
        <v>623712</v>
      </c>
      <c r="BI9" s="68">
        <v>637666</v>
      </c>
      <c r="BJ9" s="68">
        <v>648585</v>
      </c>
      <c r="BK9" s="88">
        <v>661039</v>
      </c>
      <c r="BL9" s="68">
        <v>671042</v>
      </c>
      <c r="BM9" s="68">
        <v>683520</v>
      </c>
      <c r="BN9" s="68">
        <v>694576</v>
      </c>
      <c r="BO9" s="68">
        <v>703804</v>
      </c>
      <c r="BP9" s="68">
        <v>715366</v>
      </c>
      <c r="BQ9" s="68">
        <v>725551</v>
      </c>
      <c r="BR9" s="68">
        <v>734239</v>
      </c>
      <c r="BS9" s="68">
        <v>748976</v>
      </c>
      <c r="BT9" s="68">
        <v>759801</v>
      </c>
      <c r="BU9" s="68">
        <v>770017</v>
      </c>
      <c r="BV9" s="89">
        <v>783338</v>
      </c>
      <c r="BW9" s="88">
        <v>792531</v>
      </c>
      <c r="BX9" s="68">
        <v>801301</v>
      </c>
      <c r="BY9" s="68">
        <v>813078</v>
      </c>
      <c r="BZ9" s="68">
        <v>826661</v>
      </c>
      <c r="CA9" s="68">
        <v>838161</v>
      </c>
      <c r="CB9" s="68">
        <v>853819</v>
      </c>
      <c r="CC9" s="68">
        <v>842231</v>
      </c>
      <c r="CD9" s="68">
        <v>841476</v>
      </c>
      <c r="CE9" s="68">
        <v>841926</v>
      </c>
      <c r="CF9" s="68">
        <v>831130</v>
      </c>
      <c r="CG9" s="68">
        <v>818881</v>
      </c>
      <c r="CH9" s="69">
        <v>849190</v>
      </c>
      <c r="CI9" s="210">
        <v>854553</v>
      </c>
      <c r="CJ9" s="92">
        <v>860503</v>
      </c>
      <c r="CK9" s="92">
        <v>872591</v>
      </c>
      <c r="CL9" s="92">
        <v>885120</v>
      </c>
      <c r="CM9" s="92">
        <v>896366</v>
      </c>
      <c r="CN9" s="92">
        <v>908859</v>
      </c>
      <c r="CO9" s="92">
        <v>917837</v>
      </c>
      <c r="CP9" s="92">
        <v>930976</v>
      </c>
      <c r="CQ9" s="92">
        <v>951756</v>
      </c>
      <c r="CR9" s="92">
        <v>960953</v>
      </c>
      <c r="CS9" s="92">
        <v>964552</v>
      </c>
      <c r="CT9" s="93">
        <v>972267</v>
      </c>
      <c r="CU9" s="91">
        <v>976833</v>
      </c>
      <c r="CV9" s="92">
        <v>983862</v>
      </c>
      <c r="CW9" s="92">
        <v>990496</v>
      </c>
      <c r="CX9" s="92">
        <v>999888</v>
      </c>
      <c r="CY9" s="92">
        <v>1006586</v>
      </c>
      <c r="CZ9" s="92">
        <v>1019153</v>
      </c>
      <c r="DA9" s="92">
        <v>1029004</v>
      </c>
      <c r="DB9" s="92">
        <v>1039449</v>
      </c>
      <c r="DC9" s="92">
        <v>1045122</v>
      </c>
      <c r="DD9" s="92">
        <v>1049290</v>
      </c>
      <c r="DE9" s="92">
        <v>1052159</v>
      </c>
      <c r="DF9" s="93">
        <v>1057387</v>
      </c>
      <c r="DG9" s="287">
        <v>1064114</v>
      </c>
      <c r="DH9" s="287">
        <v>1065716</v>
      </c>
      <c r="DI9" s="287">
        <v>1073966</v>
      </c>
      <c r="DJ9" s="287">
        <v>1082374</v>
      </c>
      <c r="DK9" s="287">
        <v>1086794</v>
      </c>
      <c r="DL9" s="287">
        <v>1095993</v>
      </c>
      <c r="DM9" s="287">
        <v>1103379</v>
      </c>
      <c r="DN9" s="331">
        <v>1109641</v>
      </c>
      <c r="DO9" s="331">
        <v>1108247</v>
      </c>
      <c r="DP9" s="331">
        <v>1112464</v>
      </c>
      <c r="DQ9" s="331">
        <v>1110941</v>
      </c>
      <c r="DR9" s="331">
        <v>1113148</v>
      </c>
      <c r="DS9" s="331">
        <v>1116986</v>
      </c>
      <c r="DT9" s="331">
        <v>1121340</v>
      </c>
      <c r="DU9" s="331">
        <v>1128582</v>
      </c>
      <c r="DV9" s="363">
        <v>1135558</v>
      </c>
      <c r="DW9" s="363">
        <v>1144361</v>
      </c>
      <c r="DX9" s="363">
        <v>1153284</v>
      </c>
      <c r="DY9" s="363">
        <v>1166351</v>
      </c>
      <c r="DZ9" s="276">
        <v>1176508</v>
      </c>
      <c r="EA9" s="276">
        <v>1175273</v>
      </c>
      <c r="EB9" s="287">
        <v>1172095</v>
      </c>
      <c r="EC9" s="287">
        <v>1176099</v>
      </c>
      <c r="ED9" s="287">
        <v>1179711</v>
      </c>
      <c r="EE9" s="287">
        <v>1189037</v>
      </c>
      <c r="EF9" s="287">
        <v>1191232</v>
      </c>
      <c r="EG9" s="287">
        <v>1199647</v>
      </c>
      <c r="EH9" s="287">
        <v>1208769</v>
      </c>
      <c r="EI9" s="287">
        <v>1213278</v>
      </c>
      <c r="EJ9" s="287">
        <v>1224139</v>
      </c>
      <c r="EK9" s="287">
        <v>1234636</v>
      </c>
      <c r="EL9" s="287">
        <v>1240083</v>
      </c>
      <c r="EM9" s="287">
        <v>1240887</v>
      </c>
      <c r="EN9" s="287">
        <v>1239625</v>
      </c>
      <c r="EO9" s="510">
        <v>1243543</v>
      </c>
      <c r="EP9" s="510">
        <v>1241987</v>
      </c>
      <c r="EQ9" s="367">
        <v>1243271</v>
      </c>
      <c r="ER9" s="367">
        <v>1248596</v>
      </c>
      <c r="ES9" s="367">
        <v>1256498</v>
      </c>
      <c r="ET9" s="367">
        <v>1267006</v>
      </c>
      <c r="EU9" s="367">
        <v>1270390</v>
      </c>
      <c r="EV9" s="367">
        <v>1283148</v>
      </c>
      <c r="EW9" s="367">
        <v>1295304</v>
      </c>
      <c r="EX9" s="367">
        <v>1295049</v>
      </c>
      <c r="EY9" s="367">
        <v>1296332</v>
      </c>
      <c r="EZ9" s="367">
        <v>1299824</v>
      </c>
      <c r="FA9" s="367">
        <v>1300507</v>
      </c>
      <c r="FB9" s="367">
        <v>1304843</v>
      </c>
      <c r="FC9" s="367">
        <v>1309630</v>
      </c>
      <c r="FD9" s="367">
        <v>1316321</v>
      </c>
      <c r="FE9" s="367">
        <v>1325403</v>
      </c>
      <c r="FF9" s="367">
        <v>1331444</v>
      </c>
      <c r="FG9" s="367">
        <v>1335916</v>
      </c>
      <c r="FH9" s="367">
        <v>1346070</v>
      </c>
      <c r="FI9" s="367">
        <v>1355225</v>
      </c>
      <c r="FJ9" s="367">
        <v>1360863</v>
      </c>
      <c r="FK9" s="367">
        <v>1364706</v>
      </c>
      <c r="FL9" s="367">
        <v>1365490</v>
      </c>
      <c r="FM9" s="367">
        <v>1364843</v>
      </c>
      <c r="FN9" s="367">
        <v>1368433</v>
      </c>
      <c r="FO9" s="367">
        <v>1371318</v>
      </c>
      <c r="FP9" s="367">
        <v>1375477</v>
      </c>
      <c r="FQ9" s="367">
        <v>1383418</v>
      </c>
      <c r="FR9" s="367">
        <v>1392042</v>
      </c>
      <c r="FS9" s="367">
        <v>1398029</v>
      </c>
      <c r="FT9" s="367">
        <v>1404620</v>
      </c>
    </row>
    <row r="10" spans="2:182" s="1" customFormat="1" ht="13.5" customHeight="1" thickTop="1" x14ac:dyDescent="0.25">
      <c r="B10" s="3" t="s">
        <v>9</v>
      </c>
      <c r="C10" s="25">
        <f t="shared" ref="C10:H10" si="0">SUM(C8:C9)</f>
        <v>1184754</v>
      </c>
      <c r="D10" s="25">
        <f t="shared" si="0"/>
        <v>1198710</v>
      </c>
      <c r="E10" s="8">
        <f t="shared" si="0"/>
        <v>1534980</v>
      </c>
      <c r="F10" s="8">
        <f t="shared" si="0"/>
        <v>1534980</v>
      </c>
      <c r="G10" s="8">
        <f t="shared" si="0"/>
        <v>1537912</v>
      </c>
      <c r="H10" s="8">
        <f t="shared" si="0"/>
        <v>1543521</v>
      </c>
      <c r="I10" s="8">
        <f t="shared" ref="I10:Q10" si="1">SUM(I8:I9)</f>
        <v>1543165</v>
      </c>
      <c r="J10" s="8">
        <f t="shared" si="1"/>
        <v>1550276</v>
      </c>
      <c r="K10" s="35">
        <f t="shared" si="1"/>
        <v>1556266</v>
      </c>
      <c r="L10" s="8">
        <f t="shared" si="1"/>
        <v>1565025</v>
      </c>
      <c r="M10" s="8">
        <f t="shared" si="1"/>
        <v>1567022</v>
      </c>
      <c r="N10" s="9">
        <f t="shared" si="1"/>
        <v>1569230</v>
      </c>
      <c r="O10" s="35">
        <f t="shared" si="1"/>
        <v>1568642</v>
      </c>
      <c r="P10" s="35">
        <f t="shared" si="1"/>
        <v>1574266</v>
      </c>
      <c r="Q10" s="8">
        <f t="shared" si="1"/>
        <v>1579387</v>
      </c>
      <c r="R10" s="8">
        <f>SUM(R8:R9)</f>
        <v>1584357</v>
      </c>
      <c r="S10" s="8">
        <f>SUM(S8:S9)</f>
        <v>1589144</v>
      </c>
      <c r="T10" s="8">
        <f>SUM(T8:T9)</f>
        <v>1592745</v>
      </c>
      <c r="U10" s="8">
        <f t="shared" ref="U10:Z10" si="2">SUM(U8:U9)</f>
        <v>1599745</v>
      </c>
      <c r="V10" s="8">
        <f t="shared" si="2"/>
        <v>1605419</v>
      </c>
      <c r="W10" s="8">
        <f t="shared" si="2"/>
        <v>1611398</v>
      </c>
      <c r="X10" s="8">
        <f t="shared" si="2"/>
        <v>1616188</v>
      </c>
      <c r="Y10" s="8">
        <f t="shared" si="2"/>
        <v>1616873</v>
      </c>
      <c r="Z10" s="9">
        <f t="shared" si="2"/>
        <v>1622900</v>
      </c>
      <c r="AA10" s="8">
        <f t="shared" ref="AA10:AF10" si="3">SUM(AA8:AA9)</f>
        <v>1626199</v>
      </c>
      <c r="AB10" s="8">
        <f t="shared" si="3"/>
        <v>1627319</v>
      </c>
      <c r="AC10" s="8">
        <f t="shared" si="3"/>
        <v>1632272</v>
      </c>
      <c r="AD10" s="8">
        <f t="shared" si="3"/>
        <v>1636208</v>
      </c>
      <c r="AE10" s="8">
        <f t="shared" si="3"/>
        <v>1641037</v>
      </c>
      <c r="AF10" s="8">
        <f t="shared" si="3"/>
        <v>1647279</v>
      </c>
      <c r="AG10" s="8">
        <f t="shared" ref="AG10:AL10" si="4">SUM(AG8:AG9)</f>
        <v>1650405</v>
      </c>
      <c r="AH10" s="8">
        <f t="shared" si="4"/>
        <v>1655219</v>
      </c>
      <c r="AI10" s="80">
        <f t="shared" si="4"/>
        <v>1659454</v>
      </c>
      <c r="AJ10" s="80">
        <f t="shared" si="4"/>
        <v>1662716</v>
      </c>
      <c r="AK10" s="80">
        <f t="shared" si="4"/>
        <v>1666113</v>
      </c>
      <c r="AL10" s="80">
        <f t="shared" si="4"/>
        <v>1666097</v>
      </c>
      <c r="AM10" s="194">
        <f t="shared" ref="AM10:AR10" si="5">SUM(AM8:AM9)</f>
        <v>1669961</v>
      </c>
      <c r="AN10" s="80">
        <f t="shared" si="5"/>
        <v>1673486</v>
      </c>
      <c r="AO10" s="80">
        <f t="shared" si="5"/>
        <v>1677955</v>
      </c>
      <c r="AP10" s="80">
        <f t="shared" si="5"/>
        <v>1681873</v>
      </c>
      <c r="AQ10" s="80">
        <f t="shared" si="5"/>
        <v>1687511</v>
      </c>
      <c r="AR10" s="80">
        <f t="shared" si="5"/>
        <v>1693935</v>
      </c>
      <c r="AS10" s="80">
        <f t="shared" ref="AS10:AX10" si="6">SUM(AS8:AS9)</f>
        <v>1700189</v>
      </c>
      <c r="AT10" s="80">
        <f t="shared" si="6"/>
        <v>1704952</v>
      </c>
      <c r="AU10" s="80">
        <f t="shared" si="6"/>
        <v>1707226</v>
      </c>
      <c r="AV10" s="80">
        <f t="shared" si="6"/>
        <v>1709525</v>
      </c>
      <c r="AW10" s="80">
        <f t="shared" si="6"/>
        <v>1716398</v>
      </c>
      <c r="AX10" s="80">
        <f t="shared" si="6"/>
        <v>1722145</v>
      </c>
      <c r="AY10" s="194">
        <f t="shared" ref="AY10:BD10" si="7">SUM(AY8:AY9)</f>
        <v>1728263</v>
      </c>
      <c r="AZ10" s="80">
        <f t="shared" si="7"/>
        <v>1732496</v>
      </c>
      <c r="BA10" s="80">
        <f t="shared" si="7"/>
        <v>1734175</v>
      </c>
      <c r="BB10" s="80">
        <f t="shared" si="7"/>
        <v>1738840</v>
      </c>
      <c r="BC10" s="80">
        <f t="shared" si="7"/>
        <v>1744830</v>
      </c>
      <c r="BD10" s="80">
        <f t="shared" si="7"/>
        <v>1751027</v>
      </c>
      <c r="BE10" s="80">
        <f t="shared" ref="BE10:BJ10" si="8">SUM(BE8:BE9)</f>
        <v>1757100</v>
      </c>
      <c r="BF10" s="80">
        <f t="shared" si="8"/>
        <v>1759327</v>
      </c>
      <c r="BG10" s="80">
        <f t="shared" si="8"/>
        <v>1761571</v>
      </c>
      <c r="BH10" s="80">
        <f t="shared" si="8"/>
        <v>1763244</v>
      </c>
      <c r="BI10" s="80">
        <f t="shared" si="8"/>
        <v>1765255</v>
      </c>
      <c r="BJ10" s="80">
        <f t="shared" si="8"/>
        <v>1759971</v>
      </c>
      <c r="BK10" s="194">
        <f t="shared" ref="BK10:BV10" si="9">SUM(BK8:BK9)</f>
        <v>1760782</v>
      </c>
      <c r="BL10" s="80">
        <f t="shared" si="9"/>
        <v>1763571</v>
      </c>
      <c r="BM10" s="80">
        <f t="shared" si="9"/>
        <v>1768003</v>
      </c>
      <c r="BN10" s="80">
        <f t="shared" si="9"/>
        <v>1777770</v>
      </c>
      <c r="BO10" s="80">
        <f t="shared" si="9"/>
        <v>1784421</v>
      </c>
      <c r="BP10" s="80">
        <f t="shared" si="9"/>
        <v>1792032</v>
      </c>
      <c r="BQ10" s="80">
        <f t="shared" si="9"/>
        <v>1797148</v>
      </c>
      <c r="BR10" s="80">
        <f t="shared" si="9"/>
        <v>1800197</v>
      </c>
      <c r="BS10" s="80">
        <f t="shared" si="9"/>
        <v>1808405</v>
      </c>
      <c r="BT10" s="80">
        <f t="shared" si="9"/>
        <v>1810700</v>
      </c>
      <c r="BU10" s="80">
        <f t="shared" si="9"/>
        <v>1810884</v>
      </c>
      <c r="BV10" s="10">
        <f t="shared" si="9"/>
        <v>1816124</v>
      </c>
      <c r="BW10" s="194">
        <f t="shared" ref="BW10:CB10" si="10">SUM(BW8:BW9)</f>
        <v>1816625</v>
      </c>
      <c r="BX10" s="80">
        <f t="shared" si="10"/>
        <v>1819428</v>
      </c>
      <c r="BY10" s="80">
        <f t="shared" si="10"/>
        <v>1824216</v>
      </c>
      <c r="BZ10" s="80">
        <f t="shared" si="10"/>
        <v>1831066</v>
      </c>
      <c r="CA10" s="80">
        <f t="shared" si="10"/>
        <v>1836382</v>
      </c>
      <c r="CB10" s="80">
        <f t="shared" si="10"/>
        <v>1855324</v>
      </c>
      <c r="CC10" s="80">
        <f t="shared" ref="CC10:CH10" si="11">SUM(CC8:CC9)</f>
        <v>1851899</v>
      </c>
      <c r="CD10" s="80">
        <f t="shared" si="11"/>
        <v>1854227</v>
      </c>
      <c r="CE10" s="80">
        <f t="shared" si="11"/>
        <v>1848849</v>
      </c>
      <c r="CF10" s="80">
        <f t="shared" si="11"/>
        <v>1823352</v>
      </c>
      <c r="CG10" s="80">
        <f t="shared" si="11"/>
        <v>1786130</v>
      </c>
      <c r="CH10" s="80">
        <f t="shared" si="11"/>
        <v>1837755</v>
      </c>
      <c r="CI10" s="115">
        <f>SUM(CI8:CI9)</f>
        <v>1846034</v>
      </c>
      <c r="CJ10" s="94">
        <f>SUM(CJ8:CJ9)</f>
        <v>1846530</v>
      </c>
      <c r="CK10" s="94">
        <f>SUM(CK8:CK9)</f>
        <v>1853933</v>
      </c>
      <c r="CL10" s="94">
        <f t="shared" ref="CL10:CW10" si="12">SUM(CL8:CL9)</f>
        <v>1859497</v>
      </c>
      <c r="CM10" s="94">
        <f t="shared" si="12"/>
        <v>1863539</v>
      </c>
      <c r="CN10" s="94">
        <f t="shared" si="12"/>
        <v>1869665</v>
      </c>
      <c r="CO10" s="94">
        <f t="shared" si="12"/>
        <v>1872169</v>
      </c>
      <c r="CP10" s="94">
        <f t="shared" si="12"/>
        <v>1876627</v>
      </c>
      <c r="CQ10" s="94">
        <f t="shared" si="12"/>
        <v>1891420</v>
      </c>
      <c r="CR10" s="94">
        <f t="shared" si="12"/>
        <v>1886723</v>
      </c>
      <c r="CS10" s="94">
        <f t="shared" si="12"/>
        <v>1882033</v>
      </c>
      <c r="CT10" s="96">
        <f t="shared" si="12"/>
        <v>1883223</v>
      </c>
      <c r="CU10" s="94">
        <f t="shared" si="12"/>
        <v>1881500</v>
      </c>
      <c r="CV10" s="94">
        <f t="shared" si="12"/>
        <v>1883484</v>
      </c>
      <c r="CW10" s="94">
        <f t="shared" si="12"/>
        <v>1886659</v>
      </c>
      <c r="CX10" s="94">
        <f t="shared" ref="CX10:DC10" si="13">SUM(CX8:CX9)</f>
        <v>1893501</v>
      </c>
      <c r="CY10" s="94">
        <f t="shared" si="13"/>
        <v>1895162</v>
      </c>
      <c r="CZ10" s="94">
        <f t="shared" si="13"/>
        <v>1903749</v>
      </c>
      <c r="DA10" s="94">
        <f t="shared" si="13"/>
        <v>1905222</v>
      </c>
      <c r="DB10" s="94">
        <f t="shared" si="13"/>
        <v>1908258</v>
      </c>
      <c r="DC10" s="94">
        <f t="shared" si="13"/>
        <v>1907164</v>
      </c>
      <c r="DD10" s="94">
        <f t="shared" ref="DD10:DJ10" si="14">SUM(DD8:DD9)</f>
        <v>1907869</v>
      </c>
      <c r="DE10" s="94">
        <f t="shared" si="14"/>
        <v>1905676</v>
      </c>
      <c r="DF10" s="96">
        <f t="shared" si="14"/>
        <v>1907352</v>
      </c>
      <c r="DG10" s="94">
        <f t="shared" si="14"/>
        <v>1911737</v>
      </c>
      <c r="DH10" s="94">
        <f t="shared" si="14"/>
        <v>1912348</v>
      </c>
      <c r="DI10" s="94">
        <f t="shared" si="14"/>
        <v>1920060</v>
      </c>
      <c r="DJ10" s="94">
        <f t="shared" si="14"/>
        <v>1925830</v>
      </c>
      <c r="DK10" s="94">
        <f t="shared" ref="DK10:DU10" si="15">SUM(DK8:DK9)</f>
        <v>1927886</v>
      </c>
      <c r="DL10" s="94">
        <f t="shared" si="15"/>
        <v>1937253</v>
      </c>
      <c r="DM10" s="94">
        <f t="shared" si="15"/>
        <v>1943793</v>
      </c>
      <c r="DN10" s="94">
        <f t="shared" si="15"/>
        <v>1949026</v>
      </c>
      <c r="DO10" s="94">
        <f t="shared" si="15"/>
        <v>1947376</v>
      </c>
      <c r="DP10" s="94">
        <f t="shared" si="15"/>
        <v>1951987</v>
      </c>
      <c r="DQ10" s="94">
        <f t="shared" si="15"/>
        <v>1946285</v>
      </c>
      <c r="DR10" s="94">
        <f t="shared" si="15"/>
        <v>1945468</v>
      </c>
      <c r="DS10" s="94">
        <f t="shared" si="15"/>
        <v>1946697</v>
      </c>
      <c r="DT10" s="94">
        <f t="shared" si="15"/>
        <v>1948838</v>
      </c>
      <c r="DU10" s="94">
        <f t="shared" si="15"/>
        <v>1953391</v>
      </c>
      <c r="DV10" s="358">
        <f t="shared" ref="DV10:FQ10" si="16">SUM(DV8:DV9)</f>
        <v>1956815</v>
      </c>
      <c r="DW10" s="358">
        <f t="shared" si="16"/>
        <v>1962876</v>
      </c>
      <c r="DX10" s="358">
        <f t="shared" si="16"/>
        <v>1969424</v>
      </c>
      <c r="DY10" s="358">
        <f t="shared" si="16"/>
        <v>1978697</v>
      </c>
      <c r="DZ10" s="358">
        <f t="shared" si="16"/>
        <v>1987622</v>
      </c>
      <c r="EA10" s="358">
        <f t="shared" si="16"/>
        <v>1986031</v>
      </c>
      <c r="EB10" s="358">
        <f t="shared" si="16"/>
        <v>1978750</v>
      </c>
      <c r="EC10" s="358">
        <f t="shared" si="16"/>
        <v>1978001</v>
      </c>
      <c r="ED10" s="358">
        <f t="shared" si="16"/>
        <v>1978727</v>
      </c>
      <c r="EE10" s="358">
        <f t="shared" si="16"/>
        <v>1984570</v>
      </c>
      <c r="EF10" s="358">
        <f t="shared" si="16"/>
        <v>1983816</v>
      </c>
      <c r="EG10" s="358">
        <f t="shared" si="16"/>
        <v>1989555</v>
      </c>
      <c r="EH10" s="358">
        <f t="shared" si="16"/>
        <v>1996173</v>
      </c>
      <c r="EI10" s="358">
        <f t="shared" si="16"/>
        <v>1998498</v>
      </c>
      <c r="EJ10" s="358">
        <f t="shared" si="16"/>
        <v>2008231</v>
      </c>
      <c r="EK10" s="358">
        <f t="shared" si="16"/>
        <v>2018359</v>
      </c>
      <c r="EL10" s="358">
        <f t="shared" si="16"/>
        <v>2023525</v>
      </c>
      <c r="EM10" s="358">
        <f t="shared" si="16"/>
        <v>2022824</v>
      </c>
      <c r="EN10" s="358">
        <f t="shared" si="16"/>
        <v>2020378</v>
      </c>
      <c r="EO10" s="358">
        <f t="shared" si="16"/>
        <v>2021905</v>
      </c>
      <c r="EP10" s="358">
        <f t="shared" si="16"/>
        <v>2019054</v>
      </c>
      <c r="EQ10" s="358">
        <f t="shared" si="16"/>
        <v>2019989</v>
      </c>
      <c r="ER10" s="358">
        <f t="shared" si="16"/>
        <v>2025107</v>
      </c>
      <c r="ES10" s="358">
        <f t="shared" si="16"/>
        <v>2033338</v>
      </c>
      <c r="ET10" s="358">
        <f t="shared" si="16"/>
        <v>2042574</v>
      </c>
      <c r="EU10" s="358">
        <f t="shared" si="16"/>
        <v>2044573</v>
      </c>
      <c r="EV10" s="358">
        <f t="shared" si="16"/>
        <v>2056945</v>
      </c>
      <c r="EW10" s="358">
        <f t="shared" si="16"/>
        <v>2067982</v>
      </c>
      <c r="EX10" s="358">
        <f t="shared" si="16"/>
        <v>2065846</v>
      </c>
      <c r="EY10" s="358">
        <f t="shared" si="16"/>
        <v>2066650</v>
      </c>
      <c r="EZ10" s="358">
        <f t="shared" si="16"/>
        <v>2069212</v>
      </c>
      <c r="FA10" s="358">
        <f t="shared" si="16"/>
        <v>2066579</v>
      </c>
      <c r="FB10" s="358">
        <f t="shared" si="16"/>
        <v>2068311</v>
      </c>
      <c r="FC10" s="358">
        <f t="shared" si="16"/>
        <v>2071627</v>
      </c>
      <c r="FD10" s="358">
        <f t="shared" si="16"/>
        <v>2076372</v>
      </c>
      <c r="FE10" s="358">
        <f t="shared" si="16"/>
        <v>2084743</v>
      </c>
      <c r="FF10" s="358">
        <f t="shared" si="16"/>
        <v>2090001</v>
      </c>
      <c r="FG10" s="358">
        <f t="shared" si="16"/>
        <v>2093094</v>
      </c>
      <c r="FH10" s="358">
        <f t="shared" si="16"/>
        <v>2103496</v>
      </c>
      <c r="FI10" s="358">
        <f t="shared" si="16"/>
        <v>2111350</v>
      </c>
      <c r="FJ10" s="358">
        <f t="shared" si="16"/>
        <v>2114811</v>
      </c>
      <c r="FK10" s="358">
        <f t="shared" si="16"/>
        <v>2115868</v>
      </c>
      <c r="FL10" s="358">
        <f t="shared" si="16"/>
        <v>2114442</v>
      </c>
      <c r="FM10" s="358">
        <f t="shared" si="16"/>
        <v>2112025</v>
      </c>
      <c r="FN10" s="358">
        <f t="shared" si="16"/>
        <v>2116474</v>
      </c>
      <c r="FO10" s="358">
        <f t="shared" si="16"/>
        <v>2120571</v>
      </c>
      <c r="FP10" s="358">
        <f t="shared" si="16"/>
        <v>2125586</v>
      </c>
      <c r="FQ10" s="358">
        <f t="shared" si="16"/>
        <v>2132890</v>
      </c>
      <c r="FR10" s="358">
        <f t="shared" ref="FR10:FT10" si="17">SUM(FR8:FR9)</f>
        <v>2140258</v>
      </c>
      <c r="FS10" s="358">
        <f t="shared" si="17"/>
        <v>2145732</v>
      </c>
      <c r="FT10" s="358">
        <f t="shared" si="17"/>
        <v>2153536</v>
      </c>
    </row>
    <row r="11" spans="2:182" ht="13.5" customHeight="1" x14ac:dyDescent="0.25">
      <c r="B11" s="3" t="s">
        <v>10</v>
      </c>
      <c r="C11" s="26">
        <f t="shared" ref="C11:H11" si="18">SUM(C8)/C10</f>
        <v>0.97452382519915526</v>
      </c>
      <c r="D11" s="26">
        <f t="shared" si="18"/>
        <v>0.96317791625997951</v>
      </c>
      <c r="E11" s="14">
        <f t="shared" si="18"/>
        <v>0.96886539238296265</v>
      </c>
      <c r="F11" s="14">
        <f t="shared" si="18"/>
        <v>0.9672862187129474</v>
      </c>
      <c r="G11" s="14">
        <f t="shared" si="18"/>
        <v>0.95685513865552774</v>
      </c>
      <c r="H11" s="14">
        <f t="shared" si="18"/>
        <v>0.94238497564982915</v>
      </c>
      <c r="I11" s="14">
        <f t="shared" ref="I11:Q11" si="19">SUM(I8)/I10</f>
        <v>0.94624554082032708</v>
      </c>
      <c r="J11" s="14">
        <f t="shared" si="19"/>
        <v>0.9110777693778398</v>
      </c>
      <c r="K11" s="36">
        <f t="shared" si="19"/>
        <v>0.90642666485035339</v>
      </c>
      <c r="L11" s="14">
        <f t="shared" si="19"/>
        <v>0.90438235810929535</v>
      </c>
      <c r="M11" s="14">
        <f t="shared" si="19"/>
        <v>0.90417301097240499</v>
      </c>
      <c r="N11" s="23">
        <f t="shared" si="19"/>
        <v>0.90318627607170399</v>
      </c>
      <c r="O11" s="36">
        <f t="shared" si="19"/>
        <v>0.90042023610231015</v>
      </c>
      <c r="P11" s="36">
        <f t="shared" si="19"/>
        <v>0.89899673879763653</v>
      </c>
      <c r="Q11" s="14">
        <f t="shared" si="19"/>
        <v>0.89713667391209373</v>
      </c>
      <c r="R11" s="14">
        <f>SUM(R8)/R10</f>
        <v>0.89543202699896551</v>
      </c>
      <c r="S11" s="14">
        <f>SUM(S8)/S10</f>
        <v>0.89434185951682166</v>
      </c>
      <c r="T11" s="14">
        <f>SUM(T8)/T10</f>
        <v>0.89375574872311636</v>
      </c>
      <c r="U11" s="14">
        <f t="shared" ref="U11:Z11" si="20">SUM(U8)/U10</f>
        <v>0.89084072774098377</v>
      </c>
      <c r="V11" s="14">
        <f t="shared" si="20"/>
        <v>0.88788036020503058</v>
      </c>
      <c r="W11" s="14">
        <f t="shared" si="20"/>
        <v>0.88289609395071855</v>
      </c>
      <c r="X11" s="14">
        <f t="shared" si="20"/>
        <v>0.87702111388031589</v>
      </c>
      <c r="Y11" s="14">
        <f t="shared" si="20"/>
        <v>0.87213219591149094</v>
      </c>
      <c r="Z11" s="23">
        <f t="shared" si="20"/>
        <v>0.86717973997165565</v>
      </c>
      <c r="AA11" s="14">
        <f t="shared" ref="AA11:AF11" si="21">SUM(AA8)/AA10</f>
        <v>0.86415869152545288</v>
      </c>
      <c r="AB11" s="14">
        <f t="shared" si="21"/>
        <v>0.86225933575408387</v>
      </c>
      <c r="AC11" s="14">
        <f t="shared" si="21"/>
        <v>0.85808921552290307</v>
      </c>
      <c r="AD11" s="14">
        <f t="shared" si="21"/>
        <v>0.85472018227511415</v>
      </c>
      <c r="AE11" s="14">
        <f t="shared" si="21"/>
        <v>0.85111853053892139</v>
      </c>
      <c r="AF11" s="14">
        <f t="shared" si="21"/>
        <v>0.84515616358856027</v>
      </c>
      <c r="AG11" s="14">
        <f t="shared" ref="AG11:AL11" si="22">SUM(AG8)/AG10</f>
        <v>0.83811670468763733</v>
      </c>
      <c r="AH11" s="14">
        <f t="shared" si="22"/>
        <v>0.83105981746222102</v>
      </c>
      <c r="AI11" s="14">
        <f t="shared" si="22"/>
        <v>0.8232593371072654</v>
      </c>
      <c r="AJ11" s="14">
        <f t="shared" si="22"/>
        <v>0.8173205766949978</v>
      </c>
      <c r="AK11" s="14">
        <f t="shared" si="22"/>
        <v>0.81158961006846475</v>
      </c>
      <c r="AL11" s="14">
        <f t="shared" si="22"/>
        <v>0.80535587063658354</v>
      </c>
      <c r="AM11" s="78">
        <f t="shared" ref="AM11:AR11" si="23">SUM(AM8)/AM10</f>
        <v>0.79940070456735213</v>
      </c>
      <c r="AN11" s="14">
        <f t="shared" si="23"/>
        <v>0.79214585601552689</v>
      </c>
      <c r="AO11" s="14">
        <f t="shared" si="23"/>
        <v>0.78606696842287194</v>
      </c>
      <c r="AP11" s="14">
        <f t="shared" si="23"/>
        <v>0.78021943392872117</v>
      </c>
      <c r="AQ11" s="14">
        <f t="shared" si="23"/>
        <v>0.7730722940472684</v>
      </c>
      <c r="AR11" s="14">
        <f t="shared" si="23"/>
        <v>0.76494434556225588</v>
      </c>
      <c r="AS11" s="14">
        <f t="shared" ref="AS11:AX11" si="24">SUM(AS8)/AS10</f>
        <v>0.75599183384906032</v>
      </c>
      <c r="AT11" s="14">
        <f t="shared" si="24"/>
        <v>0.74425497022790088</v>
      </c>
      <c r="AU11" s="14">
        <f t="shared" si="24"/>
        <v>0.73205773576550492</v>
      </c>
      <c r="AV11" s="14">
        <f t="shared" si="24"/>
        <v>0.72165016598177856</v>
      </c>
      <c r="AW11" s="14">
        <f t="shared" si="24"/>
        <v>0.71414497103818575</v>
      </c>
      <c r="AX11" s="14">
        <f t="shared" si="24"/>
        <v>0.71029094530367654</v>
      </c>
      <c r="AY11" s="78">
        <f t="shared" ref="AY11:BD11" si="25">SUM(AY8)/AY10</f>
        <v>0.70791135376965197</v>
      </c>
      <c r="AZ11" s="14">
        <f t="shared" si="25"/>
        <v>0.70573149952438563</v>
      </c>
      <c r="BA11" s="14">
        <f t="shared" si="25"/>
        <v>0.70388282612769759</v>
      </c>
      <c r="BB11" s="14">
        <f t="shared" si="25"/>
        <v>0.69993903981964989</v>
      </c>
      <c r="BC11" s="14">
        <f t="shared" si="25"/>
        <v>0.69442639110973559</v>
      </c>
      <c r="BD11" s="14">
        <f t="shared" si="25"/>
        <v>0.68607108856688104</v>
      </c>
      <c r="BE11" s="14">
        <f t="shared" ref="BE11:BJ11" si="26">SUM(BE8)/BE10</f>
        <v>0.67356155028171416</v>
      </c>
      <c r="BF11" s="14">
        <f t="shared" si="26"/>
        <v>0.66492357589009887</v>
      </c>
      <c r="BG11" s="14">
        <f t="shared" si="26"/>
        <v>0.65524069140556929</v>
      </c>
      <c r="BH11" s="14">
        <f t="shared" si="26"/>
        <v>0.64627017020900113</v>
      </c>
      <c r="BI11" s="14">
        <f t="shared" si="26"/>
        <v>0.63876833658593235</v>
      </c>
      <c r="BJ11" s="14">
        <f t="shared" si="26"/>
        <v>0.63147972324543988</v>
      </c>
      <c r="BK11" s="78">
        <f t="shared" ref="BK11:BV11" si="27">SUM(BK8)/BK10</f>
        <v>0.6245764665926844</v>
      </c>
      <c r="BL11" s="14">
        <f t="shared" si="27"/>
        <v>0.61949816593718088</v>
      </c>
      <c r="BM11" s="14">
        <f t="shared" si="27"/>
        <v>0.61339432116348214</v>
      </c>
      <c r="BN11" s="14">
        <f t="shared" si="27"/>
        <v>0.6092992906843967</v>
      </c>
      <c r="BO11" s="14">
        <f t="shared" si="27"/>
        <v>0.60558410823454778</v>
      </c>
      <c r="BP11" s="14">
        <f t="shared" si="27"/>
        <v>0.60080735165443477</v>
      </c>
      <c r="BQ11" s="14">
        <f t="shared" si="27"/>
        <v>0.59627643354915683</v>
      </c>
      <c r="BR11" s="14">
        <f t="shared" si="27"/>
        <v>0.5921340831031271</v>
      </c>
      <c r="BS11" s="14">
        <f t="shared" si="27"/>
        <v>0.58583613736967111</v>
      </c>
      <c r="BT11" s="14">
        <f t="shared" si="27"/>
        <v>0.58038272491301701</v>
      </c>
      <c r="BU11" s="14">
        <f t="shared" si="27"/>
        <v>0.57478391768881942</v>
      </c>
      <c r="BV11" s="23">
        <f t="shared" si="27"/>
        <v>0.5686759274146479</v>
      </c>
      <c r="BW11" s="78">
        <f t="shared" ref="BW11:CB11" si="28">SUM(BW8)/BW10</f>
        <v>0.56373439757792609</v>
      </c>
      <c r="BX11" s="14">
        <f t="shared" si="28"/>
        <v>0.55958630954343891</v>
      </c>
      <c r="BY11" s="14">
        <f t="shared" si="28"/>
        <v>0.55428633451301823</v>
      </c>
      <c r="BZ11" s="14">
        <f t="shared" si="28"/>
        <v>0.5485356617402104</v>
      </c>
      <c r="CA11" s="14">
        <f t="shared" si="28"/>
        <v>0.54358025726673431</v>
      </c>
      <c r="CB11" s="14">
        <f t="shared" si="28"/>
        <v>0.53980059547550729</v>
      </c>
      <c r="CC11" s="14">
        <f t="shared" ref="CC11:CH11" si="29">SUM(CC8)/CC10</f>
        <v>0.54520683903387823</v>
      </c>
      <c r="CD11" s="14">
        <f t="shared" si="29"/>
        <v>0.5461850140247122</v>
      </c>
      <c r="CE11" s="14">
        <f t="shared" si="29"/>
        <v>0.54462154562108644</v>
      </c>
      <c r="CF11" s="14">
        <f t="shared" si="29"/>
        <v>0.54417468486611476</v>
      </c>
      <c r="CG11" s="14">
        <f t="shared" si="29"/>
        <v>0.5415333710312239</v>
      </c>
      <c r="CH11" s="14">
        <f t="shared" si="29"/>
        <v>0.53791990771348741</v>
      </c>
      <c r="CI11" s="268">
        <f>SUM(CI8)/CI10</f>
        <v>0.53708707423590252</v>
      </c>
      <c r="CJ11" s="259">
        <f>SUM(CJ8)/CJ10</f>
        <v>0.53398915804238223</v>
      </c>
      <c r="CK11" s="259">
        <f>SUM(CK8)/CK10</f>
        <v>0.52932980857452783</v>
      </c>
      <c r="CL11" s="259">
        <f t="shared" ref="CL11:CQ11" si="30">SUM(CL8)/CL10</f>
        <v>0.52400030761006877</v>
      </c>
      <c r="CM11" s="259">
        <f t="shared" si="30"/>
        <v>0.51899799252926826</v>
      </c>
      <c r="CN11" s="259">
        <f t="shared" si="30"/>
        <v>0.51389206087721595</v>
      </c>
      <c r="CO11" s="259">
        <f t="shared" si="30"/>
        <v>0.50974671624196322</v>
      </c>
      <c r="CP11" s="259">
        <f t="shared" si="30"/>
        <v>0.50390994054758886</v>
      </c>
      <c r="CQ11" s="259">
        <f t="shared" si="30"/>
        <v>0.4968034598344101</v>
      </c>
      <c r="CR11" s="259">
        <f t="shared" ref="CR11:DJ11" si="31">SUM(CR8)/CR10</f>
        <v>0.49067616178951545</v>
      </c>
      <c r="CS11" s="259">
        <f t="shared" si="31"/>
        <v>0.4874946401046103</v>
      </c>
      <c r="CT11" s="265">
        <f t="shared" si="31"/>
        <v>0.48372178971900831</v>
      </c>
      <c r="CU11" s="259">
        <f t="shared" si="31"/>
        <v>0.48082221631676852</v>
      </c>
      <c r="CV11" s="259">
        <f t="shared" si="31"/>
        <v>0.47763718725510806</v>
      </c>
      <c r="CW11" s="259">
        <f t="shared" si="31"/>
        <v>0.47499998674906274</v>
      </c>
      <c r="CX11" s="259">
        <f t="shared" si="31"/>
        <v>0.47193690417908413</v>
      </c>
      <c r="CY11" s="259">
        <f t="shared" si="31"/>
        <v>0.4688654584674028</v>
      </c>
      <c r="CZ11" s="259">
        <f t="shared" si="31"/>
        <v>0.46465999456861173</v>
      </c>
      <c r="DA11" s="259">
        <f t="shared" si="31"/>
        <v>0.45990336034330909</v>
      </c>
      <c r="DB11" s="259">
        <f t="shared" si="31"/>
        <v>0.45528906468622166</v>
      </c>
      <c r="DC11" s="259">
        <f t="shared" si="31"/>
        <v>0.45200203023966473</v>
      </c>
      <c r="DD11" s="259">
        <f t="shared" si="31"/>
        <v>0.45001989130280956</v>
      </c>
      <c r="DE11" s="259">
        <f t="shared" si="31"/>
        <v>0.44788148667454486</v>
      </c>
      <c r="DF11" s="265">
        <f t="shared" si="31"/>
        <v>0.44562566322314917</v>
      </c>
      <c r="DG11" s="312">
        <f t="shared" si="31"/>
        <v>0.44337845634624429</v>
      </c>
      <c r="DH11" s="312">
        <f t="shared" si="31"/>
        <v>0.44271858469274422</v>
      </c>
      <c r="DI11" s="312">
        <f t="shared" si="31"/>
        <v>0.44066018770246762</v>
      </c>
      <c r="DJ11" s="312">
        <f t="shared" si="31"/>
        <v>0.43797012197338292</v>
      </c>
      <c r="DK11" s="312">
        <f t="shared" ref="DK11:FQ11" si="32">SUM(DK8)/DK10</f>
        <v>0.4362768337961892</v>
      </c>
      <c r="DL11" s="312">
        <f t="shared" si="32"/>
        <v>0.43425407006725503</v>
      </c>
      <c r="DM11" s="312">
        <f t="shared" si="32"/>
        <v>0.43235776649056767</v>
      </c>
      <c r="DN11" s="312">
        <f t="shared" si="32"/>
        <v>0.4306689597778583</v>
      </c>
      <c r="DO11" s="312">
        <f t="shared" si="32"/>
        <v>0.43090240405550856</v>
      </c>
      <c r="DP11" s="312">
        <f t="shared" si="32"/>
        <v>0.43008636840306824</v>
      </c>
      <c r="DQ11" s="312">
        <f t="shared" si="32"/>
        <v>0.42919921799736421</v>
      </c>
      <c r="DR11" s="312">
        <f t="shared" si="32"/>
        <v>0.42782507859291441</v>
      </c>
      <c r="DS11" s="312">
        <f t="shared" si="32"/>
        <v>0.42621476274941605</v>
      </c>
      <c r="DT11" s="312">
        <f t="shared" si="32"/>
        <v>0.42461097330819697</v>
      </c>
      <c r="DU11" s="312">
        <f t="shared" si="32"/>
        <v>0.42224470164959294</v>
      </c>
      <c r="DV11" s="282">
        <f t="shared" si="32"/>
        <v>0.4196906708094531</v>
      </c>
      <c r="DW11" s="282">
        <f t="shared" si="32"/>
        <v>0.41699781341256403</v>
      </c>
      <c r="DX11" s="282">
        <f t="shared" si="32"/>
        <v>0.41440543021715992</v>
      </c>
      <c r="DY11" s="282">
        <f t="shared" si="32"/>
        <v>0.41054592997310857</v>
      </c>
      <c r="DZ11" s="282">
        <f t="shared" si="32"/>
        <v>0.40808262335594997</v>
      </c>
      <c r="EA11" s="282">
        <f t="shared" si="32"/>
        <v>0.40823028442154224</v>
      </c>
      <c r="EB11" s="282">
        <f t="shared" si="32"/>
        <v>0.40765887555274793</v>
      </c>
      <c r="EC11" s="282">
        <f t="shared" si="32"/>
        <v>0.40541031071268419</v>
      </c>
      <c r="ED11" s="282">
        <f t="shared" si="32"/>
        <v>0.40380305115359522</v>
      </c>
      <c r="EE11" s="282">
        <f t="shared" si="32"/>
        <v>0.40085912817386132</v>
      </c>
      <c r="EF11" s="282">
        <f t="shared" si="32"/>
        <v>0.39952495594349474</v>
      </c>
      <c r="EG11" s="282">
        <f t="shared" si="32"/>
        <v>0.3970274759933754</v>
      </c>
      <c r="EH11" s="282">
        <f t="shared" si="32"/>
        <v>0.39445679307354625</v>
      </c>
      <c r="EI11" s="282">
        <f t="shared" si="32"/>
        <v>0.39290507170885336</v>
      </c>
      <c r="EJ11" s="282">
        <f t="shared" si="32"/>
        <v>0.39043914768769128</v>
      </c>
      <c r="EK11" s="282">
        <f t="shared" si="32"/>
        <v>0.38829712652704501</v>
      </c>
      <c r="EL11" s="282">
        <f t="shared" si="32"/>
        <v>0.3871669487651499</v>
      </c>
      <c r="EM11" s="282">
        <f t="shared" si="32"/>
        <v>0.3865571102577387</v>
      </c>
      <c r="EN11" s="282">
        <f t="shared" si="32"/>
        <v>0.38643907229241259</v>
      </c>
      <c r="EO11" s="282">
        <f t="shared" si="32"/>
        <v>0.38496467440359461</v>
      </c>
      <c r="EP11" s="282">
        <f t="shared" si="32"/>
        <v>0.38486687329808911</v>
      </c>
      <c r="EQ11" s="282">
        <f t="shared" si="32"/>
        <v>0.38451595528490501</v>
      </c>
      <c r="ER11" s="282">
        <f t="shared" si="32"/>
        <v>0.38344196133833913</v>
      </c>
      <c r="ES11" s="282">
        <f t="shared" si="32"/>
        <v>0.38205158217669666</v>
      </c>
      <c r="ET11" s="282">
        <f t="shared" si="32"/>
        <v>0.37970129845968859</v>
      </c>
      <c r="EU11" s="282">
        <f t="shared" si="32"/>
        <v>0.37865265754756616</v>
      </c>
      <c r="EV11" s="282">
        <f t="shared" si="32"/>
        <v>0.37618750136731899</v>
      </c>
      <c r="EW11" s="282">
        <f t="shared" si="32"/>
        <v>0.37363864869230001</v>
      </c>
      <c r="EX11" s="282">
        <f t="shared" si="32"/>
        <v>0.37311445286821959</v>
      </c>
      <c r="EY11" s="282">
        <f t="shared" si="32"/>
        <v>0.37273752207679095</v>
      </c>
      <c r="EZ11" s="282">
        <f t="shared" si="32"/>
        <v>0.37182656972799305</v>
      </c>
      <c r="FA11" s="282">
        <f t="shared" si="32"/>
        <v>0.37069572467348211</v>
      </c>
      <c r="FB11" s="282">
        <f t="shared" si="32"/>
        <v>0.36912630644037575</v>
      </c>
      <c r="FC11" s="282">
        <f t="shared" si="32"/>
        <v>0.36782538555444583</v>
      </c>
      <c r="FD11" s="282">
        <f t="shared" si="32"/>
        <v>0.3660476061129701</v>
      </c>
      <c r="FE11" s="282">
        <f t="shared" si="32"/>
        <v>0.36423674285031776</v>
      </c>
      <c r="FF11" s="282">
        <f t="shared" si="32"/>
        <v>0.36294575935609602</v>
      </c>
      <c r="FG11" s="282">
        <f t="shared" si="32"/>
        <v>0.36175059505210944</v>
      </c>
      <c r="FH11" s="282">
        <f t="shared" si="32"/>
        <v>0.36007960081692575</v>
      </c>
      <c r="FI11" s="282">
        <f t="shared" si="32"/>
        <v>0.35812394913207191</v>
      </c>
      <c r="FJ11" s="282">
        <f t="shared" si="32"/>
        <v>0.35650845394694847</v>
      </c>
      <c r="FK11" s="282">
        <f t="shared" si="32"/>
        <v>0.35501363979227435</v>
      </c>
      <c r="FL11" s="282">
        <f t="shared" si="32"/>
        <v>0.35420787139112825</v>
      </c>
      <c r="FM11" s="282">
        <f t="shared" si="32"/>
        <v>0.3537751683810561</v>
      </c>
      <c r="FN11" s="282">
        <f t="shared" si="32"/>
        <v>0.35343736799979586</v>
      </c>
      <c r="FO11" s="282">
        <f t="shared" si="32"/>
        <v>0.35332606170696479</v>
      </c>
      <c r="FP11" s="282">
        <f t="shared" si="32"/>
        <v>0.35289515455973081</v>
      </c>
      <c r="FQ11" s="282">
        <f t="shared" si="32"/>
        <v>0.35138802282349302</v>
      </c>
      <c r="FR11" s="282">
        <f t="shared" ref="FR11:FT11" si="33">SUM(FR8)/FR10</f>
        <v>0.3495914978474558</v>
      </c>
      <c r="FS11" s="282">
        <f t="shared" si="33"/>
        <v>0.3484605719633207</v>
      </c>
      <c r="FT11" s="282">
        <f t="shared" si="33"/>
        <v>0.34776107759517372</v>
      </c>
    </row>
    <row r="12" spans="2:182" ht="13.5" customHeight="1" thickBot="1" x14ac:dyDescent="0.3">
      <c r="B12" s="4" t="s">
        <v>11</v>
      </c>
      <c r="C12" s="27">
        <f t="shared" ref="C12:H12" si="34">SUM(C9/C10)</f>
        <v>2.5476174800844732E-2</v>
      </c>
      <c r="D12" s="27">
        <f t="shared" si="34"/>
        <v>3.6822083740020523E-2</v>
      </c>
      <c r="E12" s="15">
        <f t="shared" si="34"/>
        <v>3.1134607617037357E-2</v>
      </c>
      <c r="F12" s="15">
        <f t="shared" si="34"/>
        <v>3.2713781287052601E-2</v>
      </c>
      <c r="G12" s="15">
        <f t="shared" si="34"/>
        <v>4.3144861344472242E-2</v>
      </c>
      <c r="H12" s="15">
        <f t="shared" si="34"/>
        <v>5.761502435017081E-2</v>
      </c>
      <c r="I12" s="15">
        <f t="shared" ref="I12:Q12" si="35">SUM(I9/I10)</f>
        <v>5.3754459179672948E-2</v>
      </c>
      <c r="J12" s="15">
        <f t="shared" si="35"/>
        <v>8.8922230622160189E-2</v>
      </c>
      <c r="K12" s="37">
        <f t="shared" si="35"/>
        <v>9.357333514964665E-2</v>
      </c>
      <c r="L12" s="15">
        <f t="shared" si="35"/>
        <v>9.5617641890704624E-2</v>
      </c>
      <c r="M12" s="15">
        <f t="shared" si="35"/>
        <v>9.5826989027595011E-2</v>
      </c>
      <c r="N12" s="24">
        <f t="shared" si="35"/>
        <v>9.6813723928296042E-2</v>
      </c>
      <c r="O12" s="37">
        <f t="shared" si="35"/>
        <v>9.9579763897689855E-2</v>
      </c>
      <c r="P12" s="37">
        <f t="shared" si="35"/>
        <v>0.10100326120236351</v>
      </c>
      <c r="Q12" s="15">
        <f t="shared" si="35"/>
        <v>0.10286332608790626</v>
      </c>
      <c r="R12" s="15">
        <f>SUM(R9/R10)</f>
        <v>0.10456797300103449</v>
      </c>
      <c r="S12" s="15">
        <f>SUM(S9/S10)</f>
        <v>0.10565814048317837</v>
      </c>
      <c r="T12" s="15">
        <f>SUM(T9/T10)</f>
        <v>0.10624425127688363</v>
      </c>
      <c r="U12" s="15">
        <f t="shared" ref="U12:Z12" si="36">SUM(U9/U10)</f>
        <v>0.10915927225901628</v>
      </c>
      <c r="V12" s="15">
        <f t="shared" si="36"/>
        <v>0.11211963979496942</v>
      </c>
      <c r="W12" s="15">
        <f t="shared" si="36"/>
        <v>0.11710390604928143</v>
      </c>
      <c r="X12" s="15">
        <f t="shared" si="36"/>
        <v>0.12297888611968409</v>
      </c>
      <c r="Y12" s="15">
        <f t="shared" si="36"/>
        <v>0.12786780408850912</v>
      </c>
      <c r="Z12" s="24">
        <f t="shared" si="36"/>
        <v>0.13282026002834432</v>
      </c>
      <c r="AA12" s="15">
        <f t="shared" ref="AA12:AF12" si="37">SUM(AA9/AA10)</f>
        <v>0.13584130847454709</v>
      </c>
      <c r="AB12" s="15">
        <f t="shared" si="37"/>
        <v>0.13774066424591613</v>
      </c>
      <c r="AC12" s="15">
        <f t="shared" si="37"/>
        <v>0.14191078447709696</v>
      </c>
      <c r="AD12" s="15">
        <f t="shared" si="37"/>
        <v>0.14527981772488582</v>
      </c>
      <c r="AE12" s="15">
        <f t="shared" si="37"/>
        <v>0.14888146946107858</v>
      </c>
      <c r="AF12" s="15">
        <f t="shared" si="37"/>
        <v>0.1548438364114397</v>
      </c>
      <c r="AG12" s="15">
        <f t="shared" ref="AG12:AL12" si="38">SUM(AG9/AG10)</f>
        <v>0.16188329531236273</v>
      </c>
      <c r="AH12" s="15">
        <f t="shared" si="38"/>
        <v>0.16894018253777898</v>
      </c>
      <c r="AI12" s="15">
        <f t="shared" si="38"/>
        <v>0.1767406628927346</v>
      </c>
      <c r="AJ12" s="15">
        <f t="shared" si="38"/>
        <v>0.18267942330500217</v>
      </c>
      <c r="AK12" s="15">
        <f t="shared" si="38"/>
        <v>0.18841038993153525</v>
      </c>
      <c r="AL12" s="15">
        <f t="shared" si="38"/>
        <v>0.19464412936341641</v>
      </c>
      <c r="AM12" s="79">
        <f t="shared" ref="AM12:AR12" si="39">SUM(AM9/AM10)</f>
        <v>0.20059929543264782</v>
      </c>
      <c r="AN12" s="15">
        <f t="shared" si="39"/>
        <v>0.20785414398447313</v>
      </c>
      <c r="AO12" s="15">
        <f t="shared" si="39"/>
        <v>0.21393303157712812</v>
      </c>
      <c r="AP12" s="15">
        <f t="shared" si="39"/>
        <v>0.21978056607127885</v>
      </c>
      <c r="AQ12" s="15">
        <f t="shared" si="39"/>
        <v>0.22692770595273157</v>
      </c>
      <c r="AR12" s="15">
        <f t="shared" si="39"/>
        <v>0.23505565443774407</v>
      </c>
      <c r="AS12" s="15">
        <f t="shared" ref="AS12:AX12" si="40">SUM(AS9/AS10)</f>
        <v>0.24400816615093968</v>
      </c>
      <c r="AT12" s="15">
        <f t="shared" si="40"/>
        <v>0.25574502977209917</v>
      </c>
      <c r="AU12" s="15">
        <f t="shared" si="40"/>
        <v>0.26794226423449502</v>
      </c>
      <c r="AV12" s="15">
        <f t="shared" si="40"/>
        <v>0.27834983401822144</v>
      </c>
      <c r="AW12" s="15">
        <f t="shared" si="40"/>
        <v>0.28585502896181419</v>
      </c>
      <c r="AX12" s="15">
        <f t="shared" si="40"/>
        <v>0.28970905469632346</v>
      </c>
      <c r="AY12" s="79">
        <f t="shared" ref="AY12:BD12" si="41">SUM(AY9/AY10)</f>
        <v>0.29208864623034803</v>
      </c>
      <c r="AZ12" s="15">
        <f t="shared" si="41"/>
        <v>0.29426850047561437</v>
      </c>
      <c r="BA12" s="15">
        <f t="shared" si="41"/>
        <v>0.29611717387230241</v>
      </c>
      <c r="BB12" s="15">
        <f t="shared" si="41"/>
        <v>0.30006096018035011</v>
      </c>
      <c r="BC12" s="15">
        <f t="shared" si="41"/>
        <v>0.30557360889026436</v>
      </c>
      <c r="BD12" s="15">
        <f t="shared" si="41"/>
        <v>0.31392891143311896</v>
      </c>
      <c r="BE12" s="15">
        <f t="shared" ref="BE12:BP12" si="42">SUM(BE9/BE10)</f>
        <v>0.32643844971828584</v>
      </c>
      <c r="BF12" s="15">
        <f t="shared" si="42"/>
        <v>0.33507642410990113</v>
      </c>
      <c r="BG12" s="15">
        <f t="shared" si="42"/>
        <v>0.34475930859443077</v>
      </c>
      <c r="BH12" s="15">
        <f t="shared" si="42"/>
        <v>0.35372982979099887</v>
      </c>
      <c r="BI12" s="15">
        <f t="shared" si="42"/>
        <v>0.36123166341406765</v>
      </c>
      <c r="BJ12" s="15">
        <f t="shared" si="42"/>
        <v>0.36852027675456017</v>
      </c>
      <c r="BK12" s="79">
        <f t="shared" si="42"/>
        <v>0.3754235334073156</v>
      </c>
      <c r="BL12" s="15">
        <f t="shared" si="42"/>
        <v>0.38050183406281912</v>
      </c>
      <c r="BM12" s="15">
        <f t="shared" si="42"/>
        <v>0.38660567883651781</v>
      </c>
      <c r="BN12" s="15">
        <f t="shared" si="42"/>
        <v>0.39070070931560325</v>
      </c>
      <c r="BO12" s="15">
        <f t="shared" si="42"/>
        <v>0.39441589176545222</v>
      </c>
      <c r="BP12" s="15">
        <f t="shared" si="42"/>
        <v>0.39919264834556528</v>
      </c>
      <c r="BQ12" s="15">
        <f t="shared" ref="BQ12:CB12" si="43">SUM(BQ9/BQ10)</f>
        <v>0.40372356645084323</v>
      </c>
      <c r="BR12" s="15">
        <f t="shared" si="43"/>
        <v>0.40786591689687296</v>
      </c>
      <c r="BS12" s="15">
        <f t="shared" si="43"/>
        <v>0.41416386263032895</v>
      </c>
      <c r="BT12" s="15">
        <f t="shared" si="43"/>
        <v>0.41961727508698293</v>
      </c>
      <c r="BU12" s="15">
        <f t="shared" si="43"/>
        <v>0.42521608231118063</v>
      </c>
      <c r="BV12" s="24">
        <f t="shared" si="43"/>
        <v>0.4313240725853521</v>
      </c>
      <c r="BW12" s="79">
        <f t="shared" si="43"/>
        <v>0.43626560242207391</v>
      </c>
      <c r="BX12" s="15">
        <f t="shared" si="43"/>
        <v>0.44041369045656109</v>
      </c>
      <c r="BY12" s="15">
        <f t="shared" si="43"/>
        <v>0.44571366548698182</v>
      </c>
      <c r="BZ12" s="15">
        <f t="shared" si="43"/>
        <v>0.45146433825978965</v>
      </c>
      <c r="CA12" s="15">
        <f t="shared" si="43"/>
        <v>0.45641974273326574</v>
      </c>
      <c r="CB12" s="15">
        <f t="shared" si="43"/>
        <v>0.46019940452449276</v>
      </c>
      <c r="CC12" s="15">
        <f t="shared" ref="CC12:CH12" si="44">SUM(CC9/CC10)</f>
        <v>0.45479316096612182</v>
      </c>
      <c r="CD12" s="15">
        <f t="shared" si="44"/>
        <v>0.4538149859752878</v>
      </c>
      <c r="CE12" s="15">
        <f t="shared" si="44"/>
        <v>0.45537845437891361</v>
      </c>
      <c r="CF12" s="15">
        <f t="shared" si="44"/>
        <v>0.4558253151338853</v>
      </c>
      <c r="CG12" s="15">
        <f t="shared" si="44"/>
        <v>0.45846662896877605</v>
      </c>
      <c r="CH12" s="15">
        <f t="shared" si="44"/>
        <v>0.46208009228651264</v>
      </c>
      <c r="CI12" s="269">
        <f>SUM(CI9/CI10)</f>
        <v>0.46291292576409754</v>
      </c>
      <c r="CJ12" s="261">
        <f>SUM(CJ9/CJ10)</f>
        <v>0.46601084195761783</v>
      </c>
      <c r="CK12" s="261">
        <f>SUM(CK9/CK10)</f>
        <v>0.47067019142547223</v>
      </c>
      <c r="CL12" s="261">
        <f t="shared" ref="CL12:CQ12" si="45">SUM(CL9/CL10)</f>
        <v>0.47599969238993123</v>
      </c>
      <c r="CM12" s="261">
        <f t="shared" si="45"/>
        <v>0.48100200747073174</v>
      </c>
      <c r="CN12" s="261">
        <f t="shared" si="45"/>
        <v>0.48610793912278405</v>
      </c>
      <c r="CO12" s="261">
        <f t="shared" si="45"/>
        <v>0.49025328375803678</v>
      </c>
      <c r="CP12" s="261">
        <f t="shared" si="45"/>
        <v>0.49609005945241114</v>
      </c>
      <c r="CQ12" s="261">
        <f t="shared" si="45"/>
        <v>0.5031965401655899</v>
      </c>
      <c r="CR12" s="261">
        <f t="shared" ref="CR12:DJ12" si="46">SUM(CR9/CR10)</f>
        <v>0.50932383821048455</v>
      </c>
      <c r="CS12" s="261">
        <f t="shared" si="46"/>
        <v>0.5125053598953897</v>
      </c>
      <c r="CT12" s="267">
        <f t="shared" si="46"/>
        <v>0.51627821028099163</v>
      </c>
      <c r="CU12" s="261">
        <f t="shared" si="46"/>
        <v>0.51917778368323142</v>
      </c>
      <c r="CV12" s="261">
        <f t="shared" si="46"/>
        <v>0.52236281274489194</v>
      </c>
      <c r="CW12" s="261">
        <f t="shared" si="46"/>
        <v>0.52500001325093726</v>
      </c>
      <c r="CX12" s="261">
        <f t="shared" si="46"/>
        <v>0.52806309582091582</v>
      </c>
      <c r="CY12" s="261">
        <f t="shared" si="46"/>
        <v>0.5311345415325972</v>
      </c>
      <c r="CZ12" s="261">
        <f t="shared" si="46"/>
        <v>0.53534000543138827</v>
      </c>
      <c r="DA12" s="261">
        <f t="shared" si="46"/>
        <v>0.54009663965669097</v>
      </c>
      <c r="DB12" s="261">
        <f t="shared" si="46"/>
        <v>0.54471093531377834</v>
      </c>
      <c r="DC12" s="261">
        <f t="shared" si="46"/>
        <v>0.54799796976033521</v>
      </c>
      <c r="DD12" s="261">
        <f t="shared" si="46"/>
        <v>0.54998010869719038</v>
      </c>
      <c r="DE12" s="261">
        <f t="shared" si="46"/>
        <v>0.55211851332545514</v>
      </c>
      <c r="DF12" s="267">
        <f t="shared" si="46"/>
        <v>0.55437433677685088</v>
      </c>
      <c r="DG12" s="313">
        <f t="shared" si="46"/>
        <v>0.55662154365375571</v>
      </c>
      <c r="DH12" s="313">
        <f t="shared" si="46"/>
        <v>0.55728141530725583</v>
      </c>
      <c r="DI12" s="313">
        <f t="shared" si="46"/>
        <v>0.55933981229753238</v>
      </c>
      <c r="DJ12" s="313">
        <f t="shared" si="46"/>
        <v>0.56202987802661708</v>
      </c>
      <c r="DK12" s="313">
        <f t="shared" ref="DK12:FQ12" si="47">SUM(DK9/DK10)</f>
        <v>0.5637231662038108</v>
      </c>
      <c r="DL12" s="313">
        <f t="shared" si="47"/>
        <v>0.56574592993274497</v>
      </c>
      <c r="DM12" s="313">
        <f t="shared" si="47"/>
        <v>0.56764223350943233</v>
      </c>
      <c r="DN12" s="313">
        <f t="shared" si="47"/>
        <v>0.56933104022214176</v>
      </c>
      <c r="DO12" s="313">
        <f t="shared" si="47"/>
        <v>0.5690975959444915</v>
      </c>
      <c r="DP12" s="313">
        <f t="shared" si="47"/>
        <v>0.56991363159693176</v>
      </c>
      <c r="DQ12" s="313">
        <f t="shared" si="47"/>
        <v>0.57080078200263584</v>
      </c>
      <c r="DR12" s="313">
        <f t="shared" si="47"/>
        <v>0.57217492140708559</v>
      </c>
      <c r="DS12" s="313">
        <f t="shared" si="47"/>
        <v>0.57378523725058395</v>
      </c>
      <c r="DT12" s="313">
        <f t="shared" si="47"/>
        <v>0.57538902669180303</v>
      </c>
      <c r="DU12" s="313">
        <f t="shared" si="47"/>
        <v>0.57775529835040706</v>
      </c>
      <c r="DV12" s="354">
        <f t="shared" si="47"/>
        <v>0.5803093291905469</v>
      </c>
      <c r="DW12" s="354">
        <f t="shared" si="47"/>
        <v>0.58300218658743597</v>
      </c>
      <c r="DX12" s="354">
        <f t="shared" si="47"/>
        <v>0.58559456978284008</v>
      </c>
      <c r="DY12" s="354">
        <f t="shared" si="47"/>
        <v>0.58945407002689143</v>
      </c>
      <c r="DZ12" s="354">
        <f t="shared" si="47"/>
        <v>0.59191737664404998</v>
      </c>
      <c r="EA12" s="354">
        <f t="shared" si="47"/>
        <v>0.5917697155784577</v>
      </c>
      <c r="EB12" s="354">
        <f t="shared" si="47"/>
        <v>0.59234112444725207</v>
      </c>
      <c r="EC12" s="354">
        <f t="shared" si="47"/>
        <v>0.59458968928731581</v>
      </c>
      <c r="ED12" s="354">
        <f t="shared" si="47"/>
        <v>0.59619694884640484</v>
      </c>
      <c r="EE12" s="354">
        <f t="shared" si="47"/>
        <v>0.59914087182613862</v>
      </c>
      <c r="EF12" s="354">
        <f t="shared" si="47"/>
        <v>0.6004750440565052</v>
      </c>
      <c r="EG12" s="354">
        <f t="shared" si="47"/>
        <v>0.6029725240066246</v>
      </c>
      <c r="EH12" s="354">
        <f t="shared" si="47"/>
        <v>0.6055432069264538</v>
      </c>
      <c r="EI12" s="354">
        <f t="shared" si="47"/>
        <v>0.60709492829114664</v>
      </c>
      <c r="EJ12" s="354">
        <f t="shared" si="47"/>
        <v>0.60956085231230872</v>
      </c>
      <c r="EK12" s="354">
        <f t="shared" si="47"/>
        <v>0.61170287347295504</v>
      </c>
      <c r="EL12" s="354">
        <f t="shared" si="47"/>
        <v>0.6128330512348501</v>
      </c>
      <c r="EM12" s="354">
        <f t="shared" si="47"/>
        <v>0.61344288974226135</v>
      </c>
      <c r="EN12" s="354">
        <f t="shared" si="47"/>
        <v>0.61356092770758741</v>
      </c>
      <c r="EO12" s="354">
        <f t="shared" si="47"/>
        <v>0.61503532559640539</v>
      </c>
      <c r="EP12" s="354">
        <f t="shared" si="47"/>
        <v>0.61513312670191089</v>
      </c>
      <c r="EQ12" s="354">
        <f t="shared" si="47"/>
        <v>0.61548404471509499</v>
      </c>
      <c r="ER12" s="354">
        <f t="shared" si="47"/>
        <v>0.61655803866166081</v>
      </c>
      <c r="ES12" s="354">
        <f t="shared" si="47"/>
        <v>0.61794841782330334</v>
      </c>
      <c r="ET12" s="354">
        <f t="shared" si="47"/>
        <v>0.62029870154031141</v>
      </c>
      <c r="EU12" s="354">
        <f t="shared" si="47"/>
        <v>0.62134734245243384</v>
      </c>
      <c r="EV12" s="354">
        <f t="shared" si="47"/>
        <v>0.62381249863268096</v>
      </c>
      <c r="EW12" s="354">
        <f t="shared" si="47"/>
        <v>0.62636135130769999</v>
      </c>
      <c r="EX12" s="354">
        <f t="shared" si="47"/>
        <v>0.62688554713178035</v>
      </c>
      <c r="EY12" s="354">
        <f t="shared" si="47"/>
        <v>0.62726247792320911</v>
      </c>
      <c r="EZ12" s="354">
        <f t="shared" si="47"/>
        <v>0.62817343027200689</v>
      </c>
      <c r="FA12" s="354">
        <f t="shared" si="47"/>
        <v>0.62930427532651789</v>
      </c>
      <c r="FB12" s="354">
        <f t="shared" si="47"/>
        <v>0.6308736935596243</v>
      </c>
      <c r="FC12" s="354">
        <f t="shared" si="47"/>
        <v>0.63217461444555412</v>
      </c>
      <c r="FD12" s="354">
        <f t="shared" si="47"/>
        <v>0.63395239388702984</v>
      </c>
      <c r="FE12" s="354">
        <f t="shared" si="47"/>
        <v>0.63576325714968229</v>
      </c>
      <c r="FF12" s="354">
        <f t="shared" si="47"/>
        <v>0.63705424064390404</v>
      </c>
      <c r="FG12" s="354">
        <f t="shared" si="47"/>
        <v>0.63824940494789051</v>
      </c>
      <c r="FH12" s="354">
        <f t="shared" si="47"/>
        <v>0.63992039918307431</v>
      </c>
      <c r="FI12" s="354">
        <f t="shared" si="47"/>
        <v>0.64187605086792809</v>
      </c>
      <c r="FJ12" s="354">
        <f t="shared" si="47"/>
        <v>0.64349154605305159</v>
      </c>
      <c r="FK12" s="354">
        <f t="shared" si="47"/>
        <v>0.6449863602077256</v>
      </c>
      <c r="FL12" s="354">
        <f t="shared" si="47"/>
        <v>0.6457921286088717</v>
      </c>
      <c r="FM12" s="354">
        <f t="shared" si="47"/>
        <v>0.64622483161894395</v>
      </c>
      <c r="FN12" s="354">
        <f t="shared" si="47"/>
        <v>0.64656263200020414</v>
      </c>
      <c r="FO12" s="354">
        <f t="shared" si="47"/>
        <v>0.64667393829303521</v>
      </c>
      <c r="FP12" s="354">
        <f t="shared" si="47"/>
        <v>0.64710484544026914</v>
      </c>
      <c r="FQ12" s="354">
        <f t="shared" si="47"/>
        <v>0.64861197717650698</v>
      </c>
      <c r="FR12" s="354">
        <f t="shared" ref="FR12:FT12" si="48">SUM(FR9/FR10)</f>
        <v>0.6504085021525442</v>
      </c>
      <c r="FS12" s="354">
        <f t="shared" si="48"/>
        <v>0.6515394280366793</v>
      </c>
      <c r="FT12" s="354">
        <f t="shared" si="48"/>
        <v>0.65223892240482628</v>
      </c>
    </row>
    <row r="13" spans="2:182" ht="13.5" customHeight="1" x14ac:dyDescent="0.25">
      <c r="B13" s="3"/>
      <c r="K13" s="38"/>
      <c r="N13" s="20"/>
      <c r="O13" s="38"/>
      <c r="P13" s="38"/>
      <c r="Z13" s="20"/>
      <c r="AM13" s="74"/>
      <c r="AY13" s="74"/>
      <c r="BK13" s="74"/>
      <c r="BV13" s="20"/>
      <c r="BW13" s="74"/>
      <c r="CH13" s="18"/>
      <c r="CI13" s="20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302"/>
      <c r="DH13" s="302"/>
      <c r="DI13" s="302"/>
      <c r="DJ13" s="302"/>
      <c r="DK13" s="302"/>
      <c r="DL13" s="302"/>
      <c r="DS13" s="302"/>
      <c r="DT13" s="302"/>
      <c r="DU13" s="302"/>
      <c r="DV13" s="302"/>
      <c r="DW13" s="302"/>
      <c r="DX13" s="302"/>
    </row>
    <row r="14" spans="2:182" ht="13.5" customHeight="1" x14ac:dyDescent="0.25">
      <c r="B14" s="55" t="s">
        <v>13</v>
      </c>
      <c r="K14" s="38"/>
      <c r="N14" s="20"/>
      <c r="O14" s="38"/>
      <c r="P14" s="38"/>
      <c r="Z14" s="20"/>
      <c r="AM14" s="74"/>
      <c r="AY14" s="74"/>
      <c r="BK14" s="74"/>
      <c r="BV14" s="20"/>
      <c r="BW14" s="74"/>
      <c r="CH14" s="18"/>
      <c r="CI14" s="20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302"/>
      <c r="DH14" s="302"/>
      <c r="DI14" s="302"/>
      <c r="DJ14" s="302"/>
      <c r="DK14" s="302"/>
      <c r="DL14" s="302"/>
      <c r="DS14" s="302"/>
      <c r="DT14" s="302"/>
      <c r="DU14" s="302"/>
      <c r="DV14" s="302"/>
      <c r="DW14" s="302"/>
      <c r="DX14" s="302"/>
    </row>
    <row r="15" spans="2:182" ht="13.5" customHeight="1" x14ac:dyDescent="0.25">
      <c r="B15" s="3"/>
      <c r="K15" s="38"/>
      <c r="N15" s="20"/>
      <c r="O15" s="38"/>
      <c r="P15" s="38"/>
      <c r="Z15" s="20"/>
      <c r="AM15" s="74"/>
      <c r="AY15" s="74"/>
      <c r="BK15" s="74"/>
      <c r="BV15" s="20"/>
      <c r="BW15" s="74"/>
      <c r="CH15" s="18"/>
      <c r="CI15" s="20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302"/>
      <c r="DH15" s="302"/>
      <c r="DI15" s="302"/>
      <c r="DJ15" s="302"/>
      <c r="DK15" s="302"/>
      <c r="DL15" s="302"/>
      <c r="DS15" s="302"/>
      <c r="DT15" s="302"/>
      <c r="DU15" s="302"/>
      <c r="DV15" s="302"/>
      <c r="DW15" s="302"/>
      <c r="DX15" s="302"/>
    </row>
    <row r="16" spans="2:182" ht="13.5" customHeight="1" x14ac:dyDescent="0.25">
      <c r="B16" s="3" t="s">
        <v>1</v>
      </c>
      <c r="C16" s="29">
        <v>197397</v>
      </c>
      <c r="D16" s="29">
        <v>197397</v>
      </c>
      <c r="E16" s="16">
        <v>197397</v>
      </c>
      <c r="F16" s="16">
        <v>196525</v>
      </c>
      <c r="G16" s="16">
        <v>195772</v>
      </c>
      <c r="H16" s="16">
        <v>198414</v>
      </c>
      <c r="I16" s="16">
        <v>199150</v>
      </c>
      <c r="J16" s="16">
        <v>195742</v>
      </c>
      <c r="K16" s="39">
        <v>196575</v>
      </c>
      <c r="L16" s="16">
        <v>196051</v>
      </c>
      <c r="M16" s="16">
        <v>195894</v>
      </c>
      <c r="N16" s="21">
        <v>195505</v>
      </c>
      <c r="O16" s="39">
        <v>186010</v>
      </c>
      <c r="P16" s="39">
        <v>186270</v>
      </c>
      <c r="Q16" s="16">
        <v>186476</v>
      </c>
      <c r="R16" s="68">
        <v>188881</v>
      </c>
      <c r="S16" s="68">
        <v>188688</v>
      </c>
      <c r="T16" s="68">
        <v>190265</v>
      </c>
      <c r="U16" s="68">
        <v>190058</v>
      </c>
      <c r="V16" s="68">
        <v>188506</v>
      </c>
      <c r="W16" s="68">
        <v>188370</v>
      </c>
      <c r="X16" s="68">
        <v>187406</v>
      </c>
      <c r="Y16" s="68">
        <v>185396</v>
      </c>
      <c r="Z16" s="89">
        <v>183058</v>
      </c>
      <c r="AA16" s="68">
        <v>179785</v>
      </c>
      <c r="AB16" s="68">
        <v>178311</v>
      </c>
      <c r="AC16" s="68">
        <v>176637</v>
      </c>
      <c r="AD16" s="68">
        <v>176037</v>
      </c>
      <c r="AE16" s="68">
        <v>175455</v>
      </c>
      <c r="AF16" s="68">
        <v>174523</v>
      </c>
      <c r="AG16" s="68">
        <v>172650</v>
      </c>
      <c r="AH16" s="68">
        <v>170635</v>
      </c>
      <c r="AI16" s="68">
        <v>168684</v>
      </c>
      <c r="AJ16" s="68">
        <v>167002</v>
      </c>
      <c r="AK16" s="68">
        <v>165424</v>
      </c>
      <c r="AL16" s="68">
        <v>163216</v>
      </c>
      <c r="AM16" s="88">
        <f>102889+58500</f>
        <v>161389</v>
      </c>
      <c r="AN16" s="68">
        <f>101449+57627</f>
        <v>159076</v>
      </c>
      <c r="AO16" s="68">
        <f>100645+56681</f>
        <v>157326</v>
      </c>
      <c r="AP16" s="2">
        <f>100527+56180</f>
        <v>156707</v>
      </c>
      <c r="AQ16" s="2">
        <f>101114+55392</f>
        <v>156506</v>
      </c>
      <c r="AR16" s="2">
        <f>100343+54771</f>
        <v>155114</v>
      </c>
      <c r="AS16" s="2">
        <f>99737+54722</f>
        <v>154459</v>
      </c>
      <c r="AT16" s="2">
        <f>98775+54172</f>
        <v>152947</v>
      </c>
      <c r="AU16" s="2">
        <f>97128+53709</f>
        <v>150837</v>
      </c>
      <c r="AV16" s="2">
        <f>96517+52899</f>
        <v>149416</v>
      </c>
      <c r="AW16" s="2">
        <f>96637+53098</f>
        <v>149735</v>
      </c>
      <c r="AX16" s="2">
        <f>96664+53467</f>
        <v>150131</v>
      </c>
      <c r="AY16" s="74">
        <f>96497+53855</f>
        <v>150352</v>
      </c>
      <c r="AZ16" s="2">
        <f>93350+54124</f>
        <v>147474</v>
      </c>
      <c r="BA16" s="2">
        <f>96495+54160</f>
        <v>150655</v>
      </c>
      <c r="BB16" s="2">
        <f>96752+53944</f>
        <v>150696</v>
      </c>
      <c r="BC16" s="2">
        <f>96343+53680</f>
        <v>150023</v>
      </c>
      <c r="BD16" s="2">
        <f>96174+53293</f>
        <v>149467</v>
      </c>
      <c r="BE16" s="2">
        <f>95789+53031</f>
        <v>148820</v>
      </c>
      <c r="BF16" s="2">
        <f>95252+52702</f>
        <v>147954</v>
      </c>
      <c r="BG16" s="2">
        <f>94812+51959</f>
        <v>146771</v>
      </c>
      <c r="BH16" s="2">
        <f>94493+51174</f>
        <v>145667</v>
      </c>
      <c r="BI16" s="2">
        <f>93756+50482</f>
        <v>144238</v>
      </c>
      <c r="BJ16" s="2">
        <f>91995+49322</f>
        <v>141317</v>
      </c>
      <c r="BK16" s="74">
        <f>90520+48629</f>
        <v>139149</v>
      </c>
      <c r="BL16" s="2">
        <f>89153+48302</f>
        <v>137455</v>
      </c>
      <c r="BM16" s="2">
        <f>87982+48075</f>
        <v>136057</v>
      </c>
      <c r="BN16" s="2">
        <f>87792+47531</f>
        <v>135323</v>
      </c>
      <c r="BO16" s="2">
        <f>87660+47061</f>
        <v>134721</v>
      </c>
      <c r="BP16" s="2">
        <f>87267+46859</f>
        <v>134126</v>
      </c>
      <c r="BQ16" s="2">
        <f>86300+46758</f>
        <v>133058</v>
      </c>
      <c r="BR16" s="2">
        <f>85216+46405</f>
        <v>131621</v>
      </c>
      <c r="BS16" s="2">
        <f>84769+46094</f>
        <v>130863</v>
      </c>
      <c r="BT16" s="2">
        <f>84676+45762</f>
        <v>130438</v>
      </c>
      <c r="BU16" s="2">
        <f>74266+45331</f>
        <v>119597</v>
      </c>
      <c r="BV16" s="20">
        <f>83205+44975</f>
        <v>128180</v>
      </c>
      <c r="BW16" s="74">
        <f>82569+45029</f>
        <v>127598</v>
      </c>
      <c r="BX16" s="2">
        <f>81565+44879</f>
        <v>126444</v>
      </c>
      <c r="BY16" s="2">
        <f>81699+44623</f>
        <v>126322</v>
      </c>
      <c r="BZ16" s="2">
        <f>81714+44461</f>
        <v>126175</v>
      </c>
      <c r="CA16" s="2">
        <f>81826+44415</f>
        <v>126241</v>
      </c>
      <c r="CB16" s="2">
        <f>81561+44235</f>
        <v>125796</v>
      </c>
      <c r="CC16" s="2">
        <f>81561+44247</f>
        <v>125808</v>
      </c>
      <c r="CD16" s="2">
        <f>77784+44375</f>
        <v>122159</v>
      </c>
      <c r="CE16" s="2">
        <f>72830+43918</f>
        <v>116748</v>
      </c>
      <c r="CF16" s="2">
        <f>73047+43169</f>
        <v>116216</v>
      </c>
      <c r="CG16" s="2">
        <f>70031+40305</f>
        <v>110336</v>
      </c>
      <c r="CH16" s="18">
        <f>71650+41620</f>
        <v>113270</v>
      </c>
      <c r="CI16" s="201">
        <f>71347+42498</f>
        <v>113845</v>
      </c>
      <c r="CJ16" s="69">
        <f>70840+42321</f>
        <v>113161</v>
      </c>
      <c r="CK16" s="69">
        <f>70064+41545</f>
        <v>111609</v>
      </c>
      <c r="CL16" s="69">
        <f>69225+41274</f>
        <v>110499</v>
      </c>
      <c r="CM16" s="69">
        <f>68964+40788</f>
        <v>109752</v>
      </c>
      <c r="CN16" s="69">
        <f>67951+40186</f>
        <v>108137</v>
      </c>
      <c r="CO16" s="69">
        <f>67085+38853</f>
        <v>105938</v>
      </c>
      <c r="CP16" s="69">
        <f>66727+38151</f>
        <v>104878</v>
      </c>
      <c r="CQ16" s="69">
        <f>66320+38103</f>
        <v>104423</v>
      </c>
      <c r="CR16" s="69">
        <f>65468+37288</f>
        <v>102756</v>
      </c>
      <c r="CS16" s="69">
        <f>64976+36676</f>
        <v>101652</v>
      </c>
      <c r="CT16" s="89">
        <f>64556+36529</f>
        <v>101085</v>
      </c>
      <c r="CU16" s="69">
        <f>63982+36530</f>
        <v>100512</v>
      </c>
      <c r="CV16" s="69">
        <f>63437+36209</f>
        <v>99646</v>
      </c>
      <c r="CW16" s="69">
        <f>60855+36059</f>
        <v>96914</v>
      </c>
      <c r="CX16" s="69">
        <f>62567+36394</f>
        <v>98961</v>
      </c>
      <c r="CY16" s="69">
        <f>62187+36218</f>
        <v>98405</v>
      </c>
      <c r="CZ16" s="69">
        <f>61617+36292</f>
        <v>97909</v>
      </c>
      <c r="DA16" s="275">
        <f>60475+36048</f>
        <v>96523</v>
      </c>
      <c r="DB16" s="69">
        <f>59867+35985</f>
        <v>95852</v>
      </c>
      <c r="DC16" s="69">
        <f>59463+36005</f>
        <v>95468</v>
      </c>
      <c r="DD16" s="69">
        <f>59144+35823</f>
        <v>94967</v>
      </c>
      <c r="DE16" s="69">
        <f>58739+35521</f>
        <v>94260</v>
      </c>
      <c r="DF16" s="89">
        <f>57954+35901</f>
        <v>93855</v>
      </c>
      <c r="DG16" s="275">
        <f>56882+36359</f>
        <v>93241</v>
      </c>
      <c r="DH16" s="275">
        <f>55652+36619</f>
        <v>92271</v>
      </c>
      <c r="DI16" s="275">
        <f>55261+36586</f>
        <v>91847</v>
      </c>
      <c r="DJ16" s="275">
        <f>55443+36679</f>
        <v>92122</v>
      </c>
      <c r="DK16" s="275">
        <f>55263+36966</f>
        <v>92229</v>
      </c>
      <c r="DL16" s="275">
        <f>55071+37131</f>
        <v>92202</v>
      </c>
      <c r="DM16" s="275">
        <f>54941+37385</f>
        <v>92326</v>
      </c>
      <c r="DN16" s="275">
        <f>55207+37562</f>
        <v>92769</v>
      </c>
      <c r="DO16" s="275">
        <f>55176+37809</f>
        <v>92985</v>
      </c>
      <c r="DP16" s="275">
        <f>55100+37948</f>
        <v>93048</v>
      </c>
      <c r="DQ16" s="275">
        <f>54926+37966</f>
        <v>92892</v>
      </c>
      <c r="DR16" s="275">
        <f>54005+38533</f>
        <v>92538</v>
      </c>
      <c r="DS16" s="275">
        <f>53357+39342</f>
        <v>92699</v>
      </c>
      <c r="DT16" s="275">
        <f>53426+39901</f>
        <v>93327</v>
      </c>
      <c r="DU16" s="275">
        <f>54445+40199</f>
        <v>94644</v>
      </c>
      <c r="DV16" s="359">
        <f>54779+40317</f>
        <v>95096</v>
      </c>
      <c r="DW16" s="359">
        <f>55134+40597</f>
        <v>95731</v>
      </c>
      <c r="DX16" s="359">
        <f>55307+41045</f>
        <v>96352</v>
      </c>
      <c r="DY16" s="359">
        <f>60601+41086</f>
        <v>101687</v>
      </c>
      <c r="DZ16" s="359">
        <f>64927+41146</f>
        <v>106073</v>
      </c>
      <c r="EA16" s="359">
        <f>65281+41287</f>
        <v>106568</v>
      </c>
      <c r="EB16" s="359">
        <f>65422+40967</f>
        <v>106389</v>
      </c>
      <c r="EC16" s="359">
        <f>65292+40749</f>
        <v>106041</v>
      </c>
      <c r="ED16" s="359">
        <f>65206+40952</f>
        <v>106158</v>
      </c>
      <c r="EE16" s="359">
        <f>64721+41466</f>
        <v>106187</v>
      </c>
      <c r="EF16" s="359">
        <f>64545+41459</f>
        <v>106004</v>
      </c>
      <c r="EG16" s="359">
        <f>65174+41183</f>
        <v>106357</v>
      </c>
      <c r="EH16" s="359">
        <f>65833+41106</f>
        <v>106939</v>
      </c>
      <c r="EI16" s="359">
        <f>66151+40951</f>
        <v>107102</v>
      </c>
      <c r="EJ16" s="359">
        <f>66859+40835</f>
        <v>107694</v>
      </c>
      <c r="EK16" s="359">
        <f>67338+40611</f>
        <v>107949</v>
      </c>
      <c r="EL16" s="359">
        <f>67579+40314</f>
        <v>107893</v>
      </c>
      <c r="EM16" s="359">
        <f>67269+40054</f>
        <v>107323</v>
      </c>
      <c r="EN16" s="359">
        <f>67511+39868</f>
        <v>107379</v>
      </c>
      <c r="EO16" s="359">
        <f>67420+39671</f>
        <v>107091</v>
      </c>
      <c r="EP16" s="359">
        <f>66924+40213</f>
        <v>107137</v>
      </c>
      <c r="EQ16" s="359">
        <f>66573+40570</f>
        <v>107143</v>
      </c>
      <c r="ER16" s="359">
        <f>62766+39862</f>
        <v>102628</v>
      </c>
      <c r="ES16" s="359">
        <f>60469+39350</f>
        <v>99819</v>
      </c>
      <c r="ET16" s="359">
        <f>60846+39091</f>
        <v>99937</v>
      </c>
      <c r="EU16" s="359">
        <f>61156+39324</f>
        <v>100480</v>
      </c>
      <c r="EV16" s="359">
        <f>61958+39425</f>
        <v>101383</v>
      </c>
      <c r="EW16" s="359">
        <f>62357+39186</f>
        <v>101543</v>
      </c>
      <c r="EX16" s="359">
        <f>62813+39074</f>
        <v>101887</v>
      </c>
      <c r="EY16" s="359">
        <f>63041+38892</f>
        <v>101933</v>
      </c>
      <c r="EZ16" s="359">
        <f>63001+38754</f>
        <v>101755</v>
      </c>
      <c r="FA16" s="359">
        <f>63172+38653</f>
        <v>101825</v>
      </c>
      <c r="FB16" s="359">
        <f>62526+39130</f>
        <v>101656</v>
      </c>
      <c r="FC16" s="359">
        <f>62253+39149</f>
        <v>101402</v>
      </c>
      <c r="FD16" s="359">
        <f>62374+39214</f>
        <v>101588</v>
      </c>
      <c r="FE16" s="359">
        <f>62508+39058</f>
        <v>101566</v>
      </c>
      <c r="FF16" s="359">
        <f>62644+39028</f>
        <v>101672</v>
      </c>
      <c r="FG16" s="359">
        <f>63000+38945</f>
        <v>101945</v>
      </c>
      <c r="FH16" s="359">
        <f>61683+38854</f>
        <v>100537</v>
      </c>
      <c r="FI16" s="359">
        <f>57829+38856</f>
        <v>96685</v>
      </c>
      <c r="FJ16" s="359">
        <f>54184+38901</f>
        <v>93085</v>
      </c>
      <c r="FK16" s="359">
        <f>54019+38671</f>
        <v>92690</v>
      </c>
      <c r="FL16" s="359">
        <f>54124+38450</f>
        <v>92574</v>
      </c>
      <c r="FM16" s="359">
        <f>54060+38320</f>
        <v>92380</v>
      </c>
      <c r="FN16" s="359">
        <f>53310+38526</f>
        <v>91836</v>
      </c>
      <c r="FO16" s="359">
        <f>52433+38838</f>
        <v>91271</v>
      </c>
      <c r="FP16" s="359">
        <f>52280+38688</f>
        <v>90968</v>
      </c>
      <c r="FQ16" s="359">
        <f>52493+38319</f>
        <v>90812</v>
      </c>
      <c r="FR16" s="359">
        <f>52901+37876</f>
        <v>90777</v>
      </c>
      <c r="FS16" s="359">
        <f>52323+37926</f>
        <v>90249</v>
      </c>
      <c r="FT16" s="359">
        <f>53014+38024</f>
        <v>91038</v>
      </c>
    </row>
    <row r="17" spans="2:176" ht="13.5" customHeight="1" thickBot="1" x14ac:dyDescent="0.3">
      <c r="B17" s="5" t="s">
        <v>8</v>
      </c>
      <c r="C17" s="30">
        <v>1651</v>
      </c>
      <c r="D17" s="30">
        <v>7836</v>
      </c>
      <c r="E17" s="17">
        <v>11000</v>
      </c>
      <c r="F17" s="17">
        <v>11874</v>
      </c>
      <c r="G17" s="17">
        <v>13534</v>
      </c>
      <c r="H17" s="17">
        <v>14906</v>
      </c>
      <c r="I17" s="17">
        <v>15401</v>
      </c>
      <c r="J17" s="17">
        <v>19973</v>
      </c>
      <c r="K17" s="40">
        <v>20652</v>
      </c>
      <c r="L17" s="17">
        <v>22261</v>
      </c>
      <c r="M17" s="17">
        <v>23280</v>
      </c>
      <c r="N17" s="22">
        <v>24224</v>
      </c>
      <c r="O17" s="40">
        <v>24196</v>
      </c>
      <c r="P17" s="40">
        <v>25915</v>
      </c>
      <c r="Q17" s="17">
        <v>27743</v>
      </c>
      <c r="R17" s="92">
        <v>27771</v>
      </c>
      <c r="S17" s="92">
        <v>28161</v>
      </c>
      <c r="T17" s="92">
        <v>28958</v>
      </c>
      <c r="U17" s="92">
        <v>30030</v>
      </c>
      <c r="V17" s="92">
        <v>31488</v>
      </c>
      <c r="W17" s="92">
        <v>31159</v>
      </c>
      <c r="X17" s="92">
        <v>32197</v>
      </c>
      <c r="Y17" s="92">
        <v>34467</v>
      </c>
      <c r="Z17" s="93">
        <v>37481</v>
      </c>
      <c r="AA17" s="92">
        <v>40358</v>
      </c>
      <c r="AB17" s="92">
        <v>41877</v>
      </c>
      <c r="AC17" s="92">
        <v>43229</v>
      </c>
      <c r="AD17" s="92">
        <v>44699</v>
      </c>
      <c r="AE17" s="92">
        <v>46035</v>
      </c>
      <c r="AF17" s="92">
        <v>48029</v>
      </c>
      <c r="AG17" s="92">
        <v>50747</v>
      </c>
      <c r="AH17" s="92">
        <v>53353</v>
      </c>
      <c r="AI17" s="92">
        <v>55629</v>
      </c>
      <c r="AJ17" s="92">
        <v>58071</v>
      </c>
      <c r="AK17" s="92">
        <v>59963</v>
      </c>
      <c r="AL17" s="92">
        <v>61798</v>
      </c>
      <c r="AM17" s="91">
        <v>61798</v>
      </c>
      <c r="AN17" s="92">
        <v>61798</v>
      </c>
      <c r="AO17" s="69">
        <v>61798</v>
      </c>
      <c r="AP17" s="2">
        <f>32645+36839</f>
        <v>69484</v>
      </c>
      <c r="AQ17" s="2">
        <f>33410+37604</f>
        <v>71014</v>
      </c>
      <c r="AR17" s="2">
        <f>34576+38571</f>
        <v>73147</v>
      </c>
      <c r="AS17" s="2">
        <f>35407+39341</f>
        <v>74748</v>
      </c>
      <c r="AT17" s="2">
        <f>37039+40169</f>
        <v>77208</v>
      </c>
      <c r="AU17" s="2">
        <f>38534+40902</f>
        <v>79436</v>
      </c>
      <c r="AV17" s="2">
        <f>39327+41392</f>
        <v>80719</v>
      </c>
      <c r="AW17" s="2">
        <f>39986+41608</f>
        <v>81594</v>
      </c>
      <c r="AX17" s="2">
        <f>41168+43880</f>
        <v>85048</v>
      </c>
      <c r="AY17" s="74">
        <f>41076+42729</f>
        <v>83805</v>
      </c>
      <c r="AZ17" s="2">
        <f>40279+41826</f>
        <v>82105</v>
      </c>
      <c r="BA17" s="2">
        <f>40334+41696</f>
        <v>82030</v>
      </c>
      <c r="BB17" s="2">
        <f>41740+40695</f>
        <v>82435</v>
      </c>
      <c r="BC17" s="2">
        <f>41700+42327</f>
        <v>84027</v>
      </c>
      <c r="BD17" s="2">
        <f>42677+42831</f>
        <v>85508</v>
      </c>
      <c r="BE17" s="2">
        <f>43409+43433</f>
        <v>86842</v>
      </c>
      <c r="BF17" s="2">
        <f>43669+43654</f>
        <v>87323</v>
      </c>
      <c r="BG17" s="2">
        <f>44158+44126</f>
        <v>88284</v>
      </c>
      <c r="BH17" s="2">
        <f>45077+44983</f>
        <v>90060</v>
      </c>
      <c r="BI17" s="2">
        <f>46461+46285</f>
        <v>92746</v>
      </c>
      <c r="BJ17" s="2">
        <f>47476+47035</f>
        <v>94511</v>
      </c>
      <c r="BK17" s="74">
        <f>48075+47794</f>
        <v>95869</v>
      </c>
      <c r="BL17" s="2">
        <f>49788+48574</f>
        <v>98362</v>
      </c>
      <c r="BM17" s="2">
        <f>51127+49219</f>
        <v>100346</v>
      </c>
      <c r="BN17" s="2">
        <f>51913+49750</f>
        <v>101663</v>
      </c>
      <c r="BO17" s="2">
        <f>52596+50315</f>
        <v>102911</v>
      </c>
      <c r="BP17" s="2">
        <f>53263+50743</f>
        <v>104006</v>
      </c>
      <c r="BQ17" s="2">
        <f>54332+51456</f>
        <v>105788</v>
      </c>
      <c r="BR17" s="2">
        <f>54653+51518</f>
        <v>106171</v>
      </c>
      <c r="BS17" s="2">
        <f>55827+52021</f>
        <v>107848</v>
      </c>
      <c r="BT17" s="2">
        <f>56681+52608</f>
        <v>109289</v>
      </c>
      <c r="BU17" s="2">
        <f>57401+53061</f>
        <v>110462</v>
      </c>
      <c r="BV17" s="20">
        <f>58073+53539</f>
        <v>111612</v>
      </c>
      <c r="BW17" s="74">
        <f>58159+53995</f>
        <v>112154</v>
      </c>
      <c r="BX17" s="2">
        <f>58830+54455</f>
        <v>113285</v>
      </c>
      <c r="BY17" s="2">
        <f>59228+54872</f>
        <v>114100</v>
      </c>
      <c r="BZ17" s="2">
        <f>60123+55246</f>
        <v>115369</v>
      </c>
      <c r="CA17" s="2">
        <f>60389+55529</f>
        <v>115918</v>
      </c>
      <c r="CB17" s="2">
        <f>61443+55795</f>
        <v>117238</v>
      </c>
      <c r="CC17" s="2">
        <f>60907+56035</f>
        <v>116942</v>
      </c>
      <c r="CD17" s="2">
        <f>65287+56291</f>
        <v>121578</v>
      </c>
      <c r="CE17" s="2">
        <f>69248+55794</f>
        <v>125042</v>
      </c>
      <c r="CF17" s="2">
        <f>69185+55371</f>
        <v>124556</v>
      </c>
      <c r="CG17" s="2">
        <f>67012+51511</f>
        <v>118523</v>
      </c>
      <c r="CH17" s="18">
        <f>68986+54266</f>
        <v>123252</v>
      </c>
      <c r="CI17" s="210">
        <f>70414+56810</f>
        <v>127224</v>
      </c>
      <c r="CJ17" s="92">
        <f>71006+57983</f>
        <v>128989</v>
      </c>
      <c r="CK17" s="92">
        <f>71623+58345</f>
        <v>129968</v>
      </c>
      <c r="CL17" s="69">
        <f>73031+59135</f>
        <v>132166</v>
      </c>
      <c r="CM17" s="69">
        <f>74371+59906</f>
        <v>134277</v>
      </c>
      <c r="CN17" s="69">
        <f>74836+60757</f>
        <v>135593</v>
      </c>
      <c r="CO17" s="92">
        <f>75189+61154</f>
        <v>136343</v>
      </c>
      <c r="CP17" s="92">
        <f>75920+62062</f>
        <v>137982</v>
      </c>
      <c r="CQ17" s="92">
        <f>77325+63919</f>
        <v>141244</v>
      </c>
      <c r="CR17" s="92">
        <f>78102+64558</f>
        <v>142660</v>
      </c>
      <c r="CS17" s="92">
        <f>78520+64774</f>
        <v>143294</v>
      </c>
      <c r="CT17" s="93">
        <f>79048+65432</f>
        <v>144480</v>
      </c>
      <c r="CU17" s="91">
        <f>78866+66152</f>
        <v>145018</v>
      </c>
      <c r="CV17" s="92">
        <f>79231+66681</f>
        <v>145912</v>
      </c>
      <c r="CW17" s="92">
        <f>77548+66805</f>
        <v>144353</v>
      </c>
      <c r="CX17" s="92">
        <f>79885+67769</f>
        <v>147654</v>
      </c>
      <c r="CY17" s="92">
        <f>80290+68289</f>
        <v>148579</v>
      </c>
      <c r="CZ17" s="92">
        <f>80612+68793</f>
        <v>149405</v>
      </c>
      <c r="DA17" s="92">
        <f>81162+69047</f>
        <v>150209</v>
      </c>
      <c r="DB17" s="92">
        <f>81175+69748</f>
        <v>150923</v>
      </c>
      <c r="DC17" s="92">
        <f>81236+70030</f>
        <v>151266</v>
      </c>
      <c r="DD17" s="92">
        <f>81460+70631</f>
        <v>152091</v>
      </c>
      <c r="DE17" s="92">
        <f>81843+71388</f>
        <v>153231</v>
      </c>
      <c r="DF17" s="93">
        <f>81331+72562</f>
        <v>153893</v>
      </c>
      <c r="DG17" s="310">
        <f>81200+73599</f>
        <v>154799</v>
      </c>
      <c r="DH17" s="276">
        <f>80848+74543</f>
        <v>155391</v>
      </c>
      <c r="DI17" s="276">
        <f>80854+75031</f>
        <v>155885</v>
      </c>
      <c r="DJ17" s="276">
        <f>81684+75283</f>
        <v>156967</v>
      </c>
      <c r="DK17" s="276">
        <f>81822+75895</f>
        <v>157717</v>
      </c>
      <c r="DL17" s="276">
        <f>82029+76743</f>
        <v>158772</v>
      </c>
      <c r="DM17" s="276">
        <f>81808+76967</f>
        <v>158775</v>
      </c>
      <c r="DN17" s="276">
        <f>81508+77155</f>
        <v>158663</v>
      </c>
      <c r="DO17" s="276">
        <f>81238+77656</f>
        <v>158894</v>
      </c>
      <c r="DP17" s="276">
        <f>81269+78061</f>
        <v>159330</v>
      </c>
      <c r="DQ17" s="276">
        <f>80940+78252</f>
        <v>159192</v>
      </c>
      <c r="DR17" s="276">
        <f>80343+79264</f>
        <v>159607</v>
      </c>
      <c r="DS17" s="276">
        <f>80573+79119</f>
        <v>159692</v>
      </c>
      <c r="DT17" s="276">
        <f>80376+78718</f>
        <v>159094</v>
      </c>
      <c r="DU17" s="276">
        <f>80607+77997</f>
        <v>158604</v>
      </c>
      <c r="DV17" s="352">
        <f>77914+80847</f>
        <v>158761</v>
      </c>
      <c r="DW17" s="352">
        <f>81046+77878</f>
        <v>158924</v>
      </c>
      <c r="DX17" s="352">
        <f>81337+78252</f>
        <v>159589</v>
      </c>
      <c r="DY17" s="352">
        <f>78329+82402</f>
        <v>160731</v>
      </c>
      <c r="DZ17" s="352">
        <f>70938+82397</f>
        <v>153335</v>
      </c>
      <c r="EA17" s="352">
        <f>72789+82805</f>
        <v>155594</v>
      </c>
      <c r="EB17" s="352">
        <f>70246+82427</f>
        <v>152673</v>
      </c>
      <c r="EC17" s="352">
        <f>69159+82544</f>
        <v>151703</v>
      </c>
      <c r="ED17" s="352">
        <f>69114+83012</f>
        <v>152126</v>
      </c>
      <c r="EE17" s="352">
        <f>67915+84512</f>
        <v>152427</v>
      </c>
      <c r="EF17" s="352">
        <f>67627+84803</f>
        <v>152430</v>
      </c>
      <c r="EG17" s="352">
        <f>67784+84713</f>
        <v>152497</v>
      </c>
      <c r="EH17" s="352">
        <f>68202+84980</f>
        <v>153182</v>
      </c>
      <c r="EI17" s="352">
        <f>68830+85090</f>
        <v>153920</v>
      </c>
      <c r="EJ17" s="352">
        <f>70732+85747</f>
        <v>156479</v>
      </c>
      <c r="EK17" s="352">
        <f>68637+85774</f>
        <v>154411</v>
      </c>
      <c r="EL17" s="352">
        <f>68668+85659</f>
        <v>154327</v>
      </c>
      <c r="EM17" s="352">
        <f>69312+85679</f>
        <v>154991</v>
      </c>
      <c r="EN17" s="352">
        <f>69332+85789</f>
        <v>155121</v>
      </c>
      <c r="EO17" s="352">
        <f>75346+90599</f>
        <v>165945</v>
      </c>
      <c r="EP17" s="352">
        <f>68936+88054</f>
        <v>156990</v>
      </c>
      <c r="EQ17" s="352">
        <f>68267+88267</f>
        <v>156534</v>
      </c>
      <c r="ER17" s="352">
        <f>71606+89162</f>
        <v>160768</v>
      </c>
      <c r="ES17" s="352">
        <f>74368+90149</f>
        <v>164517</v>
      </c>
      <c r="ET17" s="352">
        <f>74624+90666</f>
        <v>165290</v>
      </c>
      <c r="EU17" s="352">
        <f>74723+90667</f>
        <v>165390</v>
      </c>
      <c r="EV17" s="352">
        <f>74372+90433</f>
        <v>164805</v>
      </c>
      <c r="EW17" s="352">
        <f>74391+90432</f>
        <v>164823</v>
      </c>
      <c r="EX17" s="352">
        <f>74317+90168</f>
        <v>164485</v>
      </c>
      <c r="EY17" s="352">
        <f>74728+90252</f>
        <v>164980</v>
      </c>
      <c r="EZ17" s="352">
        <f>74884+90040</f>
        <v>164924</v>
      </c>
      <c r="FA17" s="352">
        <f>75607+90459</f>
        <v>166066</v>
      </c>
      <c r="FB17" s="352">
        <f>74675+91173</f>
        <v>165848</v>
      </c>
      <c r="FC17" s="352">
        <f>74452+91662</f>
        <v>166114</v>
      </c>
      <c r="FD17" s="352">
        <f>74229+92130</f>
        <v>166359</v>
      </c>
      <c r="FE17" s="352">
        <f>74503+92457</f>
        <v>166960</v>
      </c>
      <c r="FF17" s="352">
        <f>74816+92465</f>
        <v>167281</v>
      </c>
      <c r="FG17" s="352">
        <f>75389+92718</f>
        <v>168107</v>
      </c>
      <c r="FH17" s="352">
        <f>77224+92842</f>
        <v>170066</v>
      </c>
      <c r="FI17" s="352">
        <f>81579+92800</f>
        <v>174379</v>
      </c>
      <c r="FJ17" s="352">
        <f>84270+92800</f>
        <v>177070</v>
      </c>
      <c r="FK17" s="352">
        <f>84068+92949</f>
        <v>177017</v>
      </c>
      <c r="FL17" s="352">
        <f>84336+92899</f>
        <v>177235</v>
      </c>
      <c r="FM17" s="352">
        <f>84738+92781</f>
        <v>177519</v>
      </c>
      <c r="FN17" s="352">
        <f>85042+93339</f>
        <v>178381</v>
      </c>
      <c r="FO17" s="352">
        <f>84780+94049</f>
        <v>178829</v>
      </c>
      <c r="FP17" s="352">
        <f>84951+94183</f>
        <v>179134</v>
      </c>
      <c r="FQ17" s="352">
        <f>86213+94164</f>
        <v>180377</v>
      </c>
      <c r="FR17" s="352">
        <f>87451+93782</f>
        <v>181233</v>
      </c>
      <c r="FS17" s="352">
        <f>87801+93847</f>
        <v>181648</v>
      </c>
      <c r="FT17" s="352">
        <f>87323+94166</f>
        <v>181489</v>
      </c>
    </row>
    <row r="18" spans="2:176" ht="13.5" customHeight="1" thickTop="1" x14ac:dyDescent="0.25">
      <c r="B18" s="3" t="s">
        <v>9</v>
      </c>
      <c r="C18" s="25">
        <f t="shared" ref="C18:H18" si="49">SUM(C16:C17)</f>
        <v>199048</v>
      </c>
      <c r="D18" s="25">
        <f t="shared" si="49"/>
        <v>205233</v>
      </c>
      <c r="E18" s="8">
        <f t="shared" si="49"/>
        <v>208397</v>
      </c>
      <c r="F18" s="8">
        <f t="shared" si="49"/>
        <v>208399</v>
      </c>
      <c r="G18" s="8">
        <f t="shared" si="49"/>
        <v>209306</v>
      </c>
      <c r="H18" s="8">
        <f t="shared" si="49"/>
        <v>213320</v>
      </c>
      <c r="I18" s="8">
        <f t="shared" ref="I18:Q18" si="50">SUM(I16:I17)</f>
        <v>214551</v>
      </c>
      <c r="J18" s="8">
        <f t="shared" si="50"/>
        <v>215715</v>
      </c>
      <c r="K18" s="35">
        <f t="shared" si="50"/>
        <v>217227</v>
      </c>
      <c r="L18" s="8">
        <f t="shared" si="50"/>
        <v>218312</v>
      </c>
      <c r="M18" s="8">
        <f t="shared" si="50"/>
        <v>219174</v>
      </c>
      <c r="N18" s="10">
        <f t="shared" si="50"/>
        <v>219729</v>
      </c>
      <c r="O18" s="35">
        <f t="shared" si="50"/>
        <v>210206</v>
      </c>
      <c r="P18" s="35">
        <f t="shared" si="50"/>
        <v>212185</v>
      </c>
      <c r="Q18" s="8">
        <f t="shared" si="50"/>
        <v>214219</v>
      </c>
      <c r="R18" s="8">
        <f t="shared" ref="R18:Z18" si="51">SUM(R16:R17)</f>
        <v>216652</v>
      </c>
      <c r="S18" s="8">
        <f t="shared" si="51"/>
        <v>216849</v>
      </c>
      <c r="T18" s="8">
        <f t="shared" si="51"/>
        <v>219223</v>
      </c>
      <c r="U18" s="8">
        <f t="shared" si="51"/>
        <v>220088</v>
      </c>
      <c r="V18" s="8">
        <f t="shared" si="51"/>
        <v>219994</v>
      </c>
      <c r="W18" s="8">
        <f t="shared" si="51"/>
        <v>219529</v>
      </c>
      <c r="X18" s="8">
        <f t="shared" si="51"/>
        <v>219603</v>
      </c>
      <c r="Y18" s="8">
        <f t="shared" si="51"/>
        <v>219863</v>
      </c>
      <c r="Z18" s="9">
        <f t="shared" si="51"/>
        <v>220539</v>
      </c>
      <c r="AA18" s="8">
        <f t="shared" ref="AA18:AF18" si="52">SUM(AA16:AA17)</f>
        <v>220143</v>
      </c>
      <c r="AB18" s="8">
        <f t="shared" si="52"/>
        <v>220188</v>
      </c>
      <c r="AC18" s="8">
        <f t="shared" si="52"/>
        <v>219866</v>
      </c>
      <c r="AD18" s="8">
        <f t="shared" si="52"/>
        <v>220736</v>
      </c>
      <c r="AE18" s="8">
        <f t="shared" si="52"/>
        <v>221490</v>
      </c>
      <c r="AF18" s="8">
        <f t="shared" si="52"/>
        <v>222552</v>
      </c>
      <c r="AG18" s="8">
        <f t="shared" ref="AG18:AL18" si="53">SUM(AG16:AG17)</f>
        <v>223397</v>
      </c>
      <c r="AH18" s="8">
        <f t="shared" si="53"/>
        <v>223988</v>
      </c>
      <c r="AI18" s="8">
        <f t="shared" si="53"/>
        <v>224313</v>
      </c>
      <c r="AJ18" s="8">
        <f t="shared" si="53"/>
        <v>225073</v>
      </c>
      <c r="AK18" s="8">
        <f t="shared" si="53"/>
        <v>225387</v>
      </c>
      <c r="AL18" s="8">
        <f t="shared" si="53"/>
        <v>225014</v>
      </c>
      <c r="AM18" s="77">
        <f t="shared" ref="AM18:AR18" si="54">SUM(AM16:AM17)</f>
        <v>223187</v>
      </c>
      <c r="AN18" s="8">
        <f t="shared" si="54"/>
        <v>220874</v>
      </c>
      <c r="AO18" s="80">
        <f t="shared" si="54"/>
        <v>219124</v>
      </c>
      <c r="AP18" s="80">
        <f t="shared" si="54"/>
        <v>226191</v>
      </c>
      <c r="AQ18" s="80">
        <f t="shared" si="54"/>
        <v>227520</v>
      </c>
      <c r="AR18" s="80">
        <f t="shared" si="54"/>
        <v>228261</v>
      </c>
      <c r="AS18" s="80">
        <f t="shared" ref="AS18:AX18" si="55">SUM(AS16:AS17)</f>
        <v>229207</v>
      </c>
      <c r="AT18" s="80">
        <f t="shared" si="55"/>
        <v>230155</v>
      </c>
      <c r="AU18" s="80">
        <f t="shared" si="55"/>
        <v>230273</v>
      </c>
      <c r="AV18" s="80">
        <f t="shared" si="55"/>
        <v>230135</v>
      </c>
      <c r="AW18" s="80">
        <f t="shared" si="55"/>
        <v>231329</v>
      </c>
      <c r="AX18" s="80">
        <f t="shared" si="55"/>
        <v>235179</v>
      </c>
      <c r="AY18" s="194">
        <f t="shared" ref="AY18:BD18" si="56">SUM(AY16:AY17)</f>
        <v>234157</v>
      </c>
      <c r="AZ18" s="80">
        <f t="shared" si="56"/>
        <v>229579</v>
      </c>
      <c r="BA18" s="80">
        <f t="shared" si="56"/>
        <v>232685</v>
      </c>
      <c r="BB18" s="80">
        <f t="shared" si="56"/>
        <v>233131</v>
      </c>
      <c r="BC18" s="80">
        <f t="shared" si="56"/>
        <v>234050</v>
      </c>
      <c r="BD18" s="80">
        <f t="shared" si="56"/>
        <v>234975</v>
      </c>
      <c r="BE18" s="80">
        <f t="shared" ref="BE18:BJ18" si="57">SUM(BE16:BE17)</f>
        <v>235662</v>
      </c>
      <c r="BF18" s="80">
        <f t="shared" si="57"/>
        <v>235277</v>
      </c>
      <c r="BG18" s="80">
        <f t="shared" si="57"/>
        <v>235055</v>
      </c>
      <c r="BH18" s="80">
        <f t="shared" si="57"/>
        <v>235727</v>
      </c>
      <c r="BI18" s="80">
        <f t="shared" si="57"/>
        <v>236984</v>
      </c>
      <c r="BJ18" s="80">
        <f t="shared" si="57"/>
        <v>235828</v>
      </c>
      <c r="BK18" s="194">
        <f t="shared" ref="BK18:BV18" si="58">SUM(BK16:BK17)</f>
        <v>235018</v>
      </c>
      <c r="BL18" s="80">
        <f t="shared" si="58"/>
        <v>235817</v>
      </c>
      <c r="BM18" s="80">
        <f t="shared" si="58"/>
        <v>236403</v>
      </c>
      <c r="BN18" s="80">
        <f t="shared" si="58"/>
        <v>236986</v>
      </c>
      <c r="BO18" s="80">
        <f t="shared" si="58"/>
        <v>237632</v>
      </c>
      <c r="BP18" s="80">
        <f t="shared" si="58"/>
        <v>238132</v>
      </c>
      <c r="BQ18" s="80">
        <f t="shared" si="58"/>
        <v>238846</v>
      </c>
      <c r="BR18" s="80">
        <f t="shared" si="58"/>
        <v>237792</v>
      </c>
      <c r="BS18" s="80">
        <f t="shared" si="58"/>
        <v>238711</v>
      </c>
      <c r="BT18" s="80">
        <f t="shared" si="58"/>
        <v>239727</v>
      </c>
      <c r="BU18" s="80">
        <f t="shared" si="58"/>
        <v>230059</v>
      </c>
      <c r="BV18" s="10">
        <f t="shared" si="58"/>
        <v>239792</v>
      </c>
      <c r="BW18" s="194">
        <f t="shared" ref="BW18:CB18" si="59">SUM(BW16:BW17)</f>
        <v>239752</v>
      </c>
      <c r="BX18" s="80">
        <f t="shared" si="59"/>
        <v>239729</v>
      </c>
      <c r="BY18" s="80">
        <f t="shared" si="59"/>
        <v>240422</v>
      </c>
      <c r="BZ18" s="80">
        <f t="shared" si="59"/>
        <v>241544</v>
      </c>
      <c r="CA18" s="80">
        <f t="shared" si="59"/>
        <v>242159</v>
      </c>
      <c r="CB18" s="80">
        <f t="shared" si="59"/>
        <v>243034</v>
      </c>
      <c r="CC18" s="80">
        <f t="shared" ref="CC18:CH18" si="60">SUM(CC16:CC17)</f>
        <v>242750</v>
      </c>
      <c r="CD18" s="80">
        <f t="shared" si="60"/>
        <v>243737</v>
      </c>
      <c r="CE18" s="80">
        <f t="shared" si="60"/>
        <v>241790</v>
      </c>
      <c r="CF18" s="80">
        <f t="shared" si="60"/>
        <v>240772</v>
      </c>
      <c r="CG18" s="80">
        <f t="shared" si="60"/>
        <v>228859</v>
      </c>
      <c r="CH18" s="80">
        <f t="shared" si="60"/>
        <v>236522</v>
      </c>
      <c r="CI18" s="115">
        <f>SUM(CI16:CI17)</f>
        <v>241069</v>
      </c>
      <c r="CJ18" s="94">
        <f>SUM(CJ16:CJ17)</f>
        <v>242150</v>
      </c>
      <c r="CK18" s="94">
        <f>SUM(CK16:CK17)</f>
        <v>241577</v>
      </c>
      <c r="CL18" s="95">
        <f t="shared" ref="CL18:CT18" si="61">SUM(CL16:CL17)</f>
        <v>242665</v>
      </c>
      <c r="CM18" s="95">
        <f t="shared" si="61"/>
        <v>244029</v>
      </c>
      <c r="CN18" s="95">
        <f t="shared" si="61"/>
        <v>243730</v>
      </c>
      <c r="CO18" s="95">
        <f t="shared" si="61"/>
        <v>242281</v>
      </c>
      <c r="CP18" s="95">
        <f t="shared" si="61"/>
        <v>242860</v>
      </c>
      <c r="CQ18" s="95">
        <f t="shared" si="61"/>
        <v>245667</v>
      </c>
      <c r="CR18" s="95">
        <f t="shared" si="61"/>
        <v>245416</v>
      </c>
      <c r="CS18" s="95">
        <f t="shared" si="61"/>
        <v>244946</v>
      </c>
      <c r="CT18" s="107">
        <f t="shared" si="61"/>
        <v>245565</v>
      </c>
      <c r="CU18" s="95">
        <f t="shared" ref="CU18:DJ18" si="62">SUM(CU16:CU17)</f>
        <v>245530</v>
      </c>
      <c r="CV18" s="94">
        <f t="shared" si="62"/>
        <v>245558</v>
      </c>
      <c r="CW18" s="94">
        <f t="shared" si="62"/>
        <v>241267</v>
      </c>
      <c r="CX18" s="94">
        <f t="shared" si="62"/>
        <v>246615</v>
      </c>
      <c r="CY18" s="94">
        <f t="shared" si="62"/>
        <v>246984</v>
      </c>
      <c r="CZ18" s="94">
        <f t="shared" si="62"/>
        <v>247314</v>
      </c>
      <c r="DA18" s="94">
        <f t="shared" si="62"/>
        <v>246732</v>
      </c>
      <c r="DB18" s="94">
        <f t="shared" si="62"/>
        <v>246775</v>
      </c>
      <c r="DC18" s="94">
        <f t="shared" si="62"/>
        <v>246734</v>
      </c>
      <c r="DD18" s="94">
        <f t="shared" si="62"/>
        <v>247058</v>
      </c>
      <c r="DE18" s="94">
        <f t="shared" si="62"/>
        <v>247491</v>
      </c>
      <c r="DF18" s="96">
        <f t="shared" si="62"/>
        <v>247748</v>
      </c>
      <c r="DG18" s="94">
        <f t="shared" si="62"/>
        <v>248040</v>
      </c>
      <c r="DH18" s="94">
        <f t="shared" si="62"/>
        <v>247662</v>
      </c>
      <c r="DI18" s="94">
        <f t="shared" si="62"/>
        <v>247732</v>
      </c>
      <c r="DJ18" s="94">
        <f t="shared" si="62"/>
        <v>249089</v>
      </c>
      <c r="DK18" s="94">
        <f t="shared" ref="DK18:FQ18" si="63">SUM(DK16:DK17)</f>
        <v>249946</v>
      </c>
      <c r="DL18" s="94">
        <f t="shared" si="63"/>
        <v>250974</v>
      </c>
      <c r="DM18" s="94">
        <f t="shared" si="63"/>
        <v>251101</v>
      </c>
      <c r="DN18" s="94">
        <f t="shared" si="63"/>
        <v>251432</v>
      </c>
      <c r="DO18" s="94">
        <f t="shared" si="63"/>
        <v>251879</v>
      </c>
      <c r="DP18" s="94">
        <f t="shared" si="63"/>
        <v>252378</v>
      </c>
      <c r="DQ18" s="94">
        <f t="shared" si="63"/>
        <v>252084</v>
      </c>
      <c r="DR18" s="94">
        <f t="shared" si="63"/>
        <v>252145</v>
      </c>
      <c r="DS18" s="94">
        <f t="shared" si="63"/>
        <v>252391</v>
      </c>
      <c r="DT18" s="94">
        <f t="shared" si="63"/>
        <v>252421</v>
      </c>
      <c r="DU18" s="94">
        <f t="shared" si="63"/>
        <v>253248</v>
      </c>
      <c r="DV18" s="358">
        <f t="shared" si="63"/>
        <v>253857</v>
      </c>
      <c r="DW18" s="358">
        <f t="shared" si="63"/>
        <v>254655</v>
      </c>
      <c r="DX18" s="358">
        <f t="shared" si="63"/>
        <v>255941</v>
      </c>
      <c r="DY18" s="358">
        <f t="shared" si="63"/>
        <v>262418</v>
      </c>
      <c r="DZ18" s="358">
        <f t="shared" si="63"/>
        <v>259408</v>
      </c>
      <c r="EA18" s="358">
        <f t="shared" si="63"/>
        <v>262162</v>
      </c>
      <c r="EB18" s="358">
        <f t="shared" si="63"/>
        <v>259062</v>
      </c>
      <c r="EC18" s="358">
        <f t="shared" si="63"/>
        <v>257744</v>
      </c>
      <c r="ED18" s="358">
        <f t="shared" si="63"/>
        <v>258284</v>
      </c>
      <c r="EE18" s="358">
        <f t="shared" si="63"/>
        <v>258614</v>
      </c>
      <c r="EF18" s="358">
        <f t="shared" si="63"/>
        <v>258434</v>
      </c>
      <c r="EG18" s="358">
        <f t="shared" si="63"/>
        <v>258854</v>
      </c>
      <c r="EH18" s="358">
        <f t="shared" si="63"/>
        <v>260121</v>
      </c>
      <c r="EI18" s="358">
        <f t="shared" si="63"/>
        <v>261022</v>
      </c>
      <c r="EJ18" s="358">
        <f t="shared" si="63"/>
        <v>264173</v>
      </c>
      <c r="EK18" s="358">
        <f t="shared" si="63"/>
        <v>262360</v>
      </c>
      <c r="EL18" s="358">
        <f t="shared" si="63"/>
        <v>262220</v>
      </c>
      <c r="EM18" s="358">
        <f t="shared" si="63"/>
        <v>262314</v>
      </c>
      <c r="EN18" s="358">
        <f t="shared" si="63"/>
        <v>262500</v>
      </c>
      <c r="EO18" s="358">
        <f t="shared" si="63"/>
        <v>273036</v>
      </c>
      <c r="EP18" s="358">
        <f t="shared" si="63"/>
        <v>264127</v>
      </c>
      <c r="EQ18" s="358">
        <f t="shared" si="63"/>
        <v>263677</v>
      </c>
      <c r="ER18" s="358">
        <f t="shared" si="63"/>
        <v>263396</v>
      </c>
      <c r="ES18" s="358">
        <f t="shared" si="63"/>
        <v>264336</v>
      </c>
      <c r="ET18" s="358">
        <f t="shared" si="63"/>
        <v>265227</v>
      </c>
      <c r="EU18" s="358">
        <f t="shared" si="63"/>
        <v>265870</v>
      </c>
      <c r="EV18" s="358">
        <f t="shared" si="63"/>
        <v>266188</v>
      </c>
      <c r="EW18" s="358">
        <f t="shared" si="63"/>
        <v>266366</v>
      </c>
      <c r="EX18" s="358">
        <f t="shared" si="63"/>
        <v>266372</v>
      </c>
      <c r="EY18" s="358">
        <f t="shared" si="63"/>
        <v>266913</v>
      </c>
      <c r="EZ18" s="358">
        <f t="shared" si="63"/>
        <v>266679</v>
      </c>
      <c r="FA18" s="358">
        <f t="shared" si="63"/>
        <v>267891</v>
      </c>
      <c r="FB18" s="358">
        <f t="shared" si="63"/>
        <v>267504</v>
      </c>
      <c r="FC18" s="358">
        <f t="shared" si="63"/>
        <v>267516</v>
      </c>
      <c r="FD18" s="358">
        <f t="shared" si="63"/>
        <v>267947</v>
      </c>
      <c r="FE18" s="358">
        <f t="shared" si="63"/>
        <v>268526</v>
      </c>
      <c r="FF18" s="358">
        <f t="shared" si="63"/>
        <v>268953</v>
      </c>
      <c r="FG18" s="358">
        <f t="shared" si="63"/>
        <v>270052</v>
      </c>
      <c r="FH18" s="358">
        <f t="shared" si="63"/>
        <v>270603</v>
      </c>
      <c r="FI18" s="358">
        <f t="shared" si="63"/>
        <v>271064</v>
      </c>
      <c r="FJ18" s="358">
        <f t="shared" si="63"/>
        <v>270155</v>
      </c>
      <c r="FK18" s="358">
        <f t="shared" si="63"/>
        <v>269707</v>
      </c>
      <c r="FL18" s="358">
        <f t="shared" si="63"/>
        <v>269809</v>
      </c>
      <c r="FM18" s="358">
        <f t="shared" si="63"/>
        <v>269899</v>
      </c>
      <c r="FN18" s="358">
        <f t="shared" si="63"/>
        <v>270217</v>
      </c>
      <c r="FO18" s="358">
        <f t="shared" si="63"/>
        <v>270100</v>
      </c>
      <c r="FP18" s="358">
        <f t="shared" si="63"/>
        <v>270102</v>
      </c>
      <c r="FQ18" s="358">
        <f t="shared" si="63"/>
        <v>271189</v>
      </c>
      <c r="FR18" s="358">
        <f t="shared" ref="FR18:FT18" si="64">SUM(FR16:FR17)</f>
        <v>272010</v>
      </c>
      <c r="FS18" s="358">
        <f t="shared" si="64"/>
        <v>271897</v>
      </c>
      <c r="FT18" s="358">
        <f t="shared" si="64"/>
        <v>272527</v>
      </c>
    </row>
    <row r="19" spans="2:176" ht="13.5" customHeight="1" x14ac:dyDescent="0.25">
      <c r="B19" s="3" t="s">
        <v>10</v>
      </c>
      <c r="C19" s="26">
        <f t="shared" ref="C19:H19" si="65">SUM(C16)/C18</f>
        <v>0.99170551826695064</v>
      </c>
      <c r="D19" s="26">
        <f t="shared" si="65"/>
        <v>0.96181900571545509</v>
      </c>
      <c r="E19" s="14">
        <f t="shared" si="65"/>
        <v>0.94721613075044264</v>
      </c>
      <c r="F19" s="14">
        <f t="shared" si="65"/>
        <v>0.94302275922629186</v>
      </c>
      <c r="G19" s="14">
        <f t="shared" si="65"/>
        <v>0.93533869072076292</v>
      </c>
      <c r="H19" s="14">
        <f t="shared" si="65"/>
        <v>0.93012375773485845</v>
      </c>
      <c r="I19" s="14">
        <f t="shared" ref="I19:Q19" si="66">SUM(I16)/I18</f>
        <v>0.9282175333603665</v>
      </c>
      <c r="J19" s="14">
        <f t="shared" si="66"/>
        <v>0.90741024036344253</v>
      </c>
      <c r="K19" s="36">
        <f t="shared" si="66"/>
        <v>0.90492894529685541</v>
      </c>
      <c r="L19" s="14">
        <f t="shared" si="66"/>
        <v>0.89803125801605044</v>
      </c>
      <c r="M19" s="14">
        <f t="shared" si="66"/>
        <v>0.89378302170877932</v>
      </c>
      <c r="N19" s="23">
        <f t="shared" si="66"/>
        <v>0.88975510742778607</v>
      </c>
      <c r="O19" s="36">
        <f t="shared" si="66"/>
        <v>0.88489386601714504</v>
      </c>
      <c r="P19" s="36">
        <f t="shared" si="66"/>
        <v>0.87786601314890311</v>
      </c>
      <c r="Q19" s="14">
        <f t="shared" si="66"/>
        <v>0.87049234661724684</v>
      </c>
      <c r="R19" s="14">
        <f t="shared" ref="R19:Z19" si="67">SUM(R16)/R18</f>
        <v>0.87181747687535771</v>
      </c>
      <c r="S19" s="14">
        <f t="shared" si="67"/>
        <v>0.87013543986829545</v>
      </c>
      <c r="T19" s="14">
        <f t="shared" si="67"/>
        <v>0.86790619597396257</v>
      </c>
      <c r="U19" s="14">
        <f t="shared" si="67"/>
        <v>0.86355457816873249</v>
      </c>
      <c r="V19" s="14">
        <f t="shared" si="67"/>
        <v>0.85686882369519168</v>
      </c>
      <c r="W19" s="14">
        <f t="shared" si="67"/>
        <v>0.85806431041001419</v>
      </c>
      <c r="X19" s="14">
        <f t="shared" si="67"/>
        <v>0.85338542733933509</v>
      </c>
      <c r="Y19" s="14">
        <f t="shared" si="67"/>
        <v>0.84323419584013681</v>
      </c>
      <c r="Z19" s="23">
        <f t="shared" si="67"/>
        <v>0.83004820009159375</v>
      </c>
      <c r="AA19" s="14">
        <f t="shared" ref="AA19:AF19" si="68">SUM(AA16)/AA18</f>
        <v>0.81667370754464141</v>
      </c>
      <c r="AB19" s="14">
        <f t="shared" si="68"/>
        <v>0.80981252384326119</v>
      </c>
      <c r="AC19" s="14">
        <f t="shared" si="68"/>
        <v>0.80338478891688569</v>
      </c>
      <c r="AD19" s="14">
        <f t="shared" si="68"/>
        <v>0.79750018121194555</v>
      </c>
      <c r="AE19" s="14">
        <f t="shared" si="68"/>
        <v>0.79215765948801298</v>
      </c>
      <c r="AF19" s="14">
        <f t="shared" si="68"/>
        <v>0.7841897623926094</v>
      </c>
      <c r="AG19" s="14">
        <f t="shared" ref="AG19:AL19" si="69">SUM(AG16)/AG18</f>
        <v>0.77283938459334722</v>
      </c>
      <c r="AH19" s="14">
        <f t="shared" si="69"/>
        <v>0.76180420379663194</v>
      </c>
      <c r="AI19" s="14">
        <f t="shared" si="69"/>
        <v>0.75200278182717895</v>
      </c>
      <c r="AJ19" s="14">
        <f t="shared" si="69"/>
        <v>0.74199037645563881</v>
      </c>
      <c r="AK19" s="14">
        <f t="shared" si="69"/>
        <v>0.73395537453358006</v>
      </c>
      <c r="AL19" s="14">
        <f t="shared" si="69"/>
        <v>0.72535931097620587</v>
      </c>
      <c r="AM19" s="78">
        <f t="shared" ref="AM19:AR19" si="70">SUM(AM16)/AM18</f>
        <v>0.72311111310246567</v>
      </c>
      <c r="AN19" s="14">
        <f t="shared" si="70"/>
        <v>0.7202115233119335</v>
      </c>
      <c r="AO19" s="14">
        <f t="shared" si="70"/>
        <v>0.71797703583359196</v>
      </c>
      <c r="AP19" s="14">
        <f t="shared" si="70"/>
        <v>0.69280829033869606</v>
      </c>
      <c r="AQ19" s="14">
        <f t="shared" si="70"/>
        <v>0.68787798874824191</v>
      </c>
      <c r="AR19" s="14">
        <f t="shared" si="70"/>
        <v>0.67954665930667091</v>
      </c>
      <c r="AS19" s="14">
        <f t="shared" ref="AS19:AX19" si="71">SUM(AS16)/AS18</f>
        <v>0.67388430545314937</v>
      </c>
      <c r="AT19" s="14">
        <f t="shared" si="71"/>
        <v>0.66453911494427664</v>
      </c>
      <c r="AU19" s="14">
        <f t="shared" si="71"/>
        <v>0.65503554476642945</v>
      </c>
      <c r="AV19" s="14">
        <f t="shared" si="71"/>
        <v>0.64925369891585372</v>
      </c>
      <c r="AW19" s="14">
        <f t="shared" si="71"/>
        <v>0.64728157732061264</v>
      </c>
      <c r="AX19" s="14">
        <f t="shared" si="71"/>
        <v>0.63836907206850957</v>
      </c>
      <c r="AY19" s="78">
        <f t="shared" ref="AY19:BD19" si="72">SUM(AY16)/AY18</f>
        <v>0.64209910444701634</v>
      </c>
      <c r="AZ19" s="14">
        <f t="shared" si="72"/>
        <v>0.64236711545916658</v>
      </c>
      <c r="BA19" s="14">
        <f t="shared" si="72"/>
        <v>0.64746330876506863</v>
      </c>
      <c r="BB19" s="14">
        <f t="shared" si="72"/>
        <v>0.64640052159515471</v>
      </c>
      <c r="BC19" s="14">
        <f t="shared" si="72"/>
        <v>0.64098696859645377</v>
      </c>
      <c r="BD19" s="14">
        <f t="shared" si="72"/>
        <v>0.6360974571762954</v>
      </c>
      <c r="BE19" s="14">
        <f t="shared" ref="BE19:BJ19" si="73">SUM(BE16)/BE18</f>
        <v>0.63149765341887953</v>
      </c>
      <c r="BF19" s="14">
        <f t="shared" si="73"/>
        <v>0.62885024885560425</v>
      </c>
      <c r="BG19" s="14">
        <f t="shared" si="73"/>
        <v>0.6244113079917466</v>
      </c>
      <c r="BH19" s="14">
        <f t="shared" si="73"/>
        <v>0.61794788038705795</v>
      </c>
      <c r="BI19" s="14">
        <f t="shared" si="73"/>
        <v>0.60864024575498765</v>
      </c>
      <c r="BJ19" s="14">
        <f t="shared" si="73"/>
        <v>0.59923757993113624</v>
      </c>
      <c r="BK19" s="78">
        <f t="shared" ref="BK19:BV19" si="74">SUM(BK16)/BK18</f>
        <v>0.59207805359589483</v>
      </c>
      <c r="BL19" s="14">
        <f t="shared" si="74"/>
        <v>0.58288842619488845</v>
      </c>
      <c r="BM19" s="14">
        <f t="shared" si="74"/>
        <v>0.57552992136309611</v>
      </c>
      <c r="BN19" s="14">
        <f t="shared" si="74"/>
        <v>0.57101685331622964</v>
      </c>
      <c r="BO19" s="14">
        <f t="shared" si="74"/>
        <v>0.56693122138432539</v>
      </c>
      <c r="BP19" s="14">
        <f t="shared" si="74"/>
        <v>0.56324223539885443</v>
      </c>
      <c r="BQ19" s="14">
        <f t="shared" si="74"/>
        <v>0.55708699329274936</v>
      </c>
      <c r="BR19" s="14">
        <f t="shared" si="74"/>
        <v>0.55351315435338444</v>
      </c>
      <c r="BS19" s="14">
        <f t="shared" si="74"/>
        <v>0.54820682750271243</v>
      </c>
      <c r="BT19" s="14">
        <f t="shared" si="74"/>
        <v>0.54411059246559623</v>
      </c>
      <c r="BU19" s="14">
        <f t="shared" si="74"/>
        <v>0.51985360277146297</v>
      </c>
      <c r="BV19" s="23">
        <f t="shared" si="74"/>
        <v>0.53454660705945156</v>
      </c>
      <c r="BW19" s="78">
        <f t="shared" ref="BW19:CB19" si="75">SUM(BW16)/BW18</f>
        <v>0.53220828189128766</v>
      </c>
      <c r="BX19" s="14">
        <f t="shared" si="75"/>
        <v>0.52744557396059721</v>
      </c>
      <c r="BY19" s="14">
        <f t="shared" si="75"/>
        <v>0.52541780702265184</v>
      </c>
      <c r="BZ19" s="14">
        <f t="shared" si="75"/>
        <v>0.52236859536978775</v>
      </c>
      <c r="CA19" s="14">
        <f t="shared" si="75"/>
        <v>0.52131450823632408</v>
      </c>
      <c r="CB19" s="14">
        <f t="shared" si="75"/>
        <v>0.51760659002444098</v>
      </c>
      <c r="CC19" s="14">
        <f t="shared" ref="CC19:CH19" si="76">SUM(CC16)/CC18</f>
        <v>0.51826158599382077</v>
      </c>
      <c r="CD19" s="14">
        <f t="shared" si="76"/>
        <v>0.50119185843757819</v>
      </c>
      <c r="CE19" s="14">
        <f t="shared" si="76"/>
        <v>0.4828487530501675</v>
      </c>
      <c r="CF19" s="14">
        <f t="shared" si="76"/>
        <v>0.48268071038160582</v>
      </c>
      <c r="CG19" s="14">
        <f t="shared" si="76"/>
        <v>0.48211344102700787</v>
      </c>
      <c r="CH19" s="14">
        <f t="shared" si="76"/>
        <v>0.47889836886209319</v>
      </c>
      <c r="CI19" s="268">
        <f>SUM(CI16)/CI18</f>
        <v>0.47225068341429216</v>
      </c>
      <c r="CJ19" s="259">
        <f>SUM(CJ16)/CJ18</f>
        <v>0.46731777823663018</v>
      </c>
      <c r="CK19" s="259">
        <f>SUM(CK16)/CK18</f>
        <v>0.46200176341290766</v>
      </c>
      <c r="CL19" s="259">
        <f t="shared" ref="CL19:CQ19" si="77">SUM(CL16)/CL18</f>
        <v>0.45535614942410318</v>
      </c>
      <c r="CM19" s="259">
        <f t="shared" si="77"/>
        <v>0.44974982481590303</v>
      </c>
      <c r="CN19" s="259">
        <f t="shared" si="77"/>
        <v>0.44367537849259425</v>
      </c>
      <c r="CO19" s="259">
        <f t="shared" si="77"/>
        <v>0.43725261163690093</v>
      </c>
      <c r="CP19" s="259">
        <f t="shared" si="77"/>
        <v>0.43184550769990943</v>
      </c>
      <c r="CQ19" s="259">
        <f t="shared" si="77"/>
        <v>0.42505912475016994</v>
      </c>
      <c r="CR19" s="259">
        <f t="shared" ref="CR19:DJ19" si="78">SUM(CR16)/CR18</f>
        <v>0.41870130716823678</v>
      </c>
      <c r="CS19" s="259">
        <f t="shared" si="78"/>
        <v>0.41499759130583885</v>
      </c>
      <c r="CT19" s="265">
        <f t="shared" si="78"/>
        <v>0.41164253863539185</v>
      </c>
      <c r="CU19" s="259">
        <f t="shared" si="78"/>
        <v>0.40936749073432982</v>
      </c>
      <c r="CV19" s="259">
        <f t="shared" si="78"/>
        <v>0.40579415046547046</v>
      </c>
      <c r="CW19" s="259">
        <f t="shared" si="78"/>
        <v>0.40168775671766133</v>
      </c>
      <c r="CX19" s="259">
        <f t="shared" si="78"/>
        <v>0.4012772945684569</v>
      </c>
      <c r="CY19" s="259">
        <f t="shared" si="78"/>
        <v>0.39842661872833868</v>
      </c>
      <c r="CZ19" s="259">
        <f t="shared" si="78"/>
        <v>0.39588943610147426</v>
      </c>
      <c r="DA19" s="259">
        <f t="shared" si="78"/>
        <v>0.39120584277677806</v>
      </c>
      <c r="DB19" s="259">
        <f t="shared" si="78"/>
        <v>0.3884185999392159</v>
      </c>
      <c r="DC19" s="259">
        <f t="shared" si="78"/>
        <v>0.38692681187027322</v>
      </c>
      <c r="DD19" s="259">
        <f t="shared" si="78"/>
        <v>0.38439151940030275</v>
      </c>
      <c r="DE19" s="259">
        <f t="shared" si="78"/>
        <v>0.38086233438791711</v>
      </c>
      <c r="DF19" s="265">
        <f t="shared" si="78"/>
        <v>0.37883252337052165</v>
      </c>
      <c r="DG19" s="312">
        <f t="shared" si="78"/>
        <v>0.37591114336397358</v>
      </c>
      <c r="DH19" s="312">
        <f t="shared" si="78"/>
        <v>0.37256825835210894</v>
      </c>
      <c r="DI19" s="312">
        <f t="shared" si="78"/>
        <v>0.37075145721989894</v>
      </c>
      <c r="DJ19" s="312">
        <f t="shared" si="78"/>
        <v>0.36983568122237431</v>
      </c>
      <c r="DK19" s="312">
        <f t="shared" ref="DK19:FQ19" si="79">SUM(DK16)/DK18</f>
        <v>0.36899570307186352</v>
      </c>
      <c r="DL19" s="312">
        <f t="shared" si="79"/>
        <v>0.36737670037533771</v>
      </c>
      <c r="DM19" s="312">
        <f t="shared" si="79"/>
        <v>0.3676847165084966</v>
      </c>
      <c r="DN19" s="312">
        <f t="shared" si="79"/>
        <v>0.36896258232842277</v>
      </c>
      <c r="DO19" s="312">
        <f t="shared" si="79"/>
        <v>0.36916535320530891</v>
      </c>
      <c r="DP19" s="312">
        <f t="shared" si="79"/>
        <v>0.36868506763664027</v>
      </c>
      <c r="DQ19" s="312">
        <f t="shared" si="79"/>
        <v>0.36849621554719858</v>
      </c>
      <c r="DR19" s="312">
        <f t="shared" si="79"/>
        <v>0.36700311328798907</v>
      </c>
      <c r="DS19" s="312">
        <f t="shared" si="79"/>
        <v>0.3672833024949384</v>
      </c>
      <c r="DT19" s="312">
        <f t="shared" si="79"/>
        <v>0.36972755832517895</v>
      </c>
      <c r="DU19" s="312">
        <f t="shared" si="79"/>
        <v>0.37372062168309328</v>
      </c>
      <c r="DV19" s="282">
        <f t="shared" si="79"/>
        <v>0.37460460022768727</v>
      </c>
      <c r="DW19" s="282">
        <f t="shared" si="79"/>
        <v>0.37592428972531466</v>
      </c>
      <c r="DX19" s="282">
        <f t="shared" si="79"/>
        <v>0.37646176267186576</v>
      </c>
      <c r="DY19" s="282">
        <f t="shared" si="79"/>
        <v>0.38750009526785512</v>
      </c>
      <c r="DZ19" s="282">
        <f t="shared" si="79"/>
        <v>0.40890412015049654</v>
      </c>
      <c r="EA19" s="282">
        <f t="shared" si="79"/>
        <v>0.40649674628664717</v>
      </c>
      <c r="EB19" s="282">
        <f t="shared" si="79"/>
        <v>0.41067003265627533</v>
      </c>
      <c r="EC19" s="282">
        <f t="shared" si="79"/>
        <v>0.41141985846421253</v>
      </c>
      <c r="ED19" s="282">
        <f t="shared" si="79"/>
        <v>0.41101268371250249</v>
      </c>
      <c r="EE19" s="282">
        <f t="shared" si="79"/>
        <v>0.41060035419582852</v>
      </c>
      <c r="EF19" s="282">
        <f t="shared" si="79"/>
        <v>0.41017822732303028</v>
      </c>
      <c r="EG19" s="282">
        <f t="shared" si="79"/>
        <v>0.41087640136911152</v>
      </c>
      <c r="EH19" s="282">
        <f t="shared" si="79"/>
        <v>0.41111252071151505</v>
      </c>
      <c r="EI19" s="282">
        <f t="shared" si="79"/>
        <v>0.41031790423795694</v>
      </c>
      <c r="EJ19" s="282">
        <f t="shared" si="79"/>
        <v>0.40766467428541148</v>
      </c>
      <c r="EK19" s="282">
        <f t="shared" si="79"/>
        <v>0.41145372770239363</v>
      </c>
      <c r="EL19" s="282">
        <f t="shared" si="79"/>
        <v>0.41145984288002441</v>
      </c>
      <c r="EM19" s="282">
        <f t="shared" si="79"/>
        <v>0.40913942831873251</v>
      </c>
      <c r="EN19" s="282">
        <f t="shared" si="79"/>
        <v>0.40906285714285712</v>
      </c>
      <c r="EO19" s="282">
        <f t="shared" si="79"/>
        <v>0.39222300355997014</v>
      </c>
      <c r="EP19" s="282">
        <f t="shared" si="79"/>
        <v>0.40562683860415633</v>
      </c>
      <c r="EQ19" s="282">
        <f t="shared" si="79"/>
        <v>0.40634185006655871</v>
      </c>
      <c r="ER19" s="282">
        <f t="shared" si="79"/>
        <v>0.38963385928411975</v>
      </c>
      <c r="ES19" s="282">
        <f t="shared" si="79"/>
        <v>0.37762166333757036</v>
      </c>
      <c r="ET19" s="282">
        <f t="shared" si="79"/>
        <v>0.37679798813846255</v>
      </c>
      <c r="EU19" s="282">
        <f t="shared" si="79"/>
        <v>0.37792906307593938</v>
      </c>
      <c r="EV19" s="282">
        <f t="shared" si="79"/>
        <v>0.38086991149112659</v>
      </c>
      <c r="EW19" s="282">
        <f t="shared" si="79"/>
        <v>0.38121607112018802</v>
      </c>
      <c r="EX19" s="282">
        <f t="shared" si="79"/>
        <v>0.38249891129698316</v>
      </c>
      <c r="EY19" s="282">
        <f t="shared" si="79"/>
        <v>0.3818959735943922</v>
      </c>
      <c r="EZ19" s="282">
        <f t="shared" si="79"/>
        <v>0.38156360268337591</v>
      </c>
      <c r="FA19" s="282">
        <f t="shared" si="79"/>
        <v>0.38009862220082047</v>
      </c>
      <c r="FB19" s="282">
        <f t="shared" si="79"/>
        <v>0.3800167474131228</v>
      </c>
      <c r="FC19" s="282">
        <f t="shared" si="79"/>
        <v>0.37905022503326902</v>
      </c>
      <c r="FD19" s="282">
        <f t="shared" si="79"/>
        <v>0.379134679619477</v>
      </c>
      <c r="FE19" s="282">
        <f t="shared" si="79"/>
        <v>0.378235254686697</v>
      </c>
      <c r="FF19" s="282">
        <f t="shared" si="79"/>
        <v>0.37802887493353859</v>
      </c>
      <c r="FG19" s="282">
        <f t="shared" si="79"/>
        <v>0.37750137010649804</v>
      </c>
      <c r="FH19" s="282">
        <f t="shared" si="79"/>
        <v>0.37152951002021412</v>
      </c>
      <c r="FI19" s="282">
        <f t="shared" si="79"/>
        <v>0.35668698167222501</v>
      </c>
      <c r="FJ19" s="282">
        <f t="shared" si="79"/>
        <v>0.34456145546075401</v>
      </c>
      <c r="FK19" s="282">
        <f t="shared" si="79"/>
        <v>0.34366924106530422</v>
      </c>
      <c r="FL19" s="282">
        <f t="shared" si="79"/>
        <v>0.34310938478701603</v>
      </c>
      <c r="FM19" s="282">
        <f t="shared" si="79"/>
        <v>0.34227618479505295</v>
      </c>
      <c r="FN19" s="282">
        <f t="shared" si="79"/>
        <v>0.33986018644274785</v>
      </c>
      <c r="FO19" s="282">
        <f t="shared" si="79"/>
        <v>0.33791558681969641</v>
      </c>
      <c r="FP19" s="282">
        <f t="shared" si="79"/>
        <v>0.33679128625482224</v>
      </c>
      <c r="FQ19" s="282">
        <f t="shared" si="79"/>
        <v>0.33486608970127846</v>
      </c>
      <c r="FR19" s="282">
        <f t="shared" ref="FR19:FT19" si="80">SUM(FR16)/FR18</f>
        <v>0.33372670122421971</v>
      </c>
      <c r="FS19" s="282">
        <f t="shared" si="80"/>
        <v>0.33192348573172931</v>
      </c>
      <c r="FT19" s="282">
        <f t="shared" si="80"/>
        <v>0.33405130500831109</v>
      </c>
    </row>
    <row r="20" spans="2:176" ht="13.5" customHeight="1" thickBot="1" x14ac:dyDescent="0.3">
      <c r="B20" s="4" t="s">
        <v>11</v>
      </c>
      <c r="C20" s="27">
        <f t="shared" ref="C20:H20" si="81">SUM(C17/C18)</f>
        <v>8.2944817330493151E-3</v>
      </c>
      <c r="D20" s="27">
        <f t="shared" si="81"/>
        <v>3.8180994284544884E-2</v>
      </c>
      <c r="E20" s="15">
        <f t="shared" si="81"/>
        <v>5.2783869249557337E-2</v>
      </c>
      <c r="F20" s="15">
        <f t="shared" si="81"/>
        <v>5.6977240773708124E-2</v>
      </c>
      <c r="G20" s="15">
        <f t="shared" si="81"/>
        <v>6.4661309279237092E-2</v>
      </c>
      <c r="H20" s="15">
        <f t="shared" si="81"/>
        <v>6.9876242265141567E-2</v>
      </c>
      <c r="I20" s="15">
        <f t="shared" ref="I20:Q20" si="82">SUM(I17/I18)</f>
        <v>7.178246663963346E-2</v>
      </c>
      <c r="J20" s="15">
        <f t="shared" si="82"/>
        <v>9.2589759636557495E-2</v>
      </c>
      <c r="K20" s="37">
        <f t="shared" si="82"/>
        <v>9.5071054703144642E-2</v>
      </c>
      <c r="L20" s="15">
        <f t="shared" si="82"/>
        <v>0.10196874198394958</v>
      </c>
      <c r="M20" s="15">
        <f t="shared" si="82"/>
        <v>0.10621697829122068</v>
      </c>
      <c r="N20" s="24">
        <f t="shared" si="82"/>
        <v>0.11024489257221395</v>
      </c>
      <c r="O20" s="37">
        <f t="shared" si="82"/>
        <v>0.11510613398285491</v>
      </c>
      <c r="P20" s="37">
        <f t="shared" si="82"/>
        <v>0.12213398685109692</v>
      </c>
      <c r="Q20" s="15">
        <f t="shared" si="82"/>
        <v>0.12950765338275316</v>
      </c>
      <c r="R20" s="15">
        <f>SUM(R17/R18)</f>
        <v>0.12818252312464229</v>
      </c>
      <c r="S20" s="15">
        <f>SUM(S17/S18)</f>
        <v>0.12986456013170455</v>
      </c>
      <c r="T20" s="15">
        <f>SUM(T17/T18)</f>
        <v>0.1320938040260374</v>
      </c>
      <c r="U20" s="15">
        <f t="shared" ref="U20:Z20" si="83">SUM(U17/U18)</f>
        <v>0.13644542183126748</v>
      </c>
      <c r="V20" s="15">
        <f t="shared" si="83"/>
        <v>0.14313117630480832</v>
      </c>
      <c r="W20" s="15">
        <f t="shared" si="83"/>
        <v>0.14193568958998584</v>
      </c>
      <c r="X20" s="15">
        <f t="shared" si="83"/>
        <v>0.14661457266066494</v>
      </c>
      <c r="Y20" s="15">
        <f t="shared" si="83"/>
        <v>0.15676580415986319</v>
      </c>
      <c r="Z20" s="24">
        <f t="shared" si="83"/>
        <v>0.16995179990840623</v>
      </c>
      <c r="AA20" s="15">
        <f t="shared" ref="AA20:AF20" si="84">SUM(AA17/AA18)</f>
        <v>0.18332629245535856</v>
      </c>
      <c r="AB20" s="15">
        <f t="shared" si="84"/>
        <v>0.19018747615673878</v>
      </c>
      <c r="AC20" s="15">
        <f t="shared" si="84"/>
        <v>0.19661521108311425</v>
      </c>
      <c r="AD20" s="15">
        <f t="shared" si="84"/>
        <v>0.20249981878805451</v>
      </c>
      <c r="AE20" s="15">
        <f t="shared" si="84"/>
        <v>0.20784234051198699</v>
      </c>
      <c r="AF20" s="15">
        <f t="shared" si="84"/>
        <v>0.21581023760739063</v>
      </c>
      <c r="AG20" s="15">
        <f t="shared" ref="AG20:AL20" si="85">SUM(AG17/AG18)</f>
        <v>0.22716061540665272</v>
      </c>
      <c r="AH20" s="15">
        <f t="shared" si="85"/>
        <v>0.23819579620336803</v>
      </c>
      <c r="AI20" s="15">
        <f t="shared" si="85"/>
        <v>0.24799721817282103</v>
      </c>
      <c r="AJ20" s="15">
        <f t="shared" si="85"/>
        <v>0.25800962354436119</v>
      </c>
      <c r="AK20" s="15">
        <f t="shared" si="85"/>
        <v>0.26604462546641999</v>
      </c>
      <c r="AL20" s="15">
        <f t="shared" si="85"/>
        <v>0.27464068902379407</v>
      </c>
      <c r="AM20" s="79">
        <f t="shared" ref="AM20:AR20" si="86">SUM(AM17/AM18)</f>
        <v>0.27688888689753438</v>
      </c>
      <c r="AN20" s="15">
        <f t="shared" si="86"/>
        <v>0.2797884766880665</v>
      </c>
      <c r="AO20" s="15">
        <f t="shared" si="86"/>
        <v>0.28202296416640804</v>
      </c>
      <c r="AP20" s="15">
        <f t="shared" si="86"/>
        <v>0.30719170966130394</v>
      </c>
      <c r="AQ20" s="15">
        <f t="shared" si="86"/>
        <v>0.31212201125175809</v>
      </c>
      <c r="AR20" s="15">
        <f t="shared" si="86"/>
        <v>0.32045334069332915</v>
      </c>
      <c r="AS20" s="15">
        <f t="shared" ref="AS20:AX20" si="87">SUM(AS17/AS18)</f>
        <v>0.32611569454685069</v>
      </c>
      <c r="AT20" s="15">
        <f t="shared" si="87"/>
        <v>0.3354608850557233</v>
      </c>
      <c r="AU20" s="15">
        <f t="shared" si="87"/>
        <v>0.34496445523357061</v>
      </c>
      <c r="AV20" s="15">
        <f t="shared" si="87"/>
        <v>0.35074630108414628</v>
      </c>
      <c r="AW20" s="15">
        <f t="shared" si="87"/>
        <v>0.35271842267938736</v>
      </c>
      <c r="AX20" s="15">
        <f t="shared" si="87"/>
        <v>0.36163092793149049</v>
      </c>
      <c r="AY20" s="79">
        <f t="shared" ref="AY20:BD20" si="88">SUM(AY17/AY18)</f>
        <v>0.35790089555298366</v>
      </c>
      <c r="AZ20" s="15">
        <f t="shared" si="88"/>
        <v>0.35763288454083342</v>
      </c>
      <c r="BA20" s="15">
        <f t="shared" si="88"/>
        <v>0.35253669123493137</v>
      </c>
      <c r="BB20" s="15">
        <f t="shared" si="88"/>
        <v>0.35359947840484535</v>
      </c>
      <c r="BC20" s="15">
        <f t="shared" si="88"/>
        <v>0.35901303140354623</v>
      </c>
      <c r="BD20" s="15">
        <f t="shared" si="88"/>
        <v>0.36390254282370466</v>
      </c>
      <c r="BE20" s="15">
        <f t="shared" ref="BE20:BP20" si="89">SUM(BE17/BE18)</f>
        <v>0.36850234658112041</v>
      </c>
      <c r="BF20" s="15">
        <f t="shared" si="89"/>
        <v>0.37114975114439575</v>
      </c>
      <c r="BG20" s="15">
        <f t="shared" si="89"/>
        <v>0.3755886920082534</v>
      </c>
      <c r="BH20" s="15">
        <f t="shared" si="89"/>
        <v>0.38205211961294211</v>
      </c>
      <c r="BI20" s="15">
        <f t="shared" si="89"/>
        <v>0.39135975424501235</v>
      </c>
      <c r="BJ20" s="15">
        <f t="shared" si="89"/>
        <v>0.40076242006886376</v>
      </c>
      <c r="BK20" s="79">
        <f t="shared" si="89"/>
        <v>0.40792194640410523</v>
      </c>
      <c r="BL20" s="15">
        <f t="shared" si="89"/>
        <v>0.4171115738051116</v>
      </c>
      <c r="BM20" s="15">
        <f t="shared" si="89"/>
        <v>0.42447007863690395</v>
      </c>
      <c r="BN20" s="15">
        <f t="shared" si="89"/>
        <v>0.42898314668377036</v>
      </c>
      <c r="BO20" s="15">
        <f t="shared" si="89"/>
        <v>0.43306877861567467</v>
      </c>
      <c r="BP20" s="15">
        <f t="shared" si="89"/>
        <v>0.43675776460114557</v>
      </c>
      <c r="BQ20" s="15">
        <f t="shared" ref="BQ20:CB20" si="90">SUM(BQ17/BQ18)</f>
        <v>0.4429130067072507</v>
      </c>
      <c r="BR20" s="15">
        <f t="shared" si="90"/>
        <v>0.4464868456466155</v>
      </c>
      <c r="BS20" s="15">
        <f t="shared" si="90"/>
        <v>0.45179317249728751</v>
      </c>
      <c r="BT20" s="15">
        <f t="shared" si="90"/>
        <v>0.45588940753440371</v>
      </c>
      <c r="BU20" s="15">
        <f t="shared" si="90"/>
        <v>0.48014639722853703</v>
      </c>
      <c r="BV20" s="24">
        <f t="shared" si="90"/>
        <v>0.46545339294054849</v>
      </c>
      <c r="BW20" s="79">
        <f t="shared" si="90"/>
        <v>0.46779171810871234</v>
      </c>
      <c r="BX20" s="15">
        <f t="shared" si="90"/>
        <v>0.47255442603940284</v>
      </c>
      <c r="BY20" s="15">
        <f t="shared" si="90"/>
        <v>0.47458219297734816</v>
      </c>
      <c r="BZ20" s="15">
        <f t="shared" si="90"/>
        <v>0.47763140463021231</v>
      </c>
      <c r="CA20" s="15">
        <f t="shared" si="90"/>
        <v>0.47868549176367592</v>
      </c>
      <c r="CB20" s="15">
        <f t="shared" si="90"/>
        <v>0.48239340997555896</v>
      </c>
      <c r="CC20" s="15">
        <f t="shared" ref="CC20:CH20" si="91">SUM(CC17/CC18)</f>
        <v>0.48173841400617917</v>
      </c>
      <c r="CD20" s="15">
        <f t="shared" si="91"/>
        <v>0.49880814156242181</v>
      </c>
      <c r="CE20" s="15">
        <f t="shared" si="91"/>
        <v>0.5171512469498325</v>
      </c>
      <c r="CF20" s="15">
        <f t="shared" si="91"/>
        <v>0.51731928961839413</v>
      </c>
      <c r="CG20" s="15">
        <f t="shared" si="91"/>
        <v>0.51788655897299207</v>
      </c>
      <c r="CH20" s="15">
        <f t="shared" si="91"/>
        <v>0.52110163113790686</v>
      </c>
      <c r="CI20" s="269">
        <f>SUM(CI17/CI18)</f>
        <v>0.52774931658570778</v>
      </c>
      <c r="CJ20" s="261">
        <f>SUM(CJ17/CJ18)</f>
        <v>0.53268222176336977</v>
      </c>
      <c r="CK20" s="261">
        <f>SUM(CK17/CK18)</f>
        <v>0.53799823658709234</v>
      </c>
      <c r="CL20" s="261">
        <f t="shared" ref="CL20:CQ20" si="92">SUM(CL17/CL18)</f>
        <v>0.54464385057589682</v>
      </c>
      <c r="CM20" s="261">
        <f t="shared" si="92"/>
        <v>0.55025017518409702</v>
      </c>
      <c r="CN20" s="261">
        <f t="shared" si="92"/>
        <v>0.55632462150740569</v>
      </c>
      <c r="CO20" s="261">
        <f t="shared" si="92"/>
        <v>0.56274738836309901</v>
      </c>
      <c r="CP20" s="261">
        <f t="shared" si="92"/>
        <v>0.56815449230009063</v>
      </c>
      <c r="CQ20" s="261">
        <f t="shared" si="92"/>
        <v>0.57494087524983006</v>
      </c>
      <c r="CR20" s="261">
        <f t="shared" ref="CR20:DJ20" si="93">SUM(CR17/CR18)</f>
        <v>0.58129869283176316</v>
      </c>
      <c r="CS20" s="261">
        <f t="shared" si="93"/>
        <v>0.5850024086941612</v>
      </c>
      <c r="CT20" s="267">
        <f t="shared" si="93"/>
        <v>0.5883574613646082</v>
      </c>
      <c r="CU20" s="261">
        <f t="shared" si="93"/>
        <v>0.59063250926567024</v>
      </c>
      <c r="CV20" s="261">
        <f t="shared" si="93"/>
        <v>0.59420584953452948</v>
      </c>
      <c r="CW20" s="261">
        <f t="shared" si="93"/>
        <v>0.59831224328233867</v>
      </c>
      <c r="CX20" s="261">
        <f t="shared" si="93"/>
        <v>0.59872270543154305</v>
      </c>
      <c r="CY20" s="261">
        <f t="shared" si="93"/>
        <v>0.60157338127166127</v>
      </c>
      <c r="CZ20" s="261">
        <f t="shared" si="93"/>
        <v>0.6041105638985258</v>
      </c>
      <c r="DA20" s="261">
        <f t="shared" si="93"/>
        <v>0.60879415722322194</v>
      </c>
      <c r="DB20" s="261">
        <f t="shared" si="93"/>
        <v>0.6115814000607841</v>
      </c>
      <c r="DC20" s="261">
        <f t="shared" si="93"/>
        <v>0.61307318812972678</v>
      </c>
      <c r="DD20" s="261">
        <f t="shared" si="93"/>
        <v>0.61560848059969719</v>
      </c>
      <c r="DE20" s="261">
        <f t="shared" si="93"/>
        <v>0.61913766561208283</v>
      </c>
      <c r="DF20" s="267">
        <f t="shared" si="93"/>
        <v>0.62116747662947835</v>
      </c>
      <c r="DG20" s="313">
        <f t="shared" si="93"/>
        <v>0.62408885663602642</v>
      </c>
      <c r="DH20" s="313">
        <f t="shared" si="93"/>
        <v>0.62743174164789106</v>
      </c>
      <c r="DI20" s="313">
        <f t="shared" si="93"/>
        <v>0.62924854278010112</v>
      </c>
      <c r="DJ20" s="313">
        <f t="shared" si="93"/>
        <v>0.63016431877762569</v>
      </c>
      <c r="DK20" s="313">
        <f t="shared" ref="DK20:DU20" si="94">SUM(DK17/DK18)</f>
        <v>0.63100429692813653</v>
      </c>
      <c r="DL20" s="313">
        <f t="shared" si="94"/>
        <v>0.63262329962466235</v>
      </c>
      <c r="DM20" s="313">
        <f t="shared" si="94"/>
        <v>0.63231528349150345</v>
      </c>
      <c r="DN20" s="313">
        <f t="shared" si="94"/>
        <v>0.63103741767157717</v>
      </c>
      <c r="DO20" s="313">
        <f t="shared" si="94"/>
        <v>0.63083464679469115</v>
      </c>
      <c r="DP20" s="313">
        <f t="shared" si="94"/>
        <v>0.63131493236335967</v>
      </c>
      <c r="DQ20" s="313">
        <f t="shared" si="94"/>
        <v>0.63150378445280142</v>
      </c>
      <c r="DR20" s="313">
        <f t="shared" si="94"/>
        <v>0.63299688671201093</v>
      </c>
      <c r="DS20" s="313">
        <f t="shared" si="94"/>
        <v>0.63271669750506154</v>
      </c>
      <c r="DT20" s="313">
        <f t="shared" si="94"/>
        <v>0.63027244167482099</v>
      </c>
      <c r="DU20" s="313">
        <f t="shared" si="94"/>
        <v>0.62627937831690672</v>
      </c>
      <c r="DV20" s="354">
        <f t="shared" ref="DV20:FQ20" si="95">SUM(DV17/DV18)</f>
        <v>0.62539539977231273</v>
      </c>
      <c r="DW20" s="354">
        <f t="shared" si="95"/>
        <v>0.62407571027468534</v>
      </c>
      <c r="DX20" s="354">
        <f t="shared" si="95"/>
        <v>0.62353823732813418</v>
      </c>
      <c r="DY20" s="354">
        <f t="shared" si="95"/>
        <v>0.61249990473214488</v>
      </c>
      <c r="DZ20" s="354">
        <f t="shared" si="95"/>
        <v>0.59109587984950351</v>
      </c>
      <c r="EA20" s="354">
        <f t="shared" si="95"/>
        <v>0.59350325371335277</v>
      </c>
      <c r="EB20" s="354">
        <f t="shared" si="95"/>
        <v>0.58932996734372467</v>
      </c>
      <c r="EC20" s="354">
        <f t="shared" si="95"/>
        <v>0.58858014153578742</v>
      </c>
      <c r="ED20" s="354">
        <f t="shared" si="95"/>
        <v>0.58898731628749745</v>
      </c>
      <c r="EE20" s="354">
        <f t="shared" si="95"/>
        <v>0.58939964580417148</v>
      </c>
      <c r="EF20" s="354">
        <f t="shared" si="95"/>
        <v>0.58982177267696978</v>
      </c>
      <c r="EG20" s="354">
        <f t="shared" si="95"/>
        <v>0.58912359863088848</v>
      </c>
      <c r="EH20" s="354">
        <f t="shared" si="95"/>
        <v>0.58888747928848495</v>
      </c>
      <c r="EI20" s="354">
        <f t="shared" si="95"/>
        <v>0.589682095762043</v>
      </c>
      <c r="EJ20" s="354">
        <f t="shared" si="95"/>
        <v>0.59233532571458858</v>
      </c>
      <c r="EK20" s="354">
        <f t="shared" si="95"/>
        <v>0.58854627229760637</v>
      </c>
      <c r="EL20" s="354">
        <f t="shared" si="95"/>
        <v>0.58854015711997554</v>
      </c>
      <c r="EM20" s="354">
        <f t="shared" si="95"/>
        <v>0.59086057168126749</v>
      </c>
      <c r="EN20" s="354">
        <f t="shared" si="95"/>
        <v>0.59093714285714283</v>
      </c>
      <c r="EO20" s="354">
        <f t="shared" si="95"/>
        <v>0.60777699644002992</v>
      </c>
      <c r="EP20" s="354">
        <f t="shared" si="95"/>
        <v>0.59437316139584362</v>
      </c>
      <c r="EQ20" s="354">
        <f t="shared" si="95"/>
        <v>0.59365814993344135</v>
      </c>
      <c r="ER20" s="354">
        <f t="shared" si="95"/>
        <v>0.61036614071588025</v>
      </c>
      <c r="ES20" s="354">
        <f t="shared" si="95"/>
        <v>0.62237833666242959</v>
      </c>
      <c r="ET20" s="354">
        <f t="shared" si="95"/>
        <v>0.62320201186153745</v>
      </c>
      <c r="EU20" s="354">
        <f t="shared" si="95"/>
        <v>0.62207093692406068</v>
      </c>
      <c r="EV20" s="354">
        <f t="shared" si="95"/>
        <v>0.61913008850887341</v>
      </c>
      <c r="EW20" s="354">
        <f t="shared" si="95"/>
        <v>0.61878392887981204</v>
      </c>
      <c r="EX20" s="354">
        <f t="shared" si="95"/>
        <v>0.61750108870301679</v>
      </c>
      <c r="EY20" s="354">
        <f t="shared" si="95"/>
        <v>0.6181040264056078</v>
      </c>
      <c r="EZ20" s="354">
        <f t="shared" si="95"/>
        <v>0.61843639731662414</v>
      </c>
      <c r="FA20" s="354">
        <f t="shared" si="95"/>
        <v>0.61990137779917953</v>
      </c>
      <c r="FB20" s="354">
        <f t="shared" si="95"/>
        <v>0.61998325258687725</v>
      </c>
      <c r="FC20" s="354">
        <f t="shared" si="95"/>
        <v>0.62094977496673098</v>
      </c>
      <c r="FD20" s="354">
        <f t="shared" si="95"/>
        <v>0.620865320380523</v>
      </c>
      <c r="FE20" s="354">
        <f t="shared" si="95"/>
        <v>0.62176474531330295</v>
      </c>
      <c r="FF20" s="354">
        <f t="shared" si="95"/>
        <v>0.62197112506646146</v>
      </c>
      <c r="FG20" s="354">
        <f t="shared" si="95"/>
        <v>0.62249862989350202</v>
      </c>
      <c r="FH20" s="354">
        <f t="shared" si="95"/>
        <v>0.62847048997978594</v>
      </c>
      <c r="FI20" s="354">
        <f t="shared" si="95"/>
        <v>0.64331301832777499</v>
      </c>
      <c r="FJ20" s="354">
        <f t="shared" si="95"/>
        <v>0.65543854453924599</v>
      </c>
      <c r="FK20" s="354">
        <f t="shared" si="95"/>
        <v>0.65633075893469583</v>
      </c>
      <c r="FL20" s="354">
        <f t="shared" si="95"/>
        <v>0.65689061521298397</v>
      </c>
      <c r="FM20" s="354">
        <f t="shared" si="95"/>
        <v>0.65772381520494705</v>
      </c>
      <c r="FN20" s="354">
        <f t="shared" si="95"/>
        <v>0.66013981355725215</v>
      </c>
      <c r="FO20" s="354">
        <f t="shared" si="95"/>
        <v>0.66208441318030364</v>
      </c>
      <c r="FP20" s="354">
        <f t="shared" si="95"/>
        <v>0.66320871374517776</v>
      </c>
      <c r="FQ20" s="354">
        <f t="shared" si="95"/>
        <v>0.6651339102987216</v>
      </c>
      <c r="FR20" s="354">
        <f t="shared" ref="FR20:FT20" si="96">SUM(FR17/FR18)</f>
        <v>0.66627329877578034</v>
      </c>
      <c r="FS20" s="354">
        <f t="shared" si="96"/>
        <v>0.66807651426827075</v>
      </c>
      <c r="FT20" s="354">
        <f t="shared" si="96"/>
        <v>0.66594869499168885</v>
      </c>
    </row>
    <row r="21" spans="2:176" ht="11.4" customHeight="1" x14ac:dyDescent="0.25">
      <c r="B21" s="179"/>
      <c r="K21" s="38"/>
      <c r="N21" s="66"/>
      <c r="O21" s="38"/>
      <c r="P21" s="38"/>
      <c r="Z21" s="20"/>
      <c r="AM21" s="74"/>
      <c r="AY21" s="74"/>
      <c r="BK21" s="74"/>
      <c r="BV21" s="20"/>
      <c r="BW21" s="74"/>
      <c r="CH21" s="18"/>
      <c r="CI21" s="20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275"/>
      <c r="DH21" s="275"/>
      <c r="DI21" s="275"/>
      <c r="DJ21" s="275"/>
      <c r="DK21" s="275"/>
      <c r="DL21" s="275"/>
      <c r="DM21" s="69"/>
      <c r="DN21" s="330"/>
      <c r="DO21" s="275"/>
      <c r="DP21" s="69"/>
      <c r="DQ21" s="69"/>
      <c r="DR21" s="69"/>
      <c r="DS21" s="302"/>
      <c r="DT21" s="302"/>
      <c r="DU21" s="302"/>
      <c r="DV21" s="302"/>
      <c r="DW21" s="302"/>
      <c r="DX21" s="302"/>
    </row>
    <row r="22" spans="2:176" ht="13.5" hidden="1" customHeight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42"/>
      <c r="L22" s="18"/>
      <c r="M22" s="18"/>
      <c r="N22" s="20"/>
      <c r="O22" s="42"/>
      <c r="P22" s="42"/>
      <c r="Q22" s="18"/>
      <c r="Z22" s="20"/>
      <c r="AM22" s="74"/>
      <c r="AY22" s="74"/>
      <c r="BK22" s="74"/>
      <c r="BV22" s="20"/>
      <c r="BW22" s="74"/>
      <c r="CH22" s="18"/>
      <c r="CI22" s="20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275"/>
      <c r="DH22" s="275"/>
      <c r="DI22" s="275"/>
      <c r="DJ22" s="275"/>
      <c r="DK22" s="275"/>
      <c r="DL22" s="275"/>
      <c r="DM22" s="69"/>
      <c r="DN22" s="330"/>
      <c r="DO22" s="275"/>
      <c r="DP22" s="69"/>
      <c r="DQ22" s="69"/>
      <c r="DR22" s="69"/>
      <c r="DS22" s="302"/>
      <c r="DT22" s="302"/>
      <c r="DU22" s="302"/>
      <c r="DV22" s="302"/>
      <c r="DW22" s="302"/>
      <c r="DX22" s="302"/>
    </row>
    <row r="23" spans="2:176" ht="13.5" hidden="1" customHeight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42"/>
      <c r="L23" s="18"/>
      <c r="M23" s="18"/>
      <c r="N23" s="20"/>
      <c r="O23" s="42"/>
      <c r="P23" s="42"/>
      <c r="Q23" s="18"/>
      <c r="Z23" s="20"/>
      <c r="AM23" s="74"/>
      <c r="AY23" s="74"/>
      <c r="BK23" s="74"/>
      <c r="BV23" s="20"/>
      <c r="BW23" s="74"/>
      <c r="CH23" s="18"/>
      <c r="CI23" s="20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275"/>
      <c r="DH23" s="275"/>
      <c r="DI23" s="275"/>
      <c r="DJ23" s="275"/>
      <c r="DK23" s="275"/>
      <c r="DL23" s="275"/>
      <c r="DM23" s="69"/>
      <c r="DN23" s="330"/>
      <c r="DO23" s="275"/>
      <c r="DP23" s="69"/>
      <c r="DQ23" s="69"/>
      <c r="DR23" s="69"/>
      <c r="DS23" s="302"/>
      <c r="DT23" s="302"/>
      <c r="DU23" s="302"/>
      <c r="DV23" s="302"/>
      <c r="DW23" s="302"/>
      <c r="DX23" s="302"/>
    </row>
    <row r="24" spans="2:176" ht="13.5" hidden="1" customHeight="1" x14ac:dyDescent="0.25">
      <c r="B24" s="3" t="s">
        <v>1</v>
      </c>
      <c r="C24" s="29">
        <v>550</v>
      </c>
      <c r="D24" s="16">
        <v>550</v>
      </c>
      <c r="E24" s="16">
        <v>599</v>
      </c>
      <c r="F24" s="16">
        <v>596</v>
      </c>
      <c r="G24" s="16">
        <v>576</v>
      </c>
      <c r="H24" s="16">
        <v>568</v>
      </c>
      <c r="I24" s="16">
        <v>551</v>
      </c>
      <c r="J24" s="16">
        <v>558</v>
      </c>
      <c r="K24" s="39">
        <v>547</v>
      </c>
      <c r="L24" s="16">
        <v>530</v>
      </c>
      <c r="M24" s="16">
        <v>540</v>
      </c>
      <c r="N24" s="21">
        <v>525</v>
      </c>
      <c r="O24" s="39">
        <v>515</v>
      </c>
      <c r="P24" s="39">
        <v>505</v>
      </c>
      <c r="Q24" s="16">
        <v>499</v>
      </c>
      <c r="R24" s="2">
        <v>502</v>
      </c>
      <c r="S24" s="2">
        <v>498</v>
      </c>
      <c r="T24" s="2">
        <v>488</v>
      </c>
      <c r="U24" s="2">
        <v>496</v>
      </c>
      <c r="V24" s="2">
        <v>512</v>
      </c>
      <c r="W24" s="2">
        <v>502</v>
      </c>
      <c r="X24" s="2">
        <v>496</v>
      </c>
      <c r="Y24" s="2">
        <v>486</v>
      </c>
      <c r="Z24" s="20">
        <v>476</v>
      </c>
      <c r="AA24" s="2">
        <v>467</v>
      </c>
      <c r="AB24" s="2">
        <v>458</v>
      </c>
      <c r="AC24" s="2">
        <v>452</v>
      </c>
      <c r="AD24" s="2">
        <v>451</v>
      </c>
      <c r="AE24" s="2">
        <v>450</v>
      </c>
      <c r="AF24" s="2">
        <v>445</v>
      </c>
      <c r="AG24" s="2">
        <v>439</v>
      </c>
      <c r="AH24" s="2">
        <v>429</v>
      </c>
      <c r="AI24" s="2">
        <v>411</v>
      </c>
      <c r="AJ24" s="2">
        <v>403</v>
      </c>
      <c r="AK24" s="2">
        <v>404</v>
      </c>
      <c r="AL24" s="2">
        <v>399</v>
      </c>
      <c r="AM24" s="74">
        <f>338+61</f>
        <v>399</v>
      </c>
      <c r="AN24" s="2">
        <f>332+68</f>
        <v>400</v>
      </c>
      <c r="AO24" s="2">
        <f>322+67</f>
        <v>389</v>
      </c>
      <c r="AP24" s="2">
        <f>320+66</f>
        <v>386</v>
      </c>
      <c r="AQ24" s="2">
        <f>320+64</f>
        <v>384</v>
      </c>
      <c r="AR24" s="2">
        <f>313+62</f>
        <v>375</v>
      </c>
      <c r="AS24" s="2">
        <v>374</v>
      </c>
      <c r="AT24" s="2">
        <v>363</v>
      </c>
      <c r="AU24" s="2">
        <v>352</v>
      </c>
      <c r="AV24" s="2">
        <f>294+60</f>
        <v>354</v>
      </c>
      <c r="AW24" s="2">
        <f>295+60</f>
        <v>355</v>
      </c>
      <c r="AX24" s="2">
        <f>295+60</f>
        <v>355</v>
      </c>
      <c r="AY24" s="74">
        <f>296+61</f>
        <v>357</v>
      </c>
      <c r="AZ24" s="2">
        <f>310+63</f>
        <v>373</v>
      </c>
      <c r="BA24" s="2">
        <f>311+64</f>
        <v>375</v>
      </c>
      <c r="BB24" s="2">
        <v>373</v>
      </c>
      <c r="BC24" s="2">
        <v>371</v>
      </c>
      <c r="BD24" s="2">
        <v>374</v>
      </c>
      <c r="BE24" s="2">
        <v>365</v>
      </c>
      <c r="BF24" s="2">
        <v>363</v>
      </c>
      <c r="BG24" s="2">
        <v>364</v>
      </c>
      <c r="BH24" s="2">
        <f>303+63</f>
        <v>366</v>
      </c>
      <c r="BI24" s="2">
        <f>289+61</f>
        <v>350</v>
      </c>
      <c r="BJ24" s="2">
        <f>289+60</f>
        <v>349</v>
      </c>
      <c r="BK24" s="74">
        <f>286+60</f>
        <v>346</v>
      </c>
      <c r="BL24" s="2">
        <f>285+58</f>
        <v>343</v>
      </c>
      <c r="BM24" s="2">
        <f>290+59</f>
        <v>349</v>
      </c>
      <c r="BN24" s="2">
        <f>293+59</f>
        <v>352</v>
      </c>
      <c r="BO24" s="2">
        <f>288+58</f>
        <v>346</v>
      </c>
      <c r="BP24" s="2">
        <f>304+58</f>
        <v>362</v>
      </c>
      <c r="BQ24" s="2">
        <f>304+59</f>
        <v>363</v>
      </c>
      <c r="BR24" s="2">
        <f>306+59</f>
        <v>365</v>
      </c>
      <c r="BS24" s="2">
        <f>299+61</f>
        <v>360</v>
      </c>
      <c r="BT24" s="2">
        <f>299+60</f>
        <v>359</v>
      </c>
      <c r="BU24" s="2">
        <f>293+61</f>
        <v>354</v>
      </c>
      <c r="BV24" s="20">
        <f>292+60</f>
        <v>352</v>
      </c>
      <c r="BW24" s="74">
        <v>348</v>
      </c>
      <c r="BX24" s="2">
        <v>353</v>
      </c>
      <c r="BY24" s="2">
        <v>350</v>
      </c>
      <c r="BZ24" s="2">
        <f>289+56</f>
        <v>345</v>
      </c>
      <c r="CA24" s="2">
        <f>293+56</f>
        <v>349</v>
      </c>
      <c r="CB24" s="2">
        <f>293+56</f>
        <v>349</v>
      </c>
      <c r="CC24" s="2">
        <f>287+57</f>
        <v>344</v>
      </c>
      <c r="CD24" s="2">
        <f>284+58</f>
        <v>342</v>
      </c>
      <c r="CE24" s="2">
        <f>280+58</f>
        <v>338</v>
      </c>
      <c r="CF24" s="2">
        <f>272+49</f>
        <v>321</v>
      </c>
      <c r="CG24" s="2">
        <f>262+49</f>
        <v>311</v>
      </c>
      <c r="CH24" s="18">
        <f>270+49</f>
        <v>319</v>
      </c>
      <c r="CI24" s="201">
        <f>264+49</f>
        <v>313</v>
      </c>
      <c r="CJ24" s="69">
        <f>254+46</f>
        <v>300</v>
      </c>
      <c r="CK24" s="69">
        <f>237+46</f>
        <v>283</v>
      </c>
      <c r="CL24" s="69">
        <f>235+44</f>
        <v>279</v>
      </c>
      <c r="CM24" s="69">
        <f>230+42</f>
        <v>272</v>
      </c>
      <c r="CN24" s="69">
        <f>227+41</f>
        <v>268</v>
      </c>
      <c r="CO24" s="69">
        <f>215+39</f>
        <v>254</v>
      </c>
      <c r="CP24" s="69">
        <f>206+39</f>
        <v>245</v>
      </c>
      <c r="CQ24" s="69">
        <f>209+39</f>
        <v>248</v>
      </c>
      <c r="CR24" s="69">
        <f>203+39</f>
        <v>242</v>
      </c>
      <c r="CS24" s="69">
        <f>201+39</f>
        <v>240</v>
      </c>
      <c r="CT24" s="89">
        <f>203+40</f>
        <v>243</v>
      </c>
      <c r="CU24" s="69">
        <f>203+41</f>
        <v>244</v>
      </c>
      <c r="CV24" s="275">
        <f>195+37</f>
        <v>232</v>
      </c>
      <c r="CW24" s="69">
        <f>195+36</f>
        <v>231</v>
      </c>
      <c r="CX24" s="69">
        <f>193+38</f>
        <v>231</v>
      </c>
      <c r="CY24" s="69">
        <f>197+36</f>
        <v>233</v>
      </c>
      <c r="CZ24" s="69">
        <f>196+37</f>
        <v>233</v>
      </c>
      <c r="DA24" s="69">
        <f>194+36</f>
        <v>230</v>
      </c>
      <c r="DB24" s="69">
        <f>200+35</f>
        <v>235</v>
      </c>
      <c r="DC24" s="69">
        <f>195+35</f>
        <v>230</v>
      </c>
      <c r="DD24" s="69">
        <f>187+35</f>
        <v>222</v>
      </c>
      <c r="DE24" s="69">
        <f>186+35</f>
        <v>221</v>
      </c>
      <c r="DF24" s="89">
        <f>189+35</f>
        <v>224</v>
      </c>
      <c r="DG24" s="275">
        <f>182+35</f>
        <v>217</v>
      </c>
      <c r="DH24" s="275">
        <f>182+36</f>
        <v>218</v>
      </c>
      <c r="DI24" s="275">
        <f>181+45</f>
        <v>226</v>
      </c>
      <c r="DJ24" s="275">
        <f>182+49</f>
        <v>231</v>
      </c>
      <c r="DK24" s="275">
        <f>188+50</f>
        <v>238</v>
      </c>
      <c r="DL24" s="275">
        <f>186+49</f>
        <v>235</v>
      </c>
      <c r="DM24" s="275">
        <f>184+49</f>
        <v>233</v>
      </c>
      <c r="DN24" s="275">
        <f>183+51</f>
        <v>234</v>
      </c>
      <c r="DO24" s="275">
        <f>187+50</f>
        <v>237</v>
      </c>
      <c r="DP24" s="275">
        <f>186+49</f>
        <v>235</v>
      </c>
      <c r="DQ24" s="275">
        <f>187+48</f>
        <v>235</v>
      </c>
      <c r="DR24" s="275">
        <f>186+50</f>
        <v>236</v>
      </c>
      <c r="DS24" s="275">
        <f>184+50</f>
        <v>234</v>
      </c>
      <c r="DT24" s="275">
        <f>186+49</f>
        <v>235</v>
      </c>
      <c r="DU24" s="275">
        <f>187+49</f>
        <v>236</v>
      </c>
      <c r="DV24" s="359">
        <f>187+52</f>
        <v>239</v>
      </c>
      <c r="DW24" s="359">
        <f>186+52</f>
        <v>238</v>
      </c>
      <c r="DX24" s="359">
        <f>181+53</f>
        <v>234</v>
      </c>
      <c r="DY24" s="359">
        <f>184+53</f>
        <v>237</v>
      </c>
      <c r="DZ24" s="359">
        <f>183+53</f>
        <v>236</v>
      </c>
      <c r="EA24" s="359">
        <f>185+53</f>
        <v>238</v>
      </c>
      <c r="EB24" s="359">
        <f>182+53</f>
        <v>235</v>
      </c>
      <c r="EC24" s="359">
        <f>180+53</f>
        <v>233</v>
      </c>
      <c r="ED24" s="359">
        <f>184+53</f>
        <v>237</v>
      </c>
      <c r="EE24" s="359">
        <f>178+51</f>
        <v>229</v>
      </c>
      <c r="EF24" s="359">
        <f>174+47</f>
        <v>221</v>
      </c>
      <c r="EG24" s="359">
        <f>175+46</f>
        <v>221</v>
      </c>
      <c r="EH24" s="359">
        <f>180+47</f>
        <v>227</v>
      </c>
      <c r="EI24" s="359">
        <f>170+47</f>
        <v>217</v>
      </c>
      <c r="EJ24" s="359">
        <f>170+44</f>
        <v>214</v>
      </c>
      <c r="EK24" s="359">
        <f>169+45</f>
        <v>214</v>
      </c>
      <c r="EL24" s="359">
        <f>169+45</f>
        <v>214</v>
      </c>
      <c r="EM24" s="359">
        <f>166+45</f>
        <v>211</v>
      </c>
      <c r="EN24" s="359">
        <f>166+46</f>
        <v>212</v>
      </c>
      <c r="EO24" s="359">
        <f>164+45</f>
        <v>209</v>
      </c>
      <c r="EP24" s="359">
        <f>162+45</f>
        <v>207</v>
      </c>
      <c r="EQ24" s="359">
        <f>162+46</f>
        <v>208</v>
      </c>
      <c r="ER24" s="359">
        <f>152+45</f>
        <v>197</v>
      </c>
      <c r="ES24" s="359">
        <f>161+44</f>
        <v>205</v>
      </c>
      <c r="ET24" s="359">
        <f>162+42</f>
        <v>204</v>
      </c>
      <c r="EU24" s="359">
        <f>162+42</f>
        <v>204</v>
      </c>
      <c r="EV24" s="359">
        <f>161+44</f>
        <v>205</v>
      </c>
      <c r="EW24" s="359">
        <f>166+45</f>
        <v>211</v>
      </c>
      <c r="EX24" s="359">
        <f>169+41</f>
        <v>210</v>
      </c>
      <c r="EY24" s="359">
        <f>171+37</f>
        <v>208</v>
      </c>
      <c r="EZ24" s="359">
        <f>171+37</f>
        <v>208</v>
      </c>
      <c r="FA24" s="359">
        <f>175+37</f>
        <v>212</v>
      </c>
      <c r="FB24" s="359">
        <f>172+37</f>
        <v>209</v>
      </c>
      <c r="FC24" s="359">
        <f>175+37</f>
        <v>212</v>
      </c>
      <c r="FD24" s="359">
        <f>175+27</f>
        <v>202</v>
      </c>
      <c r="FE24" s="359">
        <f>172+35</f>
        <v>207</v>
      </c>
      <c r="FF24" s="359">
        <f>171+35</f>
        <v>206</v>
      </c>
      <c r="FG24" s="359">
        <f>173+35</f>
        <v>208</v>
      </c>
      <c r="FH24" s="359">
        <f>179+33</f>
        <v>212</v>
      </c>
      <c r="FI24" s="359">
        <f>176+35</f>
        <v>211</v>
      </c>
      <c r="FJ24" s="359">
        <f>174+34</f>
        <v>208</v>
      </c>
      <c r="FK24" s="359">
        <f>173+35</f>
        <v>208</v>
      </c>
      <c r="FL24" s="359">
        <f>172+35</f>
        <v>207</v>
      </c>
      <c r="FM24" s="359">
        <f>174+36</f>
        <v>210</v>
      </c>
      <c r="FN24" s="359">
        <f>174+37</f>
        <v>211</v>
      </c>
      <c r="FO24" s="2">
        <f>174+37</f>
        <v>211</v>
      </c>
      <c r="FP24" s="2">
        <f>176+38</f>
        <v>214</v>
      </c>
      <c r="FQ24" s="2">
        <f>176+38</f>
        <v>214</v>
      </c>
      <c r="FR24" s="2">
        <f>177+37</f>
        <v>214</v>
      </c>
      <c r="FS24" s="2">
        <f>180+37</f>
        <v>217</v>
      </c>
      <c r="FT24" s="2">
        <f>176+35</f>
        <v>211</v>
      </c>
    </row>
    <row r="25" spans="2:176" ht="13.5" hidden="1" customHeight="1" thickBot="1" x14ac:dyDescent="0.3">
      <c r="B25" s="5" t="s">
        <v>8</v>
      </c>
      <c r="C25" s="30">
        <v>15</v>
      </c>
      <c r="D25" s="17">
        <v>176</v>
      </c>
      <c r="E25" s="17">
        <v>206</v>
      </c>
      <c r="F25" s="17">
        <v>223</v>
      </c>
      <c r="G25" s="17">
        <v>246</v>
      </c>
      <c r="H25" s="17">
        <v>256</v>
      </c>
      <c r="I25" s="17">
        <v>271</v>
      </c>
      <c r="J25" s="17">
        <v>293</v>
      </c>
      <c r="K25" s="40">
        <v>303</v>
      </c>
      <c r="L25" s="17">
        <v>312</v>
      </c>
      <c r="M25" s="17">
        <v>321</v>
      </c>
      <c r="N25" s="22">
        <v>327</v>
      </c>
      <c r="O25" s="40">
        <v>344</v>
      </c>
      <c r="P25" s="40">
        <v>353</v>
      </c>
      <c r="Q25" s="17">
        <v>365</v>
      </c>
      <c r="R25" s="112">
        <v>372</v>
      </c>
      <c r="S25" s="112">
        <v>373</v>
      </c>
      <c r="T25" s="112">
        <v>377</v>
      </c>
      <c r="U25" s="112">
        <v>374</v>
      </c>
      <c r="V25" s="112">
        <v>370</v>
      </c>
      <c r="W25" s="112">
        <v>362</v>
      </c>
      <c r="X25" s="112">
        <v>368</v>
      </c>
      <c r="Y25" s="112">
        <v>375</v>
      </c>
      <c r="Z25" s="197">
        <v>386</v>
      </c>
      <c r="AA25" s="112">
        <v>395</v>
      </c>
      <c r="AB25" s="112">
        <v>406</v>
      </c>
      <c r="AC25" s="112">
        <v>407</v>
      </c>
      <c r="AD25" s="112">
        <v>409</v>
      </c>
      <c r="AE25" s="112">
        <v>413</v>
      </c>
      <c r="AF25" s="112">
        <v>421</v>
      </c>
      <c r="AG25" s="112">
        <v>435</v>
      </c>
      <c r="AH25" s="112">
        <v>442</v>
      </c>
      <c r="AI25" s="112">
        <v>468</v>
      </c>
      <c r="AJ25" s="112">
        <v>465</v>
      </c>
      <c r="AK25" s="112">
        <v>476</v>
      </c>
      <c r="AL25" s="112">
        <v>476</v>
      </c>
      <c r="AM25" s="195">
        <f>377+108</f>
        <v>485</v>
      </c>
      <c r="AN25" s="112">
        <f>380+101</f>
        <v>481</v>
      </c>
      <c r="AO25" s="18">
        <f>391+105</f>
        <v>496</v>
      </c>
      <c r="AP25" s="2">
        <f>388+108</f>
        <v>496</v>
      </c>
      <c r="AQ25" s="2">
        <f>393+106</f>
        <v>499</v>
      </c>
      <c r="AR25" s="2">
        <f>400+109</f>
        <v>509</v>
      </c>
      <c r="AS25" s="2">
        <v>509</v>
      </c>
      <c r="AT25" s="2">
        <v>526</v>
      </c>
      <c r="AU25" s="2">
        <v>535</v>
      </c>
      <c r="AV25" s="2">
        <f>421+110</f>
        <v>531</v>
      </c>
      <c r="AW25" s="2">
        <f>417+111</f>
        <v>528</v>
      </c>
      <c r="AX25" s="2">
        <f>421+110</f>
        <v>531</v>
      </c>
      <c r="AY25" s="74">
        <f>419+109</f>
        <v>528</v>
      </c>
      <c r="AZ25" s="2">
        <f>413+107</f>
        <v>520</v>
      </c>
      <c r="BA25" s="2">
        <f>401+108</f>
        <v>509</v>
      </c>
      <c r="BB25" s="2">
        <v>513</v>
      </c>
      <c r="BC25" s="2">
        <v>512</v>
      </c>
      <c r="BD25" s="2">
        <v>511</v>
      </c>
      <c r="BE25" s="2">
        <v>525</v>
      </c>
      <c r="BF25" s="2">
        <v>520</v>
      </c>
      <c r="BG25" s="2">
        <v>518</v>
      </c>
      <c r="BH25" s="2">
        <f>416+109</f>
        <v>525</v>
      </c>
      <c r="BI25" s="2">
        <f>432+111</f>
        <v>543</v>
      </c>
      <c r="BJ25" s="2">
        <f>426+111</f>
        <v>537</v>
      </c>
      <c r="BK25" s="74">
        <f>430+110</f>
        <v>540</v>
      </c>
      <c r="BL25" s="2">
        <f>424+112</f>
        <v>536</v>
      </c>
      <c r="BM25" s="2">
        <f>422+110</f>
        <v>532</v>
      </c>
      <c r="BN25" s="2">
        <f>424+110</f>
        <v>534</v>
      </c>
      <c r="BO25" s="2">
        <f>427+113</f>
        <v>540</v>
      </c>
      <c r="BP25" s="2">
        <f>415+110</f>
        <v>525</v>
      </c>
      <c r="BQ25" s="2">
        <f>404+109</f>
        <v>513</v>
      </c>
      <c r="BR25" s="2">
        <f>409+109</f>
        <v>518</v>
      </c>
      <c r="BS25" s="2">
        <f>408+108</f>
        <v>516</v>
      </c>
      <c r="BT25" s="2">
        <f>411+109</f>
        <v>520</v>
      </c>
      <c r="BU25" s="2">
        <f>413+110</f>
        <v>523</v>
      </c>
      <c r="BV25" s="20">
        <f>418+111</f>
        <v>529</v>
      </c>
      <c r="BW25" s="74">
        <v>547</v>
      </c>
      <c r="BX25" s="2">
        <v>540</v>
      </c>
      <c r="BY25" s="2">
        <v>546</v>
      </c>
      <c r="BZ25" s="2">
        <f>435+114</f>
        <v>549</v>
      </c>
      <c r="CA25" s="2">
        <f>433+113</f>
        <v>546</v>
      </c>
      <c r="CB25" s="2">
        <f>438+113</f>
        <v>551</v>
      </c>
      <c r="CC25" s="2">
        <f>452+113</f>
        <v>565</v>
      </c>
      <c r="CD25" s="2">
        <f>448+111</f>
        <v>559</v>
      </c>
      <c r="CE25" s="2">
        <f>448+111</f>
        <v>559</v>
      </c>
      <c r="CF25" s="2">
        <f>445+120</f>
        <v>565</v>
      </c>
      <c r="CG25" s="2">
        <f>424+121</f>
        <v>545</v>
      </c>
      <c r="CH25" s="18">
        <f>443+120</f>
        <v>563</v>
      </c>
      <c r="CI25" s="210">
        <f>451+121</f>
        <v>572</v>
      </c>
      <c r="CJ25" s="92">
        <f>475+123</f>
        <v>598</v>
      </c>
      <c r="CK25" s="92">
        <f>486+125</f>
        <v>611</v>
      </c>
      <c r="CL25" s="92">
        <f>496+125</f>
        <v>621</v>
      </c>
      <c r="CM25" s="92">
        <f>493+130</f>
        <v>623</v>
      </c>
      <c r="CN25" s="92">
        <f>508+132</f>
        <v>640</v>
      </c>
      <c r="CO25" s="92">
        <f>507+135</f>
        <v>642</v>
      </c>
      <c r="CP25" s="92">
        <f>522+134</f>
        <v>656</v>
      </c>
      <c r="CQ25" s="92">
        <f>525+134</f>
        <v>659</v>
      </c>
      <c r="CR25" s="92">
        <f>530+135</f>
        <v>665</v>
      </c>
      <c r="CS25" s="92">
        <f>528+135</f>
        <v>663</v>
      </c>
      <c r="CT25" s="93">
        <f>538+136</f>
        <v>674</v>
      </c>
      <c r="CU25" s="91">
        <f>542+140</f>
        <v>682</v>
      </c>
      <c r="CV25" s="92">
        <f>558+140</f>
        <v>698</v>
      </c>
      <c r="CW25" s="92">
        <f>548+138</f>
        <v>686</v>
      </c>
      <c r="CX25" s="92">
        <f>548+137</f>
        <v>685</v>
      </c>
      <c r="CY25" s="92">
        <f>539+139</f>
        <v>678</v>
      </c>
      <c r="CZ25" s="92">
        <f>545+139</f>
        <v>684</v>
      </c>
      <c r="DA25" s="92">
        <f>542+138</f>
        <v>680</v>
      </c>
      <c r="DB25" s="92">
        <f>544+140</f>
        <v>684</v>
      </c>
      <c r="DC25" s="92">
        <f>536+139</f>
        <v>675</v>
      </c>
      <c r="DD25" s="92">
        <f>549+139</f>
        <v>688</v>
      </c>
      <c r="DE25" s="92">
        <f>553+139</f>
        <v>692</v>
      </c>
      <c r="DF25" s="93">
        <f>556+139</f>
        <v>695</v>
      </c>
      <c r="DG25" s="275">
        <f>561+139</f>
        <v>700</v>
      </c>
      <c r="DH25" s="275">
        <f>561+138</f>
        <v>699</v>
      </c>
      <c r="DI25" s="275">
        <f>563+129</f>
        <v>692</v>
      </c>
      <c r="DJ25" s="275">
        <f>564+126</f>
        <v>690</v>
      </c>
      <c r="DK25" s="275">
        <f>562+124</f>
        <v>686</v>
      </c>
      <c r="DL25" s="275">
        <f>565+125</f>
        <v>690</v>
      </c>
      <c r="DM25" s="275">
        <f>563+125</f>
        <v>688</v>
      </c>
      <c r="DN25" s="275">
        <f>565+122</f>
        <v>687</v>
      </c>
      <c r="DO25" s="275">
        <f>560+123</f>
        <v>683</v>
      </c>
      <c r="DP25" s="275">
        <f>561+123</f>
        <v>684</v>
      </c>
      <c r="DQ25" s="275">
        <f>559+124</f>
        <v>683</v>
      </c>
      <c r="DR25" s="275">
        <f>565+125</f>
        <v>690</v>
      </c>
      <c r="DS25" s="275">
        <f>567+124</f>
        <v>691</v>
      </c>
      <c r="DT25" s="275">
        <f>566+125</f>
        <v>691</v>
      </c>
      <c r="DU25" s="275">
        <f>567+125</f>
        <v>692</v>
      </c>
      <c r="DV25" s="359">
        <f>567+122</f>
        <v>689</v>
      </c>
      <c r="DW25" s="359">
        <f>574+123</f>
        <v>697</v>
      </c>
      <c r="DX25" s="359">
        <f>575+122</f>
        <v>697</v>
      </c>
      <c r="DY25" s="359">
        <f>582+122</f>
        <v>704</v>
      </c>
      <c r="DZ25" s="359">
        <f>576+123</f>
        <v>699</v>
      </c>
      <c r="EA25" s="359">
        <f>580+122</f>
        <v>702</v>
      </c>
      <c r="EB25" s="352">
        <f>578+122</f>
        <v>700</v>
      </c>
      <c r="EC25" s="352">
        <f>579+122</f>
        <v>701</v>
      </c>
      <c r="ED25" s="352">
        <f>580+122</f>
        <v>702</v>
      </c>
      <c r="EE25" s="352">
        <f>590+127</f>
        <v>717</v>
      </c>
      <c r="EF25" s="352">
        <f>599+133</f>
        <v>732</v>
      </c>
      <c r="EG25" s="352">
        <f>592+133</f>
        <v>725</v>
      </c>
      <c r="EH25" s="352">
        <f>604+129</f>
        <v>733</v>
      </c>
      <c r="EI25" s="352">
        <f>607+130</f>
        <v>737</v>
      </c>
      <c r="EJ25" s="352">
        <f>606+134</f>
        <v>740</v>
      </c>
      <c r="EK25" s="352">
        <f>615+135</f>
        <v>750</v>
      </c>
      <c r="EL25" s="352">
        <f>613+135</f>
        <v>748</v>
      </c>
      <c r="EM25" s="352">
        <f>616+136</f>
        <v>752</v>
      </c>
      <c r="EN25" s="352">
        <f>627+136</f>
        <v>763</v>
      </c>
      <c r="EO25" s="352">
        <f>632+136</f>
        <v>768</v>
      </c>
      <c r="EP25" s="352">
        <f>637+136</f>
        <v>773</v>
      </c>
      <c r="EQ25" s="352">
        <f>632+136</f>
        <v>768</v>
      </c>
      <c r="ER25" s="352">
        <f>649+137</f>
        <v>786</v>
      </c>
      <c r="ES25" s="352">
        <f>637+140</f>
        <v>777</v>
      </c>
      <c r="ET25" s="352">
        <f>648+141</f>
        <v>789</v>
      </c>
      <c r="EU25" s="352">
        <f>645+141</f>
        <v>786</v>
      </c>
      <c r="EV25" s="352">
        <f>649+142</f>
        <v>791</v>
      </c>
      <c r="EW25" s="352">
        <f>652+143</f>
        <v>795</v>
      </c>
      <c r="EX25" s="352">
        <f>646+147</f>
        <v>793</v>
      </c>
      <c r="EY25" s="352">
        <f>654+149</f>
        <v>803</v>
      </c>
      <c r="EZ25" s="352">
        <f>646+148</f>
        <v>794</v>
      </c>
      <c r="FA25" s="352">
        <f>649+148</f>
        <v>797</v>
      </c>
      <c r="FB25" s="352">
        <f>656+148</f>
        <v>804</v>
      </c>
      <c r="FC25" s="352">
        <f>644+150</f>
        <v>794</v>
      </c>
      <c r="FD25" s="352">
        <f>638+137</f>
        <v>775</v>
      </c>
      <c r="FE25" s="352">
        <f>650+148</f>
        <v>798</v>
      </c>
      <c r="FF25" s="352">
        <f>651+150</f>
        <v>801</v>
      </c>
      <c r="FG25" s="352">
        <f>657+151</f>
        <v>808</v>
      </c>
      <c r="FH25" s="352">
        <f>641+150</f>
        <v>791</v>
      </c>
      <c r="FI25" s="352">
        <f>661+155</f>
        <v>816</v>
      </c>
      <c r="FJ25" s="352">
        <f>667+155</f>
        <v>822</v>
      </c>
      <c r="FK25" s="352">
        <f>664+153</f>
        <v>817</v>
      </c>
      <c r="FL25" s="352">
        <f>669+155</f>
        <v>824</v>
      </c>
      <c r="FM25" s="352">
        <f>667+154</f>
        <v>821</v>
      </c>
      <c r="FN25" s="352">
        <f>666+152</f>
        <v>818</v>
      </c>
      <c r="FO25" s="352">
        <f t="shared" ref="FO25" si="97">666+152</f>
        <v>818</v>
      </c>
      <c r="FP25" s="352">
        <f>668+152</f>
        <v>820</v>
      </c>
      <c r="FQ25" s="352">
        <f>664+151</f>
        <v>815</v>
      </c>
      <c r="FR25" s="352">
        <f>667+154</f>
        <v>821</v>
      </c>
      <c r="FS25" s="352">
        <f>666+155</f>
        <v>821</v>
      </c>
      <c r="FT25" s="352">
        <f>675+156</f>
        <v>831</v>
      </c>
    </row>
    <row r="26" spans="2:176" ht="13.5" hidden="1" customHeight="1" thickTop="1" x14ac:dyDescent="0.25">
      <c r="B26" s="3" t="s">
        <v>9</v>
      </c>
      <c r="C26" s="25">
        <f t="shared" ref="C26:Q26" si="98">SUM(C24:C25)</f>
        <v>565</v>
      </c>
      <c r="D26" s="8">
        <f t="shared" si="98"/>
        <v>726</v>
      </c>
      <c r="E26" s="8">
        <f t="shared" si="98"/>
        <v>805</v>
      </c>
      <c r="F26" s="8">
        <f t="shared" si="98"/>
        <v>819</v>
      </c>
      <c r="G26" s="8">
        <f t="shared" si="98"/>
        <v>822</v>
      </c>
      <c r="H26" s="8">
        <f t="shared" si="98"/>
        <v>824</v>
      </c>
      <c r="I26" s="8">
        <f t="shared" si="98"/>
        <v>822</v>
      </c>
      <c r="J26" s="8">
        <f t="shared" si="98"/>
        <v>851</v>
      </c>
      <c r="K26" s="35">
        <f t="shared" si="98"/>
        <v>850</v>
      </c>
      <c r="L26" s="8">
        <f t="shared" si="98"/>
        <v>842</v>
      </c>
      <c r="M26" s="8">
        <f t="shared" si="98"/>
        <v>861</v>
      </c>
      <c r="N26" s="10">
        <f t="shared" si="98"/>
        <v>852</v>
      </c>
      <c r="O26" s="35">
        <f t="shared" si="98"/>
        <v>859</v>
      </c>
      <c r="P26" s="35">
        <f t="shared" si="98"/>
        <v>858</v>
      </c>
      <c r="Q26" s="8">
        <f t="shared" si="98"/>
        <v>864</v>
      </c>
      <c r="R26" s="8">
        <f t="shared" ref="R26:Z26" si="99">SUM(R24:R25)</f>
        <v>874</v>
      </c>
      <c r="S26" s="8">
        <f t="shared" si="99"/>
        <v>871</v>
      </c>
      <c r="T26" s="8">
        <f t="shared" si="99"/>
        <v>865</v>
      </c>
      <c r="U26" s="8">
        <f t="shared" si="99"/>
        <v>870</v>
      </c>
      <c r="V26" s="8">
        <f t="shared" si="99"/>
        <v>882</v>
      </c>
      <c r="W26" s="8">
        <f t="shared" si="99"/>
        <v>864</v>
      </c>
      <c r="X26" s="8">
        <f t="shared" si="99"/>
        <v>864</v>
      </c>
      <c r="Y26" s="8">
        <f t="shared" si="99"/>
        <v>861</v>
      </c>
      <c r="Z26" s="9">
        <f t="shared" si="99"/>
        <v>862</v>
      </c>
      <c r="AA26" s="8">
        <f t="shared" ref="AA26:AF26" si="100">SUM(AA24:AA25)</f>
        <v>862</v>
      </c>
      <c r="AB26" s="8">
        <f t="shared" si="100"/>
        <v>864</v>
      </c>
      <c r="AC26" s="8">
        <f t="shared" si="100"/>
        <v>859</v>
      </c>
      <c r="AD26" s="8">
        <f t="shared" si="100"/>
        <v>860</v>
      </c>
      <c r="AE26" s="8">
        <f t="shared" si="100"/>
        <v>863</v>
      </c>
      <c r="AF26" s="8">
        <f t="shared" si="100"/>
        <v>866</v>
      </c>
      <c r="AG26" s="8">
        <f t="shared" ref="AG26:AL26" si="101">SUM(AG24:AG25)</f>
        <v>874</v>
      </c>
      <c r="AH26" s="8">
        <f t="shared" si="101"/>
        <v>871</v>
      </c>
      <c r="AI26" s="8">
        <f t="shared" si="101"/>
        <v>879</v>
      </c>
      <c r="AJ26" s="8">
        <f t="shared" si="101"/>
        <v>868</v>
      </c>
      <c r="AK26" s="8">
        <f t="shared" si="101"/>
        <v>880</v>
      </c>
      <c r="AL26" s="8">
        <f t="shared" si="101"/>
        <v>875</v>
      </c>
      <c r="AM26" s="77">
        <f t="shared" ref="AM26:AR26" si="102">SUM(AM24:AM25)</f>
        <v>884</v>
      </c>
      <c r="AN26" s="8">
        <f t="shared" si="102"/>
        <v>881</v>
      </c>
      <c r="AO26" s="80">
        <f t="shared" si="102"/>
        <v>885</v>
      </c>
      <c r="AP26" s="80">
        <f t="shared" si="102"/>
        <v>882</v>
      </c>
      <c r="AQ26" s="80">
        <f t="shared" si="102"/>
        <v>883</v>
      </c>
      <c r="AR26" s="80">
        <f t="shared" si="102"/>
        <v>884</v>
      </c>
      <c r="AS26" s="80">
        <f t="shared" ref="AS26:AX26" si="103">SUM(AS24:AS25)</f>
        <v>883</v>
      </c>
      <c r="AT26" s="80">
        <f t="shared" si="103"/>
        <v>889</v>
      </c>
      <c r="AU26" s="80">
        <f t="shared" si="103"/>
        <v>887</v>
      </c>
      <c r="AV26" s="80">
        <f t="shared" si="103"/>
        <v>885</v>
      </c>
      <c r="AW26" s="80">
        <f t="shared" si="103"/>
        <v>883</v>
      </c>
      <c r="AX26" s="80">
        <f t="shared" si="103"/>
        <v>886</v>
      </c>
      <c r="AY26" s="194">
        <f t="shared" ref="AY26:BD26" si="104">SUM(AY24:AY25)</f>
        <v>885</v>
      </c>
      <c r="AZ26" s="80">
        <f t="shared" si="104"/>
        <v>893</v>
      </c>
      <c r="BA26" s="80">
        <f t="shared" si="104"/>
        <v>884</v>
      </c>
      <c r="BB26" s="80">
        <f t="shared" si="104"/>
        <v>886</v>
      </c>
      <c r="BC26" s="80">
        <f t="shared" si="104"/>
        <v>883</v>
      </c>
      <c r="BD26" s="80">
        <f t="shared" si="104"/>
        <v>885</v>
      </c>
      <c r="BE26" s="80">
        <f t="shared" ref="BE26:BJ26" si="105">SUM(BE24:BE25)</f>
        <v>890</v>
      </c>
      <c r="BF26" s="80">
        <f t="shared" si="105"/>
        <v>883</v>
      </c>
      <c r="BG26" s="80">
        <f t="shared" si="105"/>
        <v>882</v>
      </c>
      <c r="BH26" s="80">
        <f t="shared" si="105"/>
        <v>891</v>
      </c>
      <c r="BI26" s="80">
        <f t="shared" si="105"/>
        <v>893</v>
      </c>
      <c r="BJ26" s="80">
        <f t="shared" si="105"/>
        <v>886</v>
      </c>
      <c r="BK26" s="194">
        <f t="shared" ref="BK26:BV26" si="106">SUM(BK24:BK25)</f>
        <v>886</v>
      </c>
      <c r="BL26" s="80">
        <f t="shared" si="106"/>
        <v>879</v>
      </c>
      <c r="BM26" s="80">
        <f t="shared" si="106"/>
        <v>881</v>
      </c>
      <c r="BN26" s="80">
        <f t="shared" si="106"/>
        <v>886</v>
      </c>
      <c r="BO26" s="80">
        <f t="shared" si="106"/>
        <v>886</v>
      </c>
      <c r="BP26" s="80">
        <f t="shared" si="106"/>
        <v>887</v>
      </c>
      <c r="BQ26" s="80">
        <f t="shared" si="106"/>
        <v>876</v>
      </c>
      <c r="BR26" s="80">
        <f t="shared" si="106"/>
        <v>883</v>
      </c>
      <c r="BS26" s="80">
        <f t="shared" si="106"/>
        <v>876</v>
      </c>
      <c r="BT26" s="80">
        <f t="shared" si="106"/>
        <v>879</v>
      </c>
      <c r="BU26" s="80">
        <f t="shared" si="106"/>
        <v>877</v>
      </c>
      <c r="BV26" s="10">
        <f t="shared" si="106"/>
        <v>881</v>
      </c>
      <c r="BW26" s="194">
        <f t="shared" ref="BW26:CB26" si="107">SUM(BW24:BW25)</f>
        <v>895</v>
      </c>
      <c r="BX26" s="80">
        <f t="shared" si="107"/>
        <v>893</v>
      </c>
      <c r="BY26" s="80">
        <f t="shared" si="107"/>
        <v>896</v>
      </c>
      <c r="BZ26" s="80">
        <f t="shared" si="107"/>
        <v>894</v>
      </c>
      <c r="CA26" s="80">
        <f t="shared" si="107"/>
        <v>895</v>
      </c>
      <c r="CB26" s="80">
        <f t="shared" si="107"/>
        <v>900</v>
      </c>
      <c r="CC26" s="80">
        <f t="shared" ref="CC26:CH26" si="108">SUM(CC24:CC25)</f>
        <v>909</v>
      </c>
      <c r="CD26" s="80">
        <f t="shared" si="108"/>
        <v>901</v>
      </c>
      <c r="CE26" s="80">
        <f t="shared" si="108"/>
        <v>897</v>
      </c>
      <c r="CF26" s="80">
        <f t="shared" si="108"/>
        <v>886</v>
      </c>
      <c r="CG26" s="80">
        <f t="shared" si="108"/>
        <v>856</v>
      </c>
      <c r="CH26" s="80">
        <f t="shared" si="108"/>
        <v>882</v>
      </c>
      <c r="CI26" s="115">
        <f>SUM(CI24:CI25)</f>
        <v>885</v>
      </c>
      <c r="CJ26" s="94">
        <f>SUM(CJ24:CJ25)</f>
        <v>898</v>
      </c>
      <c r="CK26" s="94">
        <f>SUM(CK24:CK25)</f>
        <v>894</v>
      </c>
      <c r="CL26" s="94">
        <f t="shared" ref="CL26:CT26" si="109">SUM(CL24:CL25)</f>
        <v>900</v>
      </c>
      <c r="CM26" s="94">
        <f t="shared" si="109"/>
        <v>895</v>
      </c>
      <c r="CN26" s="94">
        <f t="shared" si="109"/>
        <v>908</v>
      </c>
      <c r="CO26" s="94">
        <f t="shared" si="109"/>
        <v>896</v>
      </c>
      <c r="CP26" s="94">
        <f t="shared" si="109"/>
        <v>901</v>
      </c>
      <c r="CQ26" s="94">
        <f t="shared" si="109"/>
        <v>907</v>
      </c>
      <c r="CR26" s="94">
        <f t="shared" si="109"/>
        <v>907</v>
      </c>
      <c r="CS26" s="94">
        <f t="shared" si="109"/>
        <v>903</v>
      </c>
      <c r="CT26" s="107">
        <f t="shared" si="109"/>
        <v>917</v>
      </c>
      <c r="CU26" s="95">
        <f t="shared" ref="CU26:DJ26" si="110">SUM(CU24:CU25)</f>
        <v>926</v>
      </c>
      <c r="CV26" s="95">
        <f t="shared" si="110"/>
        <v>930</v>
      </c>
      <c r="CW26" s="95">
        <f t="shared" si="110"/>
        <v>917</v>
      </c>
      <c r="CX26" s="95">
        <f t="shared" si="110"/>
        <v>916</v>
      </c>
      <c r="CY26" s="95">
        <f t="shared" si="110"/>
        <v>911</v>
      </c>
      <c r="CZ26" s="95">
        <f t="shared" si="110"/>
        <v>917</v>
      </c>
      <c r="DA26" s="95">
        <f t="shared" si="110"/>
        <v>910</v>
      </c>
      <c r="DB26" s="95">
        <f t="shared" si="110"/>
        <v>919</v>
      </c>
      <c r="DC26" s="95">
        <f t="shared" si="110"/>
        <v>905</v>
      </c>
      <c r="DD26" s="95">
        <f t="shared" si="110"/>
        <v>910</v>
      </c>
      <c r="DE26" s="95">
        <f t="shared" si="110"/>
        <v>913</v>
      </c>
      <c r="DF26" s="107">
        <f t="shared" si="110"/>
        <v>919</v>
      </c>
      <c r="DG26" s="95">
        <f t="shared" si="110"/>
        <v>917</v>
      </c>
      <c r="DH26" s="95">
        <f t="shared" si="110"/>
        <v>917</v>
      </c>
      <c r="DI26" s="95">
        <f t="shared" si="110"/>
        <v>918</v>
      </c>
      <c r="DJ26" s="95">
        <f t="shared" si="110"/>
        <v>921</v>
      </c>
      <c r="DK26" s="95">
        <f t="shared" ref="DK26:DU26" si="111">SUM(DK24:DK25)</f>
        <v>924</v>
      </c>
      <c r="DL26" s="95">
        <f t="shared" si="111"/>
        <v>925</v>
      </c>
      <c r="DM26" s="95">
        <f t="shared" si="111"/>
        <v>921</v>
      </c>
      <c r="DN26" s="95">
        <f t="shared" si="111"/>
        <v>921</v>
      </c>
      <c r="DO26" s="95">
        <f t="shared" si="111"/>
        <v>920</v>
      </c>
      <c r="DP26" s="95">
        <f t="shared" si="111"/>
        <v>919</v>
      </c>
      <c r="DQ26" s="95">
        <f t="shared" si="111"/>
        <v>918</v>
      </c>
      <c r="DR26" s="95">
        <f t="shared" si="111"/>
        <v>926</v>
      </c>
      <c r="DS26" s="95">
        <f t="shared" si="111"/>
        <v>925</v>
      </c>
      <c r="DT26" s="95">
        <f t="shared" si="111"/>
        <v>926</v>
      </c>
      <c r="DU26" s="95">
        <f t="shared" si="111"/>
        <v>928</v>
      </c>
      <c r="DV26" s="355">
        <f t="shared" ref="DV26:FQ26" si="112">SUM(DV24:DV25)</f>
        <v>928</v>
      </c>
      <c r="DW26" s="355">
        <f t="shared" si="112"/>
        <v>935</v>
      </c>
      <c r="DX26" s="355">
        <f t="shared" si="112"/>
        <v>931</v>
      </c>
      <c r="DY26" s="355">
        <f t="shared" si="112"/>
        <v>941</v>
      </c>
      <c r="DZ26" s="355">
        <f t="shared" si="112"/>
        <v>935</v>
      </c>
      <c r="EA26" s="355">
        <f t="shared" si="112"/>
        <v>940</v>
      </c>
      <c r="EB26" s="355">
        <f t="shared" si="112"/>
        <v>935</v>
      </c>
      <c r="EC26" s="355">
        <f t="shared" si="112"/>
        <v>934</v>
      </c>
      <c r="ED26" s="355">
        <f t="shared" si="112"/>
        <v>939</v>
      </c>
      <c r="EE26" s="355">
        <f t="shared" si="112"/>
        <v>946</v>
      </c>
      <c r="EF26" s="355">
        <f t="shared" si="112"/>
        <v>953</v>
      </c>
      <c r="EG26" s="355">
        <f t="shared" si="112"/>
        <v>946</v>
      </c>
      <c r="EH26" s="355">
        <f t="shared" si="112"/>
        <v>960</v>
      </c>
      <c r="EI26" s="355">
        <f t="shared" si="112"/>
        <v>954</v>
      </c>
      <c r="EJ26" s="355">
        <f t="shared" si="112"/>
        <v>954</v>
      </c>
      <c r="EK26" s="355">
        <f t="shared" si="112"/>
        <v>964</v>
      </c>
      <c r="EL26" s="355">
        <f t="shared" si="112"/>
        <v>962</v>
      </c>
      <c r="EM26" s="355">
        <f t="shared" si="112"/>
        <v>963</v>
      </c>
      <c r="EN26" s="355">
        <f t="shared" si="112"/>
        <v>975</v>
      </c>
      <c r="EO26" s="355">
        <f t="shared" si="112"/>
        <v>977</v>
      </c>
      <c r="EP26" s="355">
        <f t="shared" si="112"/>
        <v>980</v>
      </c>
      <c r="EQ26" s="355">
        <f t="shared" si="112"/>
        <v>976</v>
      </c>
      <c r="ER26" s="355">
        <f t="shared" si="112"/>
        <v>983</v>
      </c>
      <c r="ES26" s="355">
        <f t="shared" si="112"/>
        <v>982</v>
      </c>
      <c r="ET26" s="355">
        <f t="shared" si="112"/>
        <v>993</v>
      </c>
      <c r="EU26" s="355">
        <f t="shared" si="112"/>
        <v>990</v>
      </c>
      <c r="EV26" s="355">
        <f t="shared" si="112"/>
        <v>996</v>
      </c>
      <c r="EW26" s="355">
        <f t="shared" si="112"/>
        <v>1006</v>
      </c>
      <c r="EX26" s="355">
        <f t="shared" si="112"/>
        <v>1003</v>
      </c>
      <c r="EY26" s="355">
        <f t="shared" si="112"/>
        <v>1011</v>
      </c>
      <c r="EZ26" s="355">
        <f t="shared" si="112"/>
        <v>1002</v>
      </c>
      <c r="FA26" s="355">
        <f t="shared" si="112"/>
        <v>1009</v>
      </c>
      <c r="FB26" s="355">
        <f t="shared" si="112"/>
        <v>1013</v>
      </c>
      <c r="FC26" s="355">
        <f t="shared" si="112"/>
        <v>1006</v>
      </c>
      <c r="FD26" s="355">
        <f t="shared" si="112"/>
        <v>977</v>
      </c>
      <c r="FE26" s="355">
        <f t="shared" si="112"/>
        <v>1005</v>
      </c>
      <c r="FF26" s="355">
        <f t="shared" si="112"/>
        <v>1007</v>
      </c>
      <c r="FG26" s="355">
        <f t="shared" si="112"/>
        <v>1016</v>
      </c>
      <c r="FH26" s="355">
        <f t="shared" si="112"/>
        <v>1003</v>
      </c>
      <c r="FI26" s="355">
        <f t="shared" si="112"/>
        <v>1027</v>
      </c>
      <c r="FJ26" s="355">
        <f t="shared" si="112"/>
        <v>1030</v>
      </c>
      <c r="FK26" s="355">
        <f t="shared" si="112"/>
        <v>1025</v>
      </c>
      <c r="FL26" s="355">
        <f t="shared" si="112"/>
        <v>1031</v>
      </c>
      <c r="FM26" s="355">
        <f t="shared" si="112"/>
        <v>1031</v>
      </c>
      <c r="FN26" s="355">
        <f t="shared" si="112"/>
        <v>1029</v>
      </c>
      <c r="FO26" s="355">
        <f t="shared" si="112"/>
        <v>1029</v>
      </c>
      <c r="FP26" s="355">
        <f t="shared" si="112"/>
        <v>1034</v>
      </c>
      <c r="FQ26" s="355">
        <f t="shared" si="112"/>
        <v>1029</v>
      </c>
      <c r="FR26" s="355">
        <f t="shared" ref="FR26:FT26" si="113">SUM(FR24:FR25)</f>
        <v>1035</v>
      </c>
      <c r="FS26" s="355">
        <f t="shared" si="113"/>
        <v>1038</v>
      </c>
      <c r="FT26" s="355">
        <f t="shared" si="113"/>
        <v>1042</v>
      </c>
    </row>
    <row r="27" spans="2:176" ht="13.5" hidden="1" customHeight="1" x14ac:dyDescent="0.25">
      <c r="B27" s="3" t="s">
        <v>10</v>
      </c>
      <c r="C27" s="26">
        <f t="shared" ref="C27:Q27" si="114">SUM(C24)/C26</f>
        <v>0.97345132743362828</v>
      </c>
      <c r="D27" s="14">
        <f t="shared" si="114"/>
        <v>0.75757575757575757</v>
      </c>
      <c r="E27" s="14">
        <f t="shared" si="114"/>
        <v>0.74409937888198763</v>
      </c>
      <c r="F27" s="14">
        <f t="shared" si="114"/>
        <v>0.72771672771672768</v>
      </c>
      <c r="G27" s="14">
        <f t="shared" si="114"/>
        <v>0.7007299270072993</v>
      </c>
      <c r="H27" s="14">
        <f t="shared" si="114"/>
        <v>0.68932038834951459</v>
      </c>
      <c r="I27" s="14">
        <f t="shared" si="114"/>
        <v>0.67031630170316303</v>
      </c>
      <c r="J27" s="14">
        <f t="shared" si="114"/>
        <v>0.65569917743830786</v>
      </c>
      <c r="K27" s="36">
        <f t="shared" si="114"/>
        <v>0.64352941176470591</v>
      </c>
      <c r="L27" s="14">
        <f t="shared" si="114"/>
        <v>0.62945368171021376</v>
      </c>
      <c r="M27" s="14">
        <f t="shared" si="114"/>
        <v>0.62717770034843201</v>
      </c>
      <c r="N27" s="23">
        <f t="shared" si="114"/>
        <v>0.61619718309859151</v>
      </c>
      <c r="O27" s="36">
        <f t="shared" si="114"/>
        <v>0.59953434225844005</v>
      </c>
      <c r="P27" s="36">
        <f t="shared" si="114"/>
        <v>0.58857808857808858</v>
      </c>
      <c r="Q27" s="14">
        <f t="shared" si="114"/>
        <v>0.57754629629629628</v>
      </c>
      <c r="R27" s="14">
        <f t="shared" ref="R27:Z27" si="115">SUM(R24)/R26</f>
        <v>0.57437070938215107</v>
      </c>
      <c r="S27" s="14">
        <f t="shared" si="115"/>
        <v>0.57175660160734787</v>
      </c>
      <c r="T27" s="14">
        <f t="shared" si="115"/>
        <v>0.56416184971098271</v>
      </c>
      <c r="U27" s="14">
        <f t="shared" si="115"/>
        <v>0.57011494252873562</v>
      </c>
      <c r="V27" s="14">
        <f t="shared" si="115"/>
        <v>0.58049886621315194</v>
      </c>
      <c r="W27" s="14">
        <f t="shared" si="115"/>
        <v>0.58101851851851849</v>
      </c>
      <c r="X27" s="14">
        <f t="shared" si="115"/>
        <v>0.57407407407407407</v>
      </c>
      <c r="Y27" s="14">
        <f t="shared" si="115"/>
        <v>0.56445993031358888</v>
      </c>
      <c r="Z27" s="23">
        <f t="shared" si="115"/>
        <v>0.55220417633410668</v>
      </c>
      <c r="AA27" s="14">
        <f t="shared" ref="AA27:AF27" si="116">SUM(AA24)/AA26</f>
        <v>0.54176334106728541</v>
      </c>
      <c r="AB27" s="14">
        <f t="shared" si="116"/>
        <v>0.53009259259259256</v>
      </c>
      <c r="AC27" s="14">
        <f t="shared" si="116"/>
        <v>0.52619324796274736</v>
      </c>
      <c r="AD27" s="14">
        <f t="shared" si="116"/>
        <v>0.52441860465116275</v>
      </c>
      <c r="AE27" s="14">
        <f t="shared" si="116"/>
        <v>0.52143684820393976</v>
      </c>
      <c r="AF27" s="14">
        <f t="shared" si="116"/>
        <v>0.51385681293302543</v>
      </c>
      <c r="AG27" s="14">
        <f t="shared" ref="AG27:AL27" si="117">SUM(AG24)/AG26</f>
        <v>0.50228832951945079</v>
      </c>
      <c r="AH27" s="14">
        <f t="shared" si="117"/>
        <v>0.4925373134328358</v>
      </c>
      <c r="AI27" s="14">
        <f t="shared" si="117"/>
        <v>0.46757679180887374</v>
      </c>
      <c r="AJ27" s="14">
        <f t="shared" si="117"/>
        <v>0.4642857142857143</v>
      </c>
      <c r="AK27" s="14">
        <f t="shared" si="117"/>
        <v>0.45909090909090911</v>
      </c>
      <c r="AL27" s="14">
        <f t="shared" si="117"/>
        <v>0.45600000000000002</v>
      </c>
      <c r="AM27" s="78">
        <f t="shared" ref="AM27:AR27" si="118">SUM(AM24)/AM26</f>
        <v>0.45135746606334842</v>
      </c>
      <c r="AN27" s="14">
        <f t="shared" si="118"/>
        <v>0.45402951191827468</v>
      </c>
      <c r="AO27" s="14">
        <f t="shared" si="118"/>
        <v>0.43954802259887005</v>
      </c>
      <c r="AP27" s="14">
        <f t="shared" si="118"/>
        <v>0.43764172335600909</v>
      </c>
      <c r="AQ27" s="14">
        <f t="shared" si="118"/>
        <v>0.43488108720271801</v>
      </c>
      <c r="AR27" s="14">
        <f t="shared" si="118"/>
        <v>0.42420814479638008</v>
      </c>
      <c r="AS27" s="14">
        <f t="shared" ref="AS27:AX27" si="119">SUM(AS24)/AS26</f>
        <v>0.42355605889014725</v>
      </c>
      <c r="AT27" s="14">
        <f t="shared" si="119"/>
        <v>0.40832395950506184</v>
      </c>
      <c r="AU27" s="14">
        <f t="shared" si="119"/>
        <v>0.3968432919954904</v>
      </c>
      <c r="AV27" s="14">
        <f t="shared" si="119"/>
        <v>0.4</v>
      </c>
      <c r="AW27" s="14">
        <f t="shared" si="119"/>
        <v>0.40203850509626277</v>
      </c>
      <c r="AX27" s="14">
        <f t="shared" si="119"/>
        <v>0.40067720090293452</v>
      </c>
      <c r="AY27" s="78">
        <f t="shared" ref="AY27:BD27" si="120">SUM(AY24)/AY26</f>
        <v>0.4033898305084746</v>
      </c>
      <c r="AZ27" s="14">
        <f t="shared" si="120"/>
        <v>0.41769316909294513</v>
      </c>
      <c r="BA27" s="14">
        <f t="shared" si="120"/>
        <v>0.42420814479638008</v>
      </c>
      <c r="BB27" s="14">
        <f t="shared" si="120"/>
        <v>0.42099322799097066</v>
      </c>
      <c r="BC27" s="14">
        <f t="shared" si="120"/>
        <v>0.42015855039637601</v>
      </c>
      <c r="BD27" s="14">
        <f t="shared" si="120"/>
        <v>0.42259887005649716</v>
      </c>
      <c r="BE27" s="14">
        <f t="shared" ref="BE27:BJ27" si="121">SUM(BE24)/BE26</f>
        <v>0.4101123595505618</v>
      </c>
      <c r="BF27" s="14">
        <f t="shared" si="121"/>
        <v>0.41109852774631939</v>
      </c>
      <c r="BG27" s="14">
        <f t="shared" si="121"/>
        <v>0.41269841269841268</v>
      </c>
      <c r="BH27" s="14">
        <f t="shared" si="121"/>
        <v>0.41077441077441079</v>
      </c>
      <c r="BI27" s="14">
        <f t="shared" si="121"/>
        <v>0.39193729003359462</v>
      </c>
      <c r="BJ27" s="14">
        <f t="shared" si="121"/>
        <v>0.39390519187358919</v>
      </c>
      <c r="BK27" s="78">
        <f t="shared" ref="BK27:BV27" si="122">SUM(BK24)/BK26</f>
        <v>0.3905191873589165</v>
      </c>
      <c r="BL27" s="14">
        <f t="shared" si="122"/>
        <v>0.39021615472127419</v>
      </c>
      <c r="BM27" s="14">
        <f t="shared" si="122"/>
        <v>0.39614074914869468</v>
      </c>
      <c r="BN27" s="14">
        <f t="shared" si="122"/>
        <v>0.39729119638826182</v>
      </c>
      <c r="BO27" s="14">
        <f t="shared" si="122"/>
        <v>0.3905191873589165</v>
      </c>
      <c r="BP27" s="14">
        <f t="shared" si="122"/>
        <v>0.40811724915445319</v>
      </c>
      <c r="BQ27" s="14">
        <f t="shared" si="122"/>
        <v>0.41438356164383561</v>
      </c>
      <c r="BR27" s="14">
        <f t="shared" si="122"/>
        <v>0.41336353340883353</v>
      </c>
      <c r="BS27" s="14">
        <f t="shared" si="122"/>
        <v>0.41095890410958902</v>
      </c>
      <c r="BT27" s="14">
        <f t="shared" si="122"/>
        <v>0.40841865756541523</v>
      </c>
      <c r="BU27" s="14">
        <f t="shared" si="122"/>
        <v>0.40364880273660203</v>
      </c>
      <c r="BV27" s="23">
        <f t="shared" si="122"/>
        <v>0.39954597048808171</v>
      </c>
      <c r="BW27" s="78">
        <f t="shared" ref="BW27:CB27" si="123">SUM(BW24)/BW26</f>
        <v>0.38882681564245808</v>
      </c>
      <c r="BX27" s="14">
        <f t="shared" si="123"/>
        <v>0.39529675251959684</v>
      </c>
      <c r="BY27" s="14">
        <f t="shared" si="123"/>
        <v>0.390625</v>
      </c>
      <c r="BZ27" s="14">
        <f t="shared" si="123"/>
        <v>0.38590604026845637</v>
      </c>
      <c r="CA27" s="14">
        <f t="shared" si="123"/>
        <v>0.38994413407821227</v>
      </c>
      <c r="CB27" s="14">
        <f t="shared" si="123"/>
        <v>0.38777777777777778</v>
      </c>
      <c r="CC27" s="14">
        <f t="shared" ref="CC27:CH27" si="124">SUM(CC24)/CC26</f>
        <v>0.37843784378437845</v>
      </c>
      <c r="CD27" s="14">
        <f t="shared" si="124"/>
        <v>0.37957824639289678</v>
      </c>
      <c r="CE27" s="14">
        <f t="shared" si="124"/>
        <v>0.37681159420289856</v>
      </c>
      <c r="CF27" s="14">
        <f t="shared" si="124"/>
        <v>0.36230248306997742</v>
      </c>
      <c r="CG27" s="14">
        <f t="shared" si="124"/>
        <v>0.36331775700934582</v>
      </c>
      <c r="CH27" s="14">
        <f t="shared" si="124"/>
        <v>0.36167800453514737</v>
      </c>
      <c r="CI27" s="268">
        <f>SUM(CI24)/CI26</f>
        <v>0.35367231638418078</v>
      </c>
      <c r="CJ27" s="259">
        <f>SUM(CJ24)/CJ26</f>
        <v>0.33407572383073497</v>
      </c>
      <c r="CK27" s="259">
        <f>SUM(CK24)/CK26</f>
        <v>0.31655480984340045</v>
      </c>
      <c r="CL27" s="259">
        <f t="shared" ref="CL27:CQ27" si="125">SUM(CL24)/CL26</f>
        <v>0.31</v>
      </c>
      <c r="CM27" s="259">
        <f t="shared" si="125"/>
        <v>0.30391061452513968</v>
      </c>
      <c r="CN27" s="259">
        <f t="shared" si="125"/>
        <v>0.29515418502202645</v>
      </c>
      <c r="CO27" s="259">
        <f t="shared" si="125"/>
        <v>0.28348214285714285</v>
      </c>
      <c r="CP27" s="259">
        <f t="shared" si="125"/>
        <v>0.27192008879023305</v>
      </c>
      <c r="CQ27" s="259">
        <f t="shared" si="125"/>
        <v>0.27342888643880925</v>
      </c>
      <c r="CR27" s="259">
        <f t="shared" ref="CR27:DJ27" si="126">SUM(CR24)/CR26</f>
        <v>0.26681367144432194</v>
      </c>
      <c r="CS27" s="259">
        <f t="shared" si="126"/>
        <v>0.26578073089700999</v>
      </c>
      <c r="CT27" s="265">
        <f t="shared" si="126"/>
        <v>0.2649945474372955</v>
      </c>
      <c r="CU27" s="259">
        <f t="shared" si="126"/>
        <v>0.26349892008639308</v>
      </c>
      <c r="CV27" s="259">
        <f t="shared" si="126"/>
        <v>0.24946236559139784</v>
      </c>
      <c r="CW27" s="259">
        <f t="shared" si="126"/>
        <v>0.25190839694656486</v>
      </c>
      <c r="CX27" s="259">
        <f t="shared" si="126"/>
        <v>0.25218340611353712</v>
      </c>
      <c r="CY27" s="259">
        <f t="shared" si="126"/>
        <v>0.25576289791437978</v>
      </c>
      <c r="CZ27" s="259">
        <f t="shared" si="126"/>
        <v>0.25408942202835333</v>
      </c>
      <c r="DA27" s="259">
        <f t="shared" si="126"/>
        <v>0.25274725274725274</v>
      </c>
      <c r="DB27" s="259">
        <f t="shared" si="126"/>
        <v>0.25571273122959737</v>
      </c>
      <c r="DC27" s="259">
        <f t="shared" si="126"/>
        <v>0.2541436464088398</v>
      </c>
      <c r="DD27" s="259">
        <f t="shared" si="126"/>
        <v>0.24395604395604395</v>
      </c>
      <c r="DE27" s="259">
        <f t="shared" si="126"/>
        <v>0.24205914567360351</v>
      </c>
      <c r="DF27" s="265">
        <f t="shared" si="126"/>
        <v>0.24374319912948858</v>
      </c>
      <c r="DG27" s="312">
        <f t="shared" si="126"/>
        <v>0.23664122137404581</v>
      </c>
      <c r="DH27" s="312">
        <f t="shared" si="126"/>
        <v>0.23773173391494001</v>
      </c>
      <c r="DI27" s="312">
        <f t="shared" si="126"/>
        <v>0.24618736383442266</v>
      </c>
      <c r="DJ27" s="312">
        <f t="shared" si="126"/>
        <v>0.250814332247557</v>
      </c>
      <c r="DK27" s="312">
        <f t="shared" ref="DK27:FQ27" si="127">SUM(DK24)/DK26</f>
        <v>0.25757575757575757</v>
      </c>
      <c r="DL27" s="312">
        <f t="shared" si="127"/>
        <v>0.25405405405405407</v>
      </c>
      <c r="DM27" s="312">
        <f t="shared" si="127"/>
        <v>0.25298588490770901</v>
      </c>
      <c r="DN27" s="312">
        <f t="shared" si="127"/>
        <v>0.25407166123778502</v>
      </c>
      <c r="DO27" s="312">
        <f t="shared" si="127"/>
        <v>0.25760869565217392</v>
      </c>
      <c r="DP27" s="312">
        <f t="shared" si="127"/>
        <v>0.25571273122959737</v>
      </c>
      <c r="DQ27" s="312">
        <f t="shared" si="127"/>
        <v>0.25599128540305011</v>
      </c>
      <c r="DR27" s="312">
        <f t="shared" si="127"/>
        <v>0.25485961123110151</v>
      </c>
      <c r="DS27" s="312">
        <f t="shared" si="127"/>
        <v>0.252972972972973</v>
      </c>
      <c r="DT27" s="312">
        <f t="shared" si="127"/>
        <v>0.25377969762419006</v>
      </c>
      <c r="DU27" s="312">
        <f t="shared" si="127"/>
        <v>0.25431034482758619</v>
      </c>
      <c r="DV27" s="282">
        <f t="shared" si="127"/>
        <v>0.25754310344827586</v>
      </c>
      <c r="DW27" s="282">
        <f t="shared" si="127"/>
        <v>0.25454545454545452</v>
      </c>
      <c r="DX27" s="282">
        <f t="shared" si="127"/>
        <v>0.25134264232008591</v>
      </c>
      <c r="DY27" s="282">
        <f t="shared" si="127"/>
        <v>0.25185972369819343</v>
      </c>
      <c r="DZ27" s="282">
        <f t="shared" si="127"/>
        <v>0.25240641711229944</v>
      </c>
      <c r="EA27" s="282">
        <f t="shared" si="127"/>
        <v>0.2531914893617021</v>
      </c>
      <c r="EB27" s="282">
        <f t="shared" si="127"/>
        <v>0.25133689839572193</v>
      </c>
      <c r="EC27" s="282">
        <f t="shared" si="127"/>
        <v>0.24946466809421841</v>
      </c>
      <c r="ED27" s="282">
        <f t="shared" si="127"/>
        <v>0.25239616613418531</v>
      </c>
      <c r="EE27" s="282">
        <f t="shared" si="127"/>
        <v>0.24207188160676532</v>
      </c>
      <c r="EF27" s="282">
        <f t="shared" si="127"/>
        <v>0.23189926547743966</v>
      </c>
      <c r="EG27" s="282">
        <f t="shared" si="127"/>
        <v>0.23361522198731502</v>
      </c>
      <c r="EH27" s="282">
        <f t="shared" si="127"/>
        <v>0.23645833333333333</v>
      </c>
      <c r="EI27" s="282">
        <f t="shared" si="127"/>
        <v>0.22746331236897274</v>
      </c>
      <c r="EJ27" s="282">
        <f t="shared" si="127"/>
        <v>0.22431865828092243</v>
      </c>
      <c r="EK27" s="282">
        <f t="shared" si="127"/>
        <v>0.22199170124481327</v>
      </c>
      <c r="EL27" s="282">
        <f t="shared" si="127"/>
        <v>0.22245322245322247</v>
      </c>
      <c r="EM27" s="282">
        <f t="shared" si="127"/>
        <v>0.21910695742471442</v>
      </c>
      <c r="EN27" s="282">
        <f t="shared" si="127"/>
        <v>0.21743589743589745</v>
      </c>
      <c r="EO27" s="282">
        <f t="shared" si="127"/>
        <v>0.21392016376663256</v>
      </c>
      <c r="EP27" s="282">
        <f t="shared" si="127"/>
        <v>0.21122448979591837</v>
      </c>
      <c r="EQ27" s="282">
        <f t="shared" si="127"/>
        <v>0.21311475409836064</v>
      </c>
      <c r="ER27" s="282">
        <f t="shared" si="127"/>
        <v>0.20040691759918616</v>
      </c>
      <c r="ES27" s="282">
        <f t="shared" si="127"/>
        <v>0.20875763747454176</v>
      </c>
      <c r="ET27" s="282">
        <f t="shared" si="127"/>
        <v>0.20543806646525681</v>
      </c>
      <c r="EU27" s="282">
        <f t="shared" si="127"/>
        <v>0.20606060606060606</v>
      </c>
      <c r="EV27" s="282">
        <f t="shared" si="127"/>
        <v>0.20582329317269077</v>
      </c>
      <c r="EW27" s="282">
        <f t="shared" si="127"/>
        <v>0.20974155069582506</v>
      </c>
      <c r="EX27" s="282">
        <f t="shared" si="127"/>
        <v>0.20937188434695914</v>
      </c>
      <c r="EY27" s="282">
        <f t="shared" si="127"/>
        <v>0.20573689416419386</v>
      </c>
      <c r="EZ27" s="282">
        <f t="shared" si="127"/>
        <v>0.20758483033932135</v>
      </c>
      <c r="FA27" s="282">
        <f t="shared" si="127"/>
        <v>0.21010901883052527</v>
      </c>
      <c r="FB27" s="282">
        <f t="shared" si="127"/>
        <v>0.20631786771964461</v>
      </c>
      <c r="FC27" s="282">
        <f t="shared" si="127"/>
        <v>0.21073558648111332</v>
      </c>
      <c r="FD27" s="282">
        <f t="shared" si="127"/>
        <v>0.20675537359263049</v>
      </c>
      <c r="FE27" s="282">
        <f t="shared" si="127"/>
        <v>0.20597014925373133</v>
      </c>
      <c r="FF27" s="282">
        <f t="shared" si="127"/>
        <v>0.20456802383316783</v>
      </c>
      <c r="FG27" s="282">
        <f t="shared" si="127"/>
        <v>0.20472440944881889</v>
      </c>
      <c r="FH27" s="282">
        <f t="shared" si="127"/>
        <v>0.21136590229312063</v>
      </c>
      <c r="FI27" s="282">
        <f t="shared" si="127"/>
        <v>0.20545277507302823</v>
      </c>
      <c r="FJ27" s="282">
        <f t="shared" si="127"/>
        <v>0.20194174757281552</v>
      </c>
      <c r="FK27" s="282">
        <f t="shared" si="127"/>
        <v>0.2029268292682927</v>
      </c>
      <c r="FL27" s="282">
        <f t="shared" si="127"/>
        <v>0.20077594568380214</v>
      </c>
      <c r="FM27" s="282">
        <f t="shared" si="127"/>
        <v>0.20368574199806014</v>
      </c>
      <c r="FN27" s="282">
        <f t="shared" si="127"/>
        <v>0.20505344995140914</v>
      </c>
      <c r="FO27" s="282">
        <f t="shared" si="127"/>
        <v>0.20505344995140914</v>
      </c>
      <c r="FP27" s="282">
        <f t="shared" si="127"/>
        <v>0.20696324951644102</v>
      </c>
      <c r="FQ27" s="282">
        <f t="shared" si="127"/>
        <v>0.20796890184645286</v>
      </c>
      <c r="FR27" s="282">
        <f t="shared" ref="FR27:FT27" si="128">SUM(FR24)/FR26</f>
        <v>0.20676328502415459</v>
      </c>
      <c r="FS27" s="282">
        <f t="shared" si="128"/>
        <v>0.20905587668593448</v>
      </c>
      <c r="FT27" s="282">
        <f t="shared" si="128"/>
        <v>0.20249520153550865</v>
      </c>
    </row>
    <row r="28" spans="2:176" ht="13.5" hidden="1" customHeight="1" thickBot="1" x14ac:dyDescent="0.3">
      <c r="B28" s="4" t="s">
        <v>11</v>
      </c>
      <c r="C28" s="27">
        <f t="shared" ref="C28:Q28" si="129">SUM(C25/C26)</f>
        <v>2.6548672566371681E-2</v>
      </c>
      <c r="D28" s="15">
        <f t="shared" si="129"/>
        <v>0.24242424242424243</v>
      </c>
      <c r="E28" s="15">
        <f t="shared" si="129"/>
        <v>0.25590062111801243</v>
      </c>
      <c r="F28" s="15">
        <f t="shared" si="129"/>
        <v>0.27228327228327226</v>
      </c>
      <c r="G28" s="15">
        <f t="shared" si="129"/>
        <v>0.29927007299270075</v>
      </c>
      <c r="H28" s="15">
        <f t="shared" si="129"/>
        <v>0.31067961165048541</v>
      </c>
      <c r="I28" s="15">
        <f t="shared" si="129"/>
        <v>0.32968369829683697</v>
      </c>
      <c r="J28" s="15">
        <f t="shared" si="129"/>
        <v>0.34430082256169214</v>
      </c>
      <c r="K28" s="37">
        <f t="shared" si="129"/>
        <v>0.35647058823529409</v>
      </c>
      <c r="L28" s="15">
        <f t="shared" si="129"/>
        <v>0.37054631828978624</v>
      </c>
      <c r="M28" s="15">
        <f t="shared" si="129"/>
        <v>0.37282229965156793</v>
      </c>
      <c r="N28" s="24">
        <f t="shared" si="129"/>
        <v>0.38380281690140844</v>
      </c>
      <c r="O28" s="37">
        <f t="shared" si="129"/>
        <v>0.40046565774155995</v>
      </c>
      <c r="P28" s="37">
        <f t="shared" si="129"/>
        <v>0.41142191142191142</v>
      </c>
      <c r="Q28" s="15">
        <f t="shared" si="129"/>
        <v>0.42245370370370372</v>
      </c>
      <c r="R28" s="15">
        <f>SUM(R25/R26)</f>
        <v>0.42562929061784899</v>
      </c>
      <c r="S28" s="15">
        <f>SUM(S25/S26)</f>
        <v>0.42824339839265213</v>
      </c>
      <c r="T28" s="15">
        <f>SUM(T25/T26)</f>
        <v>0.43583815028901735</v>
      </c>
      <c r="U28" s="15">
        <f t="shared" ref="U28:Z28" si="130">SUM(U25/U26)</f>
        <v>0.42988505747126438</v>
      </c>
      <c r="V28" s="15">
        <f t="shared" si="130"/>
        <v>0.41950113378684806</v>
      </c>
      <c r="W28" s="15">
        <f t="shared" si="130"/>
        <v>0.41898148148148145</v>
      </c>
      <c r="X28" s="15">
        <f t="shared" si="130"/>
        <v>0.42592592592592593</v>
      </c>
      <c r="Y28" s="15">
        <f t="shared" si="130"/>
        <v>0.43554006968641112</v>
      </c>
      <c r="Z28" s="24">
        <f t="shared" si="130"/>
        <v>0.44779582366589327</v>
      </c>
      <c r="AA28" s="15">
        <f t="shared" ref="AA28:AF28" si="131">SUM(AA25/AA26)</f>
        <v>0.45823665893271459</v>
      </c>
      <c r="AB28" s="15">
        <f t="shared" si="131"/>
        <v>0.46990740740740738</v>
      </c>
      <c r="AC28" s="15">
        <f t="shared" si="131"/>
        <v>0.47380675203725264</v>
      </c>
      <c r="AD28" s="15">
        <f t="shared" si="131"/>
        <v>0.4755813953488372</v>
      </c>
      <c r="AE28" s="15">
        <f t="shared" si="131"/>
        <v>0.47856315179606024</v>
      </c>
      <c r="AF28" s="15">
        <f t="shared" si="131"/>
        <v>0.48614318706697457</v>
      </c>
      <c r="AG28" s="15">
        <f t="shared" ref="AG28:AL28" si="132">SUM(AG25/AG26)</f>
        <v>0.49771167048054921</v>
      </c>
      <c r="AH28" s="15">
        <f t="shared" si="132"/>
        <v>0.5074626865671642</v>
      </c>
      <c r="AI28" s="15">
        <f t="shared" si="132"/>
        <v>0.53242320819112632</v>
      </c>
      <c r="AJ28" s="15">
        <f t="shared" si="132"/>
        <v>0.5357142857142857</v>
      </c>
      <c r="AK28" s="15">
        <f t="shared" si="132"/>
        <v>0.54090909090909089</v>
      </c>
      <c r="AL28" s="15">
        <f t="shared" si="132"/>
        <v>0.54400000000000004</v>
      </c>
      <c r="AM28" s="79">
        <f t="shared" ref="AM28:AR28" si="133">SUM(AM25/AM26)</f>
        <v>0.54864253393665163</v>
      </c>
      <c r="AN28" s="15">
        <f t="shared" si="133"/>
        <v>0.54597048808172532</v>
      </c>
      <c r="AO28" s="15">
        <f t="shared" si="133"/>
        <v>0.56045197740112995</v>
      </c>
      <c r="AP28" s="15">
        <f t="shared" si="133"/>
        <v>0.56235827664399096</v>
      </c>
      <c r="AQ28" s="15">
        <f t="shared" si="133"/>
        <v>0.56511891279728199</v>
      </c>
      <c r="AR28" s="15">
        <f t="shared" si="133"/>
        <v>0.57579185520361986</v>
      </c>
      <c r="AS28" s="15">
        <f t="shared" ref="AS28:AX28" si="134">SUM(AS25/AS26)</f>
        <v>0.57644394110985275</v>
      </c>
      <c r="AT28" s="15">
        <f t="shared" si="134"/>
        <v>0.59167604049493816</v>
      </c>
      <c r="AU28" s="15">
        <f t="shared" si="134"/>
        <v>0.6031567080045096</v>
      </c>
      <c r="AV28" s="15">
        <f t="shared" si="134"/>
        <v>0.6</v>
      </c>
      <c r="AW28" s="15">
        <f t="shared" si="134"/>
        <v>0.59796149490373729</v>
      </c>
      <c r="AX28" s="15">
        <f t="shared" si="134"/>
        <v>0.59932279909706543</v>
      </c>
      <c r="AY28" s="79">
        <f t="shared" ref="AY28:BD28" si="135">SUM(AY25/AY26)</f>
        <v>0.59661016949152545</v>
      </c>
      <c r="AZ28" s="15">
        <f t="shared" si="135"/>
        <v>0.58230683090705482</v>
      </c>
      <c r="BA28" s="15">
        <f t="shared" si="135"/>
        <v>0.57579185520361986</v>
      </c>
      <c r="BB28" s="15">
        <f t="shared" si="135"/>
        <v>0.57900677200902939</v>
      </c>
      <c r="BC28" s="15">
        <f t="shared" si="135"/>
        <v>0.57984144960362405</v>
      </c>
      <c r="BD28" s="15">
        <f t="shared" si="135"/>
        <v>0.57740112994350279</v>
      </c>
      <c r="BE28" s="15">
        <f t="shared" ref="BE28:BP28" si="136">SUM(BE25/BE26)</f>
        <v>0.5898876404494382</v>
      </c>
      <c r="BF28" s="15">
        <f t="shared" si="136"/>
        <v>0.58890147225368061</v>
      </c>
      <c r="BG28" s="15">
        <f t="shared" si="136"/>
        <v>0.58730158730158732</v>
      </c>
      <c r="BH28" s="15">
        <f t="shared" si="136"/>
        <v>0.58922558922558921</v>
      </c>
      <c r="BI28" s="15">
        <f t="shared" si="136"/>
        <v>0.60806270996640532</v>
      </c>
      <c r="BJ28" s="15">
        <f t="shared" si="136"/>
        <v>0.60609480812641081</v>
      </c>
      <c r="BK28" s="79">
        <f t="shared" si="136"/>
        <v>0.60948081264108356</v>
      </c>
      <c r="BL28" s="15">
        <f t="shared" si="136"/>
        <v>0.60978384527872587</v>
      </c>
      <c r="BM28" s="15">
        <f t="shared" si="136"/>
        <v>0.60385925085130532</v>
      </c>
      <c r="BN28" s="15">
        <f t="shared" si="136"/>
        <v>0.60270880361173818</v>
      </c>
      <c r="BO28" s="15">
        <f t="shared" si="136"/>
        <v>0.60948081264108356</v>
      </c>
      <c r="BP28" s="15">
        <f t="shared" si="136"/>
        <v>0.59188275084554676</v>
      </c>
      <c r="BQ28" s="15">
        <f t="shared" ref="BQ28:CB28" si="137">SUM(BQ25/BQ26)</f>
        <v>0.58561643835616439</v>
      </c>
      <c r="BR28" s="15">
        <f t="shared" si="137"/>
        <v>0.58663646659116653</v>
      </c>
      <c r="BS28" s="15">
        <f t="shared" si="137"/>
        <v>0.58904109589041098</v>
      </c>
      <c r="BT28" s="15">
        <f t="shared" si="137"/>
        <v>0.59158134243458471</v>
      </c>
      <c r="BU28" s="15">
        <f t="shared" si="137"/>
        <v>0.59635119726339791</v>
      </c>
      <c r="BV28" s="24">
        <f t="shared" si="137"/>
        <v>0.60045402951191829</v>
      </c>
      <c r="BW28" s="79">
        <f t="shared" si="137"/>
        <v>0.61117318435754187</v>
      </c>
      <c r="BX28" s="15">
        <f t="shared" si="137"/>
        <v>0.60470324748040316</v>
      </c>
      <c r="BY28" s="15">
        <f t="shared" si="137"/>
        <v>0.609375</v>
      </c>
      <c r="BZ28" s="15">
        <f t="shared" si="137"/>
        <v>0.61409395973154357</v>
      </c>
      <c r="CA28" s="15">
        <f t="shared" si="137"/>
        <v>0.61005586592178773</v>
      </c>
      <c r="CB28" s="15">
        <f t="shared" si="137"/>
        <v>0.61222222222222222</v>
      </c>
      <c r="CC28" s="15">
        <f t="shared" ref="CC28:CH28" si="138">SUM(CC25/CC26)</f>
        <v>0.62156215621562161</v>
      </c>
      <c r="CD28" s="15">
        <f t="shared" si="138"/>
        <v>0.62042175360710317</v>
      </c>
      <c r="CE28" s="15">
        <f t="shared" si="138"/>
        <v>0.62318840579710144</v>
      </c>
      <c r="CF28" s="15">
        <f t="shared" si="138"/>
        <v>0.63769751693002252</v>
      </c>
      <c r="CG28" s="15">
        <f t="shared" si="138"/>
        <v>0.63668224299065423</v>
      </c>
      <c r="CH28" s="15">
        <f t="shared" si="138"/>
        <v>0.63832199546485258</v>
      </c>
      <c r="CI28" s="269">
        <f>SUM(CI25/CI26)</f>
        <v>0.64632768361581916</v>
      </c>
      <c r="CJ28" s="261">
        <f>SUM(CJ25/CJ26)</f>
        <v>0.66592427616926508</v>
      </c>
      <c r="CK28" s="261">
        <f>SUM(CK25/CK26)</f>
        <v>0.68344519015659955</v>
      </c>
      <c r="CL28" s="261">
        <f t="shared" ref="CL28:CQ28" si="139">SUM(CL25/CL26)</f>
        <v>0.69</v>
      </c>
      <c r="CM28" s="261">
        <f t="shared" si="139"/>
        <v>0.69608938547486032</v>
      </c>
      <c r="CN28" s="261">
        <f t="shared" si="139"/>
        <v>0.70484581497797361</v>
      </c>
      <c r="CO28" s="261">
        <f t="shared" si="139"/>
        <v>0.7165178571428571</v>
      </c>
      <c r="CP28" s="261">
        <f t="shared" si="139"/>
        <v>0.72807991120976689</v>
      </c>
      <c r="CQ28" s="261">
        <f t="shared" si="139"/>
        <v>0.72657111356119075</v>
      </c>
      <c r="CR28" s="261">
        <f t="shared" ref="CR28:DJ28" si="140">SUM(CR25/CR26)</f>
        <v>0.73318632855567811</v>
      </c>
      <c r="CS28" s="261">
        <f t="shared" si="140"/>
        <v>0.73421926910299007</v>
      </c>
      <c r="CT28" s="267">
        <f t="shared" si="140"/>
        <v>0.73500545256270444</v>
      </c>
      <c r="CU28" s="261">
        <f t="shared" si="140"/>
        <v>0.73650107991360692</v>
      </c>
      <c r="CV28" s="261">
        <f t="shared" si="140"/>
        <v>0.75053763440860211</v>
      </c>
      <c r="CW28" s="261">
        <f t="shared" si="140"/>
        <v>0.74809160305343514</v>
      </c>
      <c r="CX28" s="261">
        <f t="shared" si="140"/>
        <v>0.74781659388646293</v>
      </c>
      <c r="CY28" s="261">
        <f t="shared" si="140"/>
        <v>0.74423710208562022</v>
      </c>
      <c r="CZ28" s="261">
        <f t="shared" si="140"/>
        <v>0.74591057797164673</v>
      </c>
      <c r="DA28" s="261">
        <f t="shared" si="140"/>
        <v>0.74725274725274726</v>
      </c>
      <c r="DB28" s="261">
        <f t="shared" si="140"/>
        <v>0.74428726877040263</v>
      </c>
      <c r="DC28" s="261">
        <f t="shared" si="140"/>
        <v>0.7458563535911602</v>
      </c>
      <c r="DD28" s="261">
        <f t="shared" si="140"/>
        <v>0.75604395604395602</v>
      </c>
      <c r="DE28" s="261">
        <f t="shared" si="140"/>
        <v>0.75794085432639646</v>
      </c>
      <c r="DF28" s="267">
        <f t="shared" si="140"/>
        <v>0.75625680087051139</v>
      </c>
      <c r="DG28" s="313">
        <f t="shared" si="140"/>
        <v>0.76335877862595425</v>
      </c>
      <c r="DH28" s="313">
        <f t="shared" si="140"/>
        <v>0.76226826608505993</v>
      </c>
      <c r="DI28" s="313">
        <f t="shared" si="140"/>
        <v>0.75381263616557737</v>
      </c>
      <c r="DJ28" s="313">
        <f t="shared" si="140"/>
        <v>0.749185667752443</v>
      </c>
      <c r="DK28" s="313">
        <f t="shared" ref="DK28:FQ28" si="141">SUM(DK25/DK26)</f>
        <v>0.74242424242424243</v>
      </c>
      <c r="DL28" s="313">
        <f t="shared" si="141"/>
        <v>0.74594594594594599</v>
      </c>
      <c r="DM28" s="313">
        <f t="shared" si="141"/>
        <v>0.74701411509229099</v>
      </c>
      <c r="DN28" s="313">
        <f t="shared" si="141"/>
        <v>0.74592833876221498</v>
      </c>
      <c r="DO28" s="313">
        <f t="shared" si="141"/>
        <v>0.74239130434782608</v>
      </c>
      <c r="DP28" s="313">
        <f t="shared" si="141"/>
        <v>0.74428726877040263</v>
      </c>
      <c r="DQ28" s="313">
        <f t="shared" si="141"/>
        <v>0.74400871459694984</v>
      </c>
      <c r="DR28" s="313">
        <f t="shared" si="141"/>
        <v>0.74514038876889854</v>
      </c>
      <c r="DS28" s="313">
        <f t="shared" si="141"/>
        <v>0.74702702702702706</v>
      </c>
      <c r="DT28" s="313">
        <f t="shared" si="141"/>
        <v>0.74622030237580994</v>
      </c>
      <c r="DU28" s="313">
        <f t="shared" si="141"/>
        <v>0.74568965517241381</v>
      </c>
      <c r="DV28" s="354">
        <f t="shared" si="141"/>
        <v>0.74245689655172409</v>
      </c>
      <c r="DW28" s="354">
        <f t="shared" si="141"/>
        <v>0.74545454545454548</v>
      </c>
      <c r="DX28" s="354">
        <f t="shared" si="141"/>
        <v>0.74865735767991404</v>
      </c>
      <c r="DY28" s="354">
        <f t="shared" si="141"/>
        <v>0.74814027630180657</v>
      </c>
      <c r="DZ28" s="354">
        <f t="shared" si="141"/>
        <v>0.7475935828877005</v>
      </c>
      <c r="EA28" s="354">
        <f t="shared" si="141"/>
        <v>0.7468085106382979</v>
      </c>
      <c r="EB28" s="354">
        <f t="shared" si="141"/>
        <v>0.74866310160427807</v>
      </c>
      <c r="EC28" s="354">
        <f t="shared" si="141"/>
        <v>0.75053533190578159</v>
      </c>
      <c r="ED28" s="354">
        <f t="shared" si="141"/>
        <v>0.74760383386581475</v>
      </c>
      <c r="EE28" s="354">
        <f t="shared" si="141"/>
        <v>0.75792811839323471</v>
      </c>
      <c r="EF28" s="354">
        <f t="shared" si="141"/>
        <v>0.76810073452256034</v>
      </c>
      <c r="EG28" s="354">
        <f t="shared" si="141"/>
        <v>0.76638477801268501</v>
      </c>
      <c r="EH28" s="354">
        <f t="shared" si="141"/>
        <v>0.76354166666666667</v>
      </c>
      <c r="EI28" s="354">
        <f t="shared" si="141"/>
        <v>0.77253668763102723</v>
      </c>
      <c r="EJ28" s="354">
        <f t="shared" si="141"/>
        <v>0.77568134171907754</v>
      </c>
      <c r="EK28" s="354">
        <f t="shared" si="141"/>
        <v>0.77800829875518673</v>
      </c>
      <c r="EL28" s="354">
        <f t="shared" si="141"/>
        <v>0.77754677754677759</v>
      </c>
      <c r="EM28" s="354">
        <f t="shared" si="141"/>
        <v>0.78089304257528558</v>
      </c>
      <c r="EN28" s="354">
        <f t="shared" si="141"/>
        <v>0.78256410256410258</v>
      </c>
      <c r="EO28" s="354">
        <f t="shared" si="141"/>
        <v>0.78607983623336741</v>
      </c>
      <c r="EP28" s="354">
        <f t="shared" si="141"/>
        <v>0.78877551020408165</v>
      </c>
      <c r="EQ28" s="354">
        <f t="shared" si="141"/>
        <v>0.78688524590163933</v>
      </c>
      <c r="ER28" s="354">
        <f t="shared" si="141"/>
        <v>0.79959308240081384</v>
      </c>
      <c r="ES28" s="354">
        <f t="shared" si="141"/>
        <v>0.79124236252545821</v>
      </c>
      <c r="ET28" s="354">
        <f t="shared" si="141"/>
        <v>0.79456193353474325</v>
      </c>
      <c r="EU28" s="354">
        <f t="shared" si="141"/>
        <v>0.79393939393939394</v>
      </c>
      <c r="EV28" s="354">
        <f t="shared" si="141"/>
        <v>0.79417670682730923</v>
      </c>
      <c r="EW28" s="354">
        <f t="shared" si="141"/>
        <v>0.79025844930417499</v>
      </c>
      <c r="EX28" s="354">
        <f t="shared" si="141"/>
        <v>0.79062811565304092</v>
      </c>
      <c r="EY28" s="354">
        <f t="shared" si="141"/>
        <v>0.79426310583580617</v>
      </c>
      <c r="EZ28" s="354">
        <f t="shared" si="141"/>
        <v>0.7924151696606786</v>
      </c>
      <c r="FA28" s="354">
        <f t="shared" si="141"/>
        <v>0.78989098116947476</v>
      </c>
      <c r="FB28" s="354">
        <f t="shared" si="141"/>
        <v>0.79368213228035533</v>
      </c>
      <c r="FC28" s="354">
        <f t="shared" si="141"/>
        <v>0.78926441351888665</v>
      </c>
      <c r="FD28" s="354">
        <f t="shared" si="141"/>
        <v>0.79324462640736948</v>
      </c>
      <c r="FE28" s="354">
        <f t="shared" si="141"/>
        <v>0.79402985074626864</v>
      </c>
      <c r="FF28" s="354">
        <f t="shared" si="141"/>
        <v>0.79543197616683214</v>
      </c>
      <c r="FG28" s="354">
        <f t="shared" si="141"/>
        <v>0.79527559055118113</v>
      </c>
      <c r="FH28" s="354">
        <f t="shared" si="141"/>
        <v>0.78863409770687931</v>
      </c>
      <c r="FI28" s="354">
        <f t="shared" si="141"/>
        <v>0.79454722492697172</v>
      </c>
      <c r="FJ28" s="354">
        <f t="shared" si="141"/>
        <v>0.79805825242718442</v>
      </c>
      <c r="FK28" s="354">
        <f t="shared" si="141"/>
        <v>0.79707317073170736</v>
      </c>
      <c r="FL28" s="354">
        <f t="shared" si="141"/>
        <v>0.79922405431619792</v>
      </c>
      <c r="FM28" s="354">
        <f t="shared" si="141"/>
        <v>0.79631425800193989</v>
      </c>
      <c r="FN28" s="354">
        <f t="shared" si="141"/>
        <v>0.79494655004859083</v>
      </c>
      <c r="FO28" s="354">
        <f t="shared" si="141"/>
        <v>0.79494655004859083</v>
      </c>
      <c r="FP28" s="354">
        <f t="shared" si="141"/>
        <v>0.79303675048355904</v>
      </c>
      <c r="FQ28" s="354">
        <f t="shared" si="141"/>
        <v>0.79203109815354711</v>
      </c>
      <c r="FR28" s="354">
        <f t="shared" ref="FR28:FT28" si="142">SUM(FR25/FR26)</f>
        <v>0.79323671497584536</v>
      </c>
      <c r="FS28" s="354">
        <f t="shared" si="142"/>
        <v>0.79094412331406549</v>
      </c>
      <c r="FT28" s="354">
        <f t="shared" si="142"/>
        <v>0.7975047984644914</v>
      </c>
    </row>
    <row r="29" spans="2:176" ht="13.5" hidden="1" customHeight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42"/>
      <c r="L29" s="18"/>
      <c r="M29" s="18"/>
      <c r="N29" s="20"/>
      <c r="O29" s="42"/>
      <c r="P29" s="42"/>
      <c r="Q29" s="18"/>
      <c r="Z29" s="20"/>
      <c r="AM29" s="74"/>
      <c r="AY29" s="74"/>
      <c r="BK29" s="74"/>
      <c r="BV29" s="20"/>
      <c r="BW29" s="74"/>
      <c r="CH29" s="18"/>
      <c r="CI29" s="20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275"/>
      <c r="DH29" s="275"/>
      <c r="DI29" s="275"/>
      <c r="DJ29" s="275"/>
      <c r="DK29" s="275"/>
      <c r="DL29" s="275"/>
      <c r="DM29" s="69"/>
      <c r="DN29" s="330"/>
      <c r="DO29" s="275"/>
      <c r="DP29" s="69"/>
      <c r="DQ29" s="69"/>
      <c r="DR29" s="69"/>
      <c r="DS29" s="302"/>
      <c r="DT29" s="302"/>
      <c r="DU29" s="302"/>
      <c r="DV29" s="302"/>
      <c r="DW29" s="302"/>
      <c r="DX29" s="302"/>
    </row>
    <row r="30" spans="2:176" ht="13.5" customHeight="1" x14ac:dyDescent="0.25">
      <c r="B30" s="55" t="s">
        <v>53</v>
      </c>
      <c r="C30" s="56"/>
      <c r="D30" s="18"/>
      <c r="E30" s="18"/>
      <c r="F30" s="18"/>
      <c r="G30" s="18"/>
      <c r="H30" s="19"/>
      <c r="I30" s="18"/>
      <c r="J30" s="18"/>
      <c r="K30" s="42"/>
      <c r="L30" s="18"/>
      <c r="M30" s="18"/>
      <c r="N30" s="20"/>
      <c r="O30" s="42"/>
      <c r="P30" s="42"/>
      <c r="Q30" s="18"/>
      <c r="Z30" s="20"/>
      <c r="AM30" s="74"/>
      <c r="AY30" s="74"/>
      <c r="BK30" s="74"/>
      <c r="BV30" s="20"/>
      <c r="BW30" s="74"/>
      <c r="CH30" s="18"/>
      <c r="CI30" s="20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275"/>
      <c r="DH30" s="275"/>
      <c r="DI30" s="275"/>
      <c r="DJ30" s="275"/>
      <c r="DK30" s="275"/>
      <c r="DL30" s="275"/>
      <c r="DM30" s="69"/>
      <c r="DN30" s="330"/>
      <c r="DO30" s="275"/>
      <c r="DP30" s="69"/>
      <c r="DQ30" s="69"/>
      <c r="DR30" s="69"/>
      <c r="DS30" s="302"/>
      <c r="DT30" s="302"/>
      <c r="DU30" s="302"/>
      <c r="DV30" s="302"/>
      <c r="DW30" s="302"/>
      <c r="DX30" s="302"/>
    </row>
    <row r="31" spans="2:176" ht="13.5" customHeight="1" x14ac:dyDescent="0.25">
      <c r="B31" s="3" t="s">
        <v>1</v>
      </c>
      <c r="C31" s="29">
        <v>25154</v>
      </c>
      <c r="D31" s="16">
        <v>25154</v>
      </c>
      <c r="E31" s="16">
        <v>32088</v>
      </c>
      <c r="F31" s="16">
        <v>32040</v>
      </c>
      <c r="G31" s="16">
        <v>31426</v>
      </c>
      <c r="H31" s="16">
        <v>31288</v>
      </c>
      <c r="I31" s="16">
        <v>30901</v>
      </c>
      <c r="J31" s="16">
        <v>30218</v>
      </c>
      <c r="K31" s="39">
        <v>29982</v>
      </c>
      <c r="L31" s="16">
        <v>29746</v>
      </c>
      <c r="M31" s="16">
        <v>29539</v>
      </c>
      <c r="N31" s="21">
        <v>29370</v>
      </c>
      <c r="O31" s="39">
        <v>29303</v>
      </c>
      <c r="P31" s="39">
        <v>29022</v>
      </c>
      <c r="Q31" s="16">
        <v>28780</v>
      </c>
      <c r="R31" s="2">
        <v>28732</v>
      </c>
      <c r="S31" s="2">
        <v>28352</v>
      </c>
      <c r="T31" s="2">
        <v>28061</v>
      </c>
      <c r="U31" s="2">
        <v>27716</v>
      </c>
      <c r="V31" s="2">
        <v>27438</v>
      </c>
      <c r="W31" s="2">
        <v>27219</v>
      </c>
      <c r="X31" s="2">
        <v>27062</v>
      </c>
      <c r="Y31" s="2">
        <v>26849</v>
      </c>
      <c r="Z31" s="20">
        <v>26600</v>
      </c>
      <c r="AA31" s="2">
        <v>26370</v>
      </c>
      <c r="AB31" s="2">
        <v>26233</v>
      </c>
      <c r="AC31" s="2">
        <v>25937</v>
      </c>
      <c r="AD31" s="2">
        <v>25874</v>
      </c>
      <c r="AE31" s="2">
        <v>25793</v>
      </c>
      <c r="AF31" s="2">
        <v>25729</v>
      </c>
      <c r="AG31" s="2">
        <v>25458</v>
      </c>
      <c r="AH31" s="2">
        <v>25534</v>
      </c>
      <c r="AI31" s="2">
        <v>25497</v>
      </c>
      <c r="AJ31" s="2">
        <v>25199</v>
      </c>
      <c r="AK31" s="2">
        <v>25095</v>
      </c>
      <c r="AL31" s="2">
        <v>24985</v>
      </c>
      <c r="AM31" s="74">
        <v>24795</v>
      </c>
      <c r="AN31" s="2">
        <v>24607</v>
      </c>
      <c r="AO31" s="2">
        <v>24383</v>
      </c>
      <c r="AP31" s="2">
        <v>24210</v>
      </c>
      <c r="AQ31" s="2">
        <v>24020</v>
      </c>
      <c r="AR31" s="2">
        <v>23887</v>
      </c>
      <c r="AS31" s="2">
        <v>23705</v>
      </c>
      <c r="AT31" s="2">
        <v>23441</v>
      </c>
      <c r="AU31" s="2">
        <v>23270</v>
      </c>
      <c r="AV31" s="2">
        <v>23055</v>
      </c>
      <c r="AW31" s="2">
        <v>22870</v>
      </c>
      <c r="AX31" s="2">
        <v>22719</v>
      </c>
      <c r="AY31" s="74">
        <v>22573</v>
      </c>
      <c r="AZ31" s="2">
        <v>22398</v>
      </c>
      <c r="BA31" s="2">
        <v>22292</v>
      </c>
      <c r="BB31" s="2">
        <v>22063</v>
      </c>
      <c r="BC31" s="2">
        <v>21899</v>
      </c>
      <c r="BD31" s="2">
        <v>21737</v>
      </c>
      <c r="BE31" s="2">
        <v>21576</v>
      </c>
      <c r="BF31" s="2">
        <v>21384</v>
      </c>
      <c r="BG31" s="2">
        <v>21141</v>
      </c>
      <c r="BH31" s="2">
        <v>20892</v>
      </c>
      <c r="BI31" s="2">
        <v>19980</v>
      </c>
      <c r="BJ31" s="2">
        <v>20426</v>
      </c>
      <c r="BK31" s="74">
        <v>20192</v>
      </c>
      <c r="BL31" s="2">
        <v>19956</v>
      </c>
      <c r="BM31" s="2">
        <v>19760</v>
      </c>
      <c r="BN31" s="2">
        <v>19588</v>
      </c>
      <c r="BO31" s="2">
        <v>19427</v>
      </c>
      <c r="BP31" s="2">
        <v>19317</v>
      </c>
      <c r="BQ31" s="2">
        <v>19245</v>
      </c>
      <c r="BR31" s="2">
        <v>19078</v>
      </c>
      <c r="BS31" s="2">
        <v>18879</v>
      </c>
      <c r="BT31" s="2">
        <f>18700</f>
        <v>18700</v>
      </c>
      <c r="BU31" s="2">
        <v>18578</v>
      </c>
      <c r="BV31" s="20">
        <v>18487</v>
      </c>
      <c r="BW31" s="74">
        <v>18374</v>
      </c>
      <c r="BX31" s="42">
        <v>18260</v>
      </c>
      <c r="BY31" s="42">
        <v>18066</v>
      </c>
      <c r="BZ31" s="42">
        <v>17950</v>
      </c>
      <c r="CA31" s="42">
        <v>17821</v>
      </c>
      <c r="CB31" s="42">
        <v>17667</v>
      </c>
      <c r="CC31" s="257">
        <v>17498</v>
      </c>
      <c r="CD31" s="257">
        <v>17355</v>
      </c>
      <c r="CE31" s="257">
        <v>17191</v>
      </c>
      <c r="CF31" s="257">
        <v>17087</v>
      </c>
      <c r="CG31" s="257">
        <v>16996</v>
      </c>
      <c r="CH31" s="18">
        <v>16848</v>
      </c>
      <c r="CI31" s="201">
        <v>16697</v>
      </c>
      <c r="CJ31" s="69">
        <v>16546</v>
      </c>
      <c r="CK31" s="69">
        <v>16403</v>
      </c>
      <c r="CL31" s="69">
        <v>16272</v>
      </c>
      <c r="CM31" s="275">
        <v>16182</v>
      </c>
      <c r="CN31" s="69">
        <v>16020</v>
      </c>
      <c r="CO31" s="69">
        <v>15918</v>
      </c>
      <c r="CP31" s="69">
        <v>15926</v>
      </c>
      <c r="CQ31" s="69">
        <v>15895</v>
      </c>
      <c r="CR31" s="69">
        <v>15776</v>
      </c>
      <c r="CS31" s="69">
        <v>15636</v>
      </c>
      <c r="CT31" s="89">
        <v>15456</v>
      </c>
      <c r="CU31" s="69">
        <v>15277</v>
      </c>
      <c r="CV31" s="69">
        <v>15134</v>
      </c>
      <c r="CW31" s="69">
        <v>14950</v>
      </c>
      <c r="CX31" s="69">
        <v>14915</v>
      </c>
      <c r="CY31" s="69">
        <v>14779</v>
      </c>
      <c r="CZ31" s="69">
        <v>14688</v>
      </c>
      <c r="DA31" s="69">
        <v>14558</v>
      </c>
      <c r="DB31" s="69">
        <v>14452</v>
      </c>
      <c r="DC31" s="69">
        <v>14303</v>
      </c>
      <c r="DD31" s="69">
        <v>14184</v>
      </c>
      <c r="DE31" s="69">
        <v>14064</v>
      </c>
      <c r="DF31" s="89">
        <v>13954</v>
      </c>
      <c r="DG31" s="275">
        <v>13869</v>
      </c>
      <c r="DH31" s="275">
        <v>13714</v>
      </c>
      <c r="DI31" s="275">
        <v>13618</v>
      </c>
      <c r="DJ31" s="275">
        <v>13542</v>
      </c>
      <c r="DK31" s="275">
        <v>13438</v>
      </c>
      <c r="DL31" s="275">
        <v>13361</v>
      </c>
      <c r="DM31" s="275">
        <f>663+12651</f>
        <v>13314</v>
      </c>
      <c r="DN31" s="275">
        <f>662+12585</f>
        <v>13247</v>
      </c>
      <c r="DO31" s="275">
        <f>658+12491</f>
        <v>13149</v>
      </c>
      <c r="DP31" s="69">
        <v>13081</v>
      </c>
      <c r="DQ31" s="69">
        <v>13023</v>
      </c>
      <c r="DR31" s="69">
        <v>12949</v>
      </c>
      <c r="DS31" s="284">
        <v>12875</v>
      </c>
      <c r="DT31" s="284">
        <v>12797</v>
      </c>
      <c r="DU31" s="284">
        <v>12743</v>
      </c>
      <c r="DV31" s="362">
        <v>12547</v>
      </c>
      <c r="DW31" s="362">
        <v>12583</v>
      </c>
      <c r="DX31" s="362">
        <v>12524</v>
      </c>
      <c r="DY31" s="362">
        <v>12416</v>
      </c>
      <c r="DZ31" s="297">
        <v>12295</v>
      </c>
      <c r="EA31" s="297">
        <v>12235</v>
      </c>
      <c r="EB31" s="297">
        <v>12168</v>
      </c>
      <c r="EC31" s="297">
        <v>12070</v>
      </c>
      <c r="ED31" s="297">
        <v>11993</v>
      </c>
      <c r="EE31" s="297">
        <v>11948</v>
      </c>
      <c r="EF31" s="297">
        <v>11849</v>
      </c>
      <c r="EG31" s="297">
        <v>11785</v>
      </c>
      <c r="EH31" s="297">
        <v>11754</v>
      </c>
      <c r="EI31" s="297">
        <v>11674</v>
      </c>
      <c r="EJ31" s="297">
        <v>11620</v>
      </c>
      <c r="EK31" s="359">
        <f>10938+629</f>
        <v>11567</v>
      </c>
      <c r="EL31" s="359">
        <f>10912+632</f>
        <v>11544</v>
      </c>
      <c r="EM31" s="359">
        <f>10866+637</f>
        <v>11503</v>
      </c>
      <c r="EN31" s="359">
        <v>11454</v>
      </c>
      <c r="EO31" s="359">
        <v>11405</v>
      </c>
      <c r="EP31" s="359">
        <v>11359</v>
      </c>
      <c r="EQ31" s="362">
        <v>11313</v>
      </c>
      <c r="ER31" s="362">
        <v>11202</v>
      </c>
      <c r="ES31" s="362">
        <v>11092</v>
      </c>
      <c r="ET31" s="362">
        <v>11058</v>
      </c>
      <c r="EU31" s="362">
        <v>11057</v>
      </c>
      <c r="EV31" s="362">
        <v>11022</v>
      </c>
      <c r="EW31" s="362">
        <v>10992</v>
      </c>
      <c r="EX31" s="362">
        <v>10930</v>
      </c>
      <c r="EY31" s="362">
        <v>10891</v>
      </c>
      <c r="EZ31" s="362">
        <v>10849</v>
      </c>
      <c r="FA31" s="362">
        <v>10792</v>
      </c>
      <c r="FB31" s="362">
        <v>10749</v>
      </c>
      <c r="FC31" s="362">
        <v>10706</v>
      </c>
      <c r="FD31" s="362">
        <v>10638</v>
      </c>
      <c r="FE31" s="362">
        <v>10576</v>
      </c>
      <c r="FF31" s="362">
        <v>10536</v>
      </c>
      <c r="FG31" s="362">
        <v>10487</v>
      </c>
      <c r="FH31" s="362">
        <v>10449</v>
      </c>
      <c r="FI31" s="362">
        <v>10404</v>
      </c>
      <c r="FJ31" s="362">
        <v>10347</v>
      </c>
      <c r="FK31" s="362">
        <v>10291</v>
      </c>
      <c r="FL31" s="362">
        <v>10254</v>
      </c>
      <c r="FM31" s="362">
        <v>10212</v>
      </c>
      <c r="FN31" s="362">
        <v>10161</v>
      </c>
      <c r="FO31" s="362">
        <v>10107</v>
      </c>
      <c r="FP31" s="362">
        <v>10069</v>
      </c>
      <c r="FQ31" s="362">
        <v>10035</v>
      </c>
      <c r="FR31" s="362">
        <v>10009</v>
      </c>
      <c r="FS31" s="362">
        <v>9989</v>
      </c>
      <c r="FT31" s="362">
        <v>9967</v>
      </c>
    </row>
    <row r="32" spans="2:176" ht="13.5" customHeight="1" thickBot="1" x14ac:dyDescent="0.3">
      <c r="B32" s="5" t="s">
        <v>8</v>
      </c>
      <c r="C32" s="30">
        <v>54</v>
      </c>
      <c r="D32" s="17">
        <v>109</v>
      </c>
      <c r="E32" s="17">
        <v>181</v>
      </c>
      <c r="F32" s="17">
        <v>219</v>
      </c>
      <c r="G32" s="17">
        <v>286</v>
      </c>
      <c r="H32" s="17">
        <v>367</v>
      </c>
      <c r="I32" s="17">
        <v>524</v>
      </c>
      <c r="J32" s="17">
        <v>956</v>
      </c>
      <c r="K32" s="40">
        <v>1017</v>
      </c>
      <c r="L32" s="17">
        <v>1068</v>
      </c>
      <c r="M32" s="17">
        <v>1126</v>
      </c>
      <c r="N32" s="22">
        <v>1181</v>
      </c>
      <c r="O32" s="40">
        <v>1176</v>
      </c>
      <c r="P32" s="40">
        <v>1287</v>
      </c>
      <c r="Q32" s="17">
        <v>1364</v>
      </c>
      <c r="R32" s="17">
        <v>1386</v>
      </c>
      <c r="S32" s="17">
        <v>1432</v>
      </c>
      <c r="T32" s="17">
        <v>1467</v>
      </c>
      <c r="U32" s="17">
        <v>1494</v>
      </c>
      <c r="V32" s="17">
        <v>1534</v>
      </c>
      <c r="W32" s="17">
        <v>1495</v>
      </c>
      <c r="X32" s="17">
        <v>1481</v>
      </c>
      <c r="Y32" s="17">
        <v>1513</v>
      </c>
      <c r="Z32" s="22">
        <v>1575</v>
      </c>
      <c r="AA32" s="17">
        <v>1645</v>
      </c>
      <c r="AB32" s="17">
        <v>1709</v>
      </c>
      <c r="AC32" s="17">
        <v>1881</v>
      </c>
      <c r="AD32" s="17">
        <v>1838</v>
      </c>
      <c r="AE32" s="17">
        <v>1809</v>
      </c>
      <c r="AF32" s="17">
        <v>1793</v>
      </c>
      <c r="AG32" s="17">
        <v>1876</v>
      </c>
      <c r="AH32" s="17">
        <v>1950</v>
      </c>
      <c r="AI32" s="17">
        <v>2042</v>
      </c>
      <c r="AJ32" s="17">
        <v>2133</v>
      </c>
      <c r="AK32" s="17">
        <v>2194</v>
      </c>
      <c r="AL32" s="17">
        <v>2235</v>
      </c>
      <c r="AM32" s="76">
        <v>2290</v>
      </c>
      <c r="AN32" s="17">
        <v>2400</v>
      </c>
      <c r="AO32" s="16">
        <v>2444</v>
      </c>
      <c r="AP32" s="39">
        <v>2476</v>
      </c>
      <c r="AQ32" s="39">
        <v>2551</v>
      </c>
      <c r="AR32" s="39">
        <v>2630</v>
      </c>
      <c r="AS32" s="39">
        <v>2705</v>
      </c>
      <c r="AT32" s="39">
        <v>2772</v>
      </c>
      <c r="AU32" s="39">
        <v>2849</v>
      </c>
      <c r="AV32" s="39">
        <v>2896</v>
      </c>
      <c r="AW32" s="39">
        <v>2945</v>
      </c>
      <c r="AX32" s="39">
        <v>3091</v>
      </c>
      <c r="AY32" s="121">
        <v>3118</v>
      </c>
      <c r="AZ32" s="39">
        <v>3146</v>
      </c>
      <c r="BA32" s="39">
        <v>3145</v>
      </c>
      <c r="BB32" s="39">
        <v>3141</v>
      </c>
      <c r="BC32" s="39">
        <v>3195</v>
      </c>
      <c r="BD32" s="39">
        <v>3248</v>
      </c>
      <c r="BE32" s="39">
        <v>3277</v>
      </c>
      <c r="BF32" s="39">
        <v>3307</v>
      </c>
      <c r="BG32" s="39">
        <v>3387</v>
      </c>
      <c r="BH32" s="39">
        <v>3470</v>
      </c>
      <c r="BI32" s="39">
        <v>3421</v>
      </c>
      <c r="BJ32" s="39">
        <v>3690</v>
      </c>
      <c r="BK32" s="121">
        <v>3840</v>
      </c>
      <c r="BL32" s="39">
        <v>3858</v>
      </c>
      <c r="BM32" s="39">
        <v>3906</v>
      </c>
      <c r="BN32" s="39">
        <v>4005</v>
      </c>
      <c r="BO32" s="39">
        <v>4052</v>
      </c>
      <c r="BP32" s="39">
        <v>4078</v>
      </c>
      <c r="BQ32" s="39">
        <v>4128</v>
      </c>
      <c r="BR32" s="39">
        <v>4153</v>
      </c>
      <c r="BS32" s="39">
        <v>4244</v>
      </c>
      <c r="BT32" s="39">
        <v>4293</v>
      </c>
      <c r="BU32" s="39">
        <v>4337</v>
      </c>
      <c r="BV32" s="193">
        <v>4431</v>
      </c>
      <c r="BW32" s="121">
        <v>4445</v>
      </c>
      <c r="BX32" s="39">
        <v>4524</v>
      </c>
      <c r="BY32" s="39">
        <v>4560</v>
      </c>
      <c r="BZ32" s="39">
        <v>4593</v>
      </c>
      <c r="CA32" s="39">
        <v>4627</v>
      </c>
      <c r="CB32" s="39">
        <v>4662</v>
      </c>
      <c r="CC32" s="39">
        <v>4831</v>
      </c>
      <c r="CD32" s="39">
        <v>4795</v>
      </c>
      <c r="CE32" s="39">
        <v>4810</v>
      </c>
      <c r="CF32" s="39">
        <v>4878</v>
      </c>
      <c r="CG32" s="39">
        <v>4858</v>
      </c>
      <c r="CH32" s="39">
        <v>4815</v>
      </c>
      <c r="CI32" s="210">
        <v>4958</v>
      </c>
      <c r="CJ32" s="92">
        <v>5056</v>
      </c>
      <c r="CK32" s="92">
        <v>5114</v>
      </c>
      <c r="CL32" s="92">
        <f>5171</f>
        <v>5171</v>
      </c>
      <c r="CM32" s="92">
        <v>5232</v>
      </c>
      <c r="CN32" s="92">
        <v>5310</v>
      </c>
      <c r="CO32" s="92">
        <v>5460</v>
      </c>
      <c r="CP32" s="92">
        <v>5680</v>
      </c>
      <c r="CQ32" s="92">
        <v>5939</v>
      </c>
      <c r="CR32" s="92">
        <v>6134</v>
      </c>
      <c r="CS32" s="92">
        <v>6235</v>
      </c>
      <c r="CT32" s="93">
        <v>6361</v>
      </c>
      <c r="CU32" s="91">
        <v>6351</v>
      </c>
      <c r="CV32" s="92">
        <v>6402</v>
      </c>
      <c r="CW32" s="92">
        <v>6418</v>
      </c>
      <c r="CX32" s="92">
        <v>6502</v>
      </c>
      <c r="CY32" s="92">
        <v>6553</v>
      </c>
      <c r="CZ32" s="92">
        <v>6590</v>
      </c>
      <c r="DA32" s="92">
        <v>5614</v>
      </c>
      <c r="DB32" s="92">
        <v>6674</v>
      </c>
      <c r="DC32" s="92">
        <v>6714</v>
      </c>
      <c r="DD32" s="92">
        <v>6772</v>
      </c>
      <c r="DE32" s="92">
        <v>6848</v>
      </c>
      <c r="DF32" s="93">
        <v>6896</v>
      </c>
      <c r="DG32" s="275">
        <v>6949</v>
      </c>
      <c r="DH32" s="275">
        <v>7034</v>
      </c>
      <c r="DI32" s="275">
        <v>7061</v>
      </c>
      <c r="DJ32" s="275">
        <v>7138</v>
      </c>
      <c r="DK32" s="275">
        <v>7152</v>
      </c>
      <c r="DL32" s="275">
        <v>7184</v>
      </c>
      <c r="DM32" s="276">
        <v>7248</v>
      </c>
      <c r="DN32" s="332">
        <v>7242</v>
      </c>
      <c r="DO32" s="276">
        <v>7232</v>
      </c>
      <c r="DP32" s="69">
        <v>7231</v>
      </c>
      <c r="DQ32" s="69">
        <v>7241</v>
      </c>
      <c r="DR32" s="69">
        <v>7225</v>
      </c>
      <c r="DS32" s="284">
        <v>7302</v>
      </c>
      <c r="DT32" s="284">
        <v>7336</v>
      </c>
      <c r="DU32" s="284">
        <v>7364</v>
      </c>
      <c r="DV32" s="362">
        <v>7271</v>
      </c>
      <c r="DW32" s="362">
        <v>7438</v>
      </c>
      <c r="DX32" s="362">
        <v>7429</v>
      </c>
      <c r="DY32" s="362">
        <v>7627</v>
      </c>
      <c r="DZ32" s="297">
        <v>7703</v>
      </c>
      <c r="EA32" s="297">
        <v>7761</v>
      </c>
      <c r="EB32" s="276">
        <v>7716</v>
      </c>
      <c r="EC32" s="276">
        <v>7751</v>
      </c>
      <c r="ED32" s="276">
        <v>7790</v>
      </c>
      <c r="EE32" s="276">
        <v>7820</v>
      </c>
      <c r="EF32" s="276">
        <v>7846</v>
      </c>
      <c r="EG32" s="276">
        <v>7931</v>
      </c>
      <c r="EH32" s="287">
        <v>7950</v>
      </c>
      <c r="EI32" s="287">
        <v>7922</v>
      </c>
      <c r="EJ32" s="287">
        <v>7977</v>
      </c>
      <c r="EK32" s="284">
        <v>7963</v>
      </c>
      <c r="EL32" s="284">
        <v>7980</v>
      </c>
      <c r="EM32" s="284">
        <v>7958</v>
      </c>
      <c r="EN32" s="284">
        <v>7944</v>
      </c>
      <c r="EO32" s="284">
        <v>8423</v>
      </c>
      <c r="EP32" s="284">
        <v>7989</v>
      </c>
      <c r="EQ32" s="284">
        <v>8314</v>
      </c>
      <c r="ER32" s="284">
        <v>8150</v>
      </c>
      <c r="ES32" s="284">
        <v>8180</v>
      </c>
      <c r="ET32" s="284">
        <v>8231</v>
      </c>
      <c r="EU32" s="284">
        <v>8253</v>
      </c>
      <c r="EV32" s="284">
        <v>8171</v>
      </c>
      <c r="EW32" s="284">
        <v>8198</v>
      </c>
      <c r="EX32" s="284">
        <v>8202</v>
      </c>
      <c r="EY32" s="284">
        <v>8224</v>
      </c>
      <c r="EZ32" s="284">
        <v>8227</v>
      </c>
      <c r="FA32" s="284">
        <v>8233</v>
      </c>
      <c r="FB32" s="284">
        <v>8240</v>
      </c>
      <c r="FC32" s="284">
        <v>8279</v>
      </c>
      <c r="FD32" s="284">
        <v>8314</v>
      </c>
      <c r="FE32" s="284">
        <v>8327</v>
      </c>
      <c r="FF32" s="287">
        <v>8347</v>
      </c>
      <c r="FG32" s="287">
        <v>8372</v>
      </c>
      <c r="FH32" s="287">
        <v>8399</v>
      </c>
      <c r="FI32" s="287">
        <v>8427</v>
      </c>
      <c r="FJ32" s="287">
        <v>8424</v>
      </c>
      <c r="FK32" s="287">
        <v>8457</v>
      </c>
      <c r="FL32" s="287">
        <v>8431</v>
      </c>
      <c r="FM32" s="287">
        <v>8453</v>
      </c>
      <c r="FN32" s="287">
        <v>8495</v>
      </c>
      <c r="FO32" s="287">
        <v>8494</v>
      </c>
      <c r="FP32" s="287">
        <v>8535</v>
      </c>
      <c r="FQ32" s="287">
        <v>8581</v>
      </c>
      <c r="FR32" s="287">
        <v>8595</v>
      </c>
      <c r="FS32" s="287">
        <v>8590</v>
      </c>
      <c r="FT32" s="287">
        <v>8605</v>
      </c>
    </row>
    <row r="33" spans="2:182" ht="13.5" customHeight="1" thickTop="1" x14ac:dyDescent="0.25">
      <c r="B33" s="3" t="s">
        <v>9</v>
      </c>
      <c r="C33" s="25">
        <f t="shared" ref="C33:Q33" si="143">SUM(C31:C32)</f>
        <v>25208</v>
      </c>
      <c r="D33" s="8">
        <f t="shared" si="143"/>
        <v>25263</v>
      </c>
      <c r="E33" s="8">
        <f t="shared" si="143"/>
        <v>32269</v>
      </c>
      <c r="F33" s="8">
        <f t="shared" si="143"/>
        <v>32259</v>
      </c>
      <c r="G33" s="8">
        <f t="shared" si="143"/>
        <v>31712</v>
      </c>
      <c r="H33" s="8">
        <f t="shared" si="143"/>
        <v>31655</v>
      </c>
      <c r="I33" s="8">
        <f t="shared" si="143"/>
        <v>31425</v>
      </c>
      <c r="J33" s="8">
        <f t="shared" si="143"/>
        <v>31174</v>
      </c>
      <c r="K33" s="35">
        <f t="shared" si="143"/>
        <v>30999</v>
      </c>
      <c r="L33" s="8">
        <f t="shared" si="143"/>
        <v>30814</v>
      </c>
      <c r="M33" s="8">
        <f t="shared" si="143"/>
        <v>30665</v>
      </c>
      <c r="N33" s="10">
        <f t="shared" si="143"/>
        <v>30551</v>
      </c>
      <c r="O33" s="35">
        <f t="shared" si="143"/>
        <v>30479</v>
      </c>
      <c r="P33" s="35">
        <f t="shared" si="143"/>
        <v>30309</v>
      </c>
      <c r="Q33" s="8">
        <f t="shared" si="143"/>
        <v>30144</v>
      </c>
      <c r="R33" s="8">
        <v>30118</v>
      </c>
      <c r="S33" s="8">
        <v>29784</v>
      </c>
      <c r="T33" s="8">
        <v>29528</v>
      </c>
      <c r="U33" s="8">
        <v>29210</v>
      </c>
      <c r="V33" s="8">
        <v>28972</v>
      </c>
      <c r="W33" s="8">
        <v>28714</v>
      </c>
      <c r="X33" s="8">
        <v>28543</v>
      </c>
      <c r="Y33" s="8">
        <v>28362</v>
      </c>
      <c r="Z33" s="9">
        <v>28175</v>
      </c>
      <c r="AA33" s="8">
        <v>28543</v>
      </c>
      <c r="AB33" s="8">
        <v>28362</v>
      </c>
      <c r="AC33" s="8">
        <f>AC31+AC32</f>
        <v>27818</v>
      </c>
      <c r="AD33" s="8">
        <f t="shared" ref="AD33:AM33" si="144">AD31+AD32</f>
        <v>27712</v>
      </c>
      <c r="AE33" s="8">
        <f t="shared" si="144"/>
        <v>27602</v>
      </c>
      <c r="AF33" s="8">
        <f t="shared" si="144"/>
        <v>27522</v>
      </c>
      <c r="AG33" s="8">
        <f t="shared" si="144"/>
        <v>27334</v>
      </c>
      <c r="AH33" s="8">
        <f t="shared" si="144"/>
        <v>27484</v>
      </c>
      <c r="AI33" s="8">
        <f t="shared" si="144"/>
        <v>27539</v>
      </c>
      <c r="AJ33" s="8">
        <f t="shared" si="144"/>
        <v>27332</v>
      </c>
      <c r="AK33" s="8">
        <f t="shared" si="144"/>
        <v>27289</v>
      </c>
      <c r="AL33" s="8">
        <f t="shared" si="144"/>
        <v>27220</v>
      </c>
      <c r="AM33" s="77">
        <f t="shared" si="144"/>
        <v>27085</v>
      </c>
      <c r="AN33" s="8">
        <f t="shared" ref="AN33:AU33" si="145">AN31+AN32</f>
        <v>27007</v>
      </c>
      <c r="AO33" s="80">
        <f t="shared" si="145"/>
        <v>26827</v>
      </c>
      <c r="AP33" s="80">
        <f t="shared" si="145"/>
        <v>26686</v>
      </c>
      <c r="AQ33" s="80">
        <f t="shared" si="145"/>
        <v>26571</v>
      </c>
      <c r="AR33" s="80">
        <f t="shared" si="145"/>
        <v>26517</v>
      </c>
      <c r="AS33" s="80">
        <f t="shared" si="145"/>
        <v>26410</v>
      </c>
      <c r="AT33" s="80">
        <f t="shared" si="145"/>
        <v>26213</v>
      </c>
      <c r="AU33" s="80">
        <f t="shared" si="145"/>
        <v>26119</v>
      </c>
      <c r="AV33" s="80">
        <f t="shared" ref="AV33:BA33" si="146">AV31+AV32</f>
        <v>25951</v>
      </c>
      <c r="AW33" s="80">
        <f t="shared" si="146"/>
        <v>25815</v>
      </c>
      <c r="AX33" s="80">
        <f t="shared" si="146"/>
        <v>25810</v>
      </c>
      <c r="AY33" s="194">
        <f t="shared" si="146"/>
        <v>25691</v>
      </c>
      <c r="AZ33" s="80">
        <f t="shared" si="146"/>
        <v>25544</v>
      </c>
      <c r="BA33" s="80">
        <f t="shared" si="146"/>
        <v>25437</v>
      </c>
      <c r="BB33" s="80">
        <f t="shared" ref="BB33:BG33" si="147">BB31+BB32</f>
        <v>25204</v>
      </c>
      <c r="BC33" s="80">
        <f t="shared" si="147"/>
        <v>25094</v>
      </c>
      <c r="BD33" s="80">
        <f t="shared" si="147"/>
        <v>24985</v>
      </c>
      <c r="BE33" s="80">
        <f t="shared" si="147"/>
        <v>24853</v>
      </c>
      <c r="BF33" s="80">
        <f t="shared" si="147"/>
        <v>24691</v>
      </c>
      <c r="BG33" s="80">
        <f t="shared" si="147"/>
        <v>24528</v>
      </c>
      <c r="BH33" s="80">
        <f t="shared" ref="BH33:BV33" si="148">BH31+BH32</f>
        <v>24362</v>
      </c>
      <c r="BI33" s="80">
        <f t="shared" si="148"/>
        <v>23401</v>
      </c>
      <c r="BJ33" s="80">
        <f t="shared" si="148"/>
        <v>24116</v>
      </c>
      <c r="BK33" s="194">
        <f t="shared" si="148"/>
        <v>24032</v>
      </c>
      <c r="BL33" s="80">
        <f t="shared" si="148"/>
        <v>23814</v>
      </c>
      <c r="BM33" s="80">
        <f t="shared" si="148"/>
        <v>23666</v>
      </c>
      <c r="BN33" s="80">
        <f t="shared" si="148"/>
        <v>23593</v>
      </c>
      <c r="BO33" s="80">
        <f t="shared" si="148"/>
        <v>23479</v>
      </c>
      <c r="BP33" s="80">
        <f t="shared" si="148"/>
        <v>23395</v>
      </c>
      <c r="BQ33" s="80">
        <f t="shared" si="148"/>
        <v>23373</v>
      </c>
      <c r="BR33" s="80">
        <f t="shared" si="148"/>
        <v>23231</v>
      </c>
      <c r="BS33" s="80">
        <f t="shared" si="148"/>
        <v>23123</v>
      </c>
      <c r="BT33" s="80">
        <f t="shared" si="148"/>
        <v>22993</v>
      </c>
      <c r="BU33" s="80">
        <f t="shared" si="148"/>
        <v>22915</v>
      </c>
      <c r="BV33" s="10">
        <f t="shared" si="148"/>
        <v>22918</v>
      </c>
      <c r="BW33" s="194">
        <f t="shared" ref="BW33:CB33" si="149">BW31+BW32</f>
        <v>22819</v>
      </c>
      <c r="BX33" s="80">
        <f t="shared" si="149"/>
        <v>22784</v>
      </c>
      <c r="BY33" s="80">
        <f t="shared" si="149"/>
        <v>22626</v>
      </c>
      <c r="BZ33" s="80">
        <f t="shared" si="149"/>
        <v>22543</v>
      </c>
      <c r="CA33" s="80">
        <f t="shared" si="149"/>
        <v>22448</v>
      </c>
      <c r="CB33" s="80">
        <f t="shared" si="149"/>
        <v>22329</v>
      </c>
      <c r="CC33" s="80">
        <f t="shared" ref="CC33:CH33" si="150">CC31+CC32</f>
        <v>22329</v>
      </c>
      <c r="CD33" s="80">
        <f t="shared" si="150"/>
        <v>22150</v>
      </c>
      <c r="CE33" s="80">
        <f t="shared" si="150"/>
        <v>22001</v>
      </c>
      <c r="CF33" s="80">
        <f t="shared" si="150"/>
        <v>21965</v>
      </c>
      <c r="CG33" s="80">
        <f t="shared" si="150"/>
        <v>21854</v>
      </c>
      <c r="CH33" s="80">
        <f t="shared" si="150"/>
        <v>21663</v>
      </c>
      <c r="CI33" s="115">
        <f>SUM(CI31:CI32)</f>
        <v>21655</v>
      </c>
      <c r="CJ33" s="94">
        <f>SUM(CJ31:CJ32)</f>
        <v>21602</v>
      </c>
      <c r="CK33" s="94">
        <f>SUM(CK31:CK32)</f>
        <v>21517</v>
      </c>
      <c r="CL33" s="94">
        <f t="shared" ref="CL33:CT33" si="151">SUM(CL31:CL32)</f>
        <v>21443</v>
      </c>
      <c r="CM33" s="94">
        <f t="shared" si="151"/>
        <v>21414</v>
      </c>
      <c r="CN33" s="94">
        <f t="shared" si="151"/>
        <v>21330</v>
      </c>
      <c r="CO33" s="94">
        <f t="shared" si="151"/>
        <v>21378</v>
      </c>
      <c r="CP33" s="94">
        <f t="shared" si="151"/>
        <v>21606</v>
      </c>
      <c r="CQ33" s="94">
        <f t="shared" si="151"/>
        <v>21834</v>
      </c>
      <c r="CR33" s="94">
        <f t="shared" si="151"/>
        <v>21910</v>
      </c>
      <c r="CS33" s="94">
        <f t="shared" si="151"/>
        <v>21871</v>
      </c>
      <c r="CT33" s="107">
        <f t="shared" si="151"/>
        <v>21817</v>
      </c>
      <c r="CU33" s="95">
        <f t="shared" ref="CU33:DJ33" si="152">SUM(CU31:CU32)</f>
        <v>21628</v>
      </c>
      <c r="CV33" s="95">
        <f t="shared" si="152"/>
        <v>21536</v>
      </c>
      <c r="CW33" s="95">
        <f t="shared" si="152"/>
        <v>21368</v>
      </c>
      <c r="CX33" s="95">
        <f t="shared" si="152"/>
        <v>21417</v>
      </c>
      <c r="CY33" s="95">
        <f t="shared" si="152"/>
        <v>21332</v>
      </c>
      <c r="CZ33" s="95">
        <f t="shared" si="152"/>
        <v>21278</v>
      </c>
      <c r="DA33" s="95">
        <f t="shared" si="152"/>
        <v>20172</v>
      </c>
      <c r="DB33" s="95">
        <f t="shared" si="152"/>
        <v>21126</v>
      </c>
      <c r="DC33" s="95">
        <f t="shared" si="152"/>
        <v>21017</v>
      </c>
      <c r="DD33" s="95">
        <f t="shared" si="152"/>
        <v>20956</v>
      </c>
      <c r="DE33" s="95">
        <f t="shared" si="152"/>
        <v>20912</v>
      </c>
      <c r="DF33" s="107">
        <f t="shared" si="152"/>
        <v>20850</v>
      </c>
      <c r="DG33" s="95">
        <f t="shared" si="152"/>
        <v>20818</v>
      </c>
      <c r="DH33" s="95">
        <f t="shared" si="152"/>
        <v>20748</v>
      </c>
      <c r="DI33" s="95">
        <f t="shared" si="152"/>
        <v>20679</v>
      </c>
      <c r="DJ33" s="95">
        <f t="shared" si="152"/>
        <v>20680</v>
      </c>
      <c r="DK33" s="95">
        <f t="shared" ref="DK33:FQ33" si="153">SUM(DK31:DK32)</f>
        <v>20590</v>
      </c>
      <c r="DL33" s="95">
        <f t="shared" si="153"/>
        <v>20545</v>
      </c>
      <c r="DM33" s="95">
        <f t="shared" si="153"/>
        <v>20562</v>
      </c>
      <c r="DN33" s="95">
        <f t="shared" si="153"/>
        <v>20489</v>
      </c>
      <c r="DO33" s="95">
        <f t="shared" si="153"/>
        <v>20381</v>
      </c>
      <c r="DP33" s="95">
        <f t="shared" si="153"/>
        <v>20312</v>
      </c>
      <c r="DQ33" s="95">
        <f t="shared" si="153"/>
        <v>20264</v>
      </c>
      <c r="DR33" s="95">
        <f t="shared" si="153"/>
        <v>20174</v>
      </c>
      <c r="DS33" s="95">
        <f t="shared" si="153"/>
        <v>20177</v>
      </c>
      <c r="DT33" s="95">
        <f t="shared" si="153"/>
        <v>20133</v>
      </c>
      <c r="DU33" s="95">
        <f t="shared" si="153"/>
        <v>20107</v>
      </c>
      <c r="DV33" s="355">
        <f t="shared" si="153"/>
        <v>19818</v>
      </c>
      <c r="DW33" s="355">
        <f t="shared" si="153"/>
        <v>20021</v>
      </c>
      <c r="DX33" s="355">
        <f t="shared" si="153"/>
        <v>19953</v>
      </c>
      <c r="DY33" s="355">
        <f t="shared" si="153"/>
        <v>20043</v>
      </c>
      <c r="DZ33" s="355">
        <f t="shared" si="153"/>
        <v>19998</v>
      </c>
      <c r="EA33" s="355">
        <f t="shared" si="153"/>
        <v>19996</v>
      </c>
      <c r="EB33" s="355">
        <f t="shared" si="153"/>
        <v>19884</v>
      </c>
      <c r="EC33" s="355">
        <f t="shared" si="153"/>
        <v>19821</v>
      </c>
      <c r="ED33" s="355">
        <f t="shared" si="153"/>
        <v>19783</v>
      </c>
      <c r="EE33" s="355">
        <f t="shared" si="153"/>
        <v>19768</v>
      </c>
      <c r="EF33" s="355">
        <f t="shared" si="153"/>
        <v>19695</v>
      </c>
      <c r="EG33" s="355">
        <f t="shared" si="153"/>
        <v>19716</v>
      </c>
      <c r="EH33" s="355">
        <f t="shared" si="153"/>
        <v>19704</v>
      </c>
      <c r="EI33" s="355">
        <f t="shared" si="153"/>
        <v>19596</v>
      </c>
      <c r="EJ33" s="355">
        <f t="shared" si="153"/>
        <v>19597</v>
      </c>
      <c r="EK33" s="355">
        <f t="shared" si="153"/>
        <v>19530</v>
      </c>
      <c r="EL33" s="355">
        <f t="shared" si="153"/>
        <v>19524</v>
      </c>
      <c r="EM33" s="355">
        <f t="shared" si="153"/>
        <v>19461</v>
      </c>
      <c r="EN33" s="355">
        <f t="shared" si="153"/>
        <v>19398</v>
      </c>
      <c r="EO33" s="355">
        <f t="shared" si="153"/>
        <v>19828</v>
      </c>
      <c r="EP33" s="355">
        <f t="shared" si="153"/>
        <v>19348</v>
      </c>
      <c r="EQ33" s="355">
        <f t="shared" si="153"/>
        <v>19627</v>
      </c>
      <c r="ER33" s="355">
        <f t="shared" si="153"/>
        <v>19352</v>
      </c>
      <c r="ES33" s="355">
        <f t="shared" si="153"/>
        <v>19272</v>
      </c>
      <c r="ET33" s="355">
        <f t="shared" si="153"/>
        <v>19289</v>
      </c>
      <c r="EU33" s="355">
        <f t="shared" si="153"/>
        <v>19310</v>
      </c>
      <c r="EV33" s="355">
        <f t="shared" si="153"/>
        <v>19193</v>
      </c>
      <c r="EW33" s="355">
        <f t="shared" si="153"/>
        <v>19190</v>
      </c>
      <c r="EX33" s="355">
        <f t="shared" si="153"/>
        <v>19132</v>
      </c>
      <c r="EY33" s="355">
        <f t="shared" si="153"/>
        <v>19115</v>
      </c>
      <c r="EZ33" s="355">
        <f t="shared" si="153"/>
        <v>19076</v>
      </c>
      <c r="FA33" s="355">
        <f t="shared" si="153"/>
        <v>19025</v>
      </c>
      <c r="FB33" s="355">
        <f t="shared" si="153"/>
        <v>18989</v>
      </c>
      <c r="FC33" s="355">
        <f t="shared" si="153"/>
        <v>18985</v>
      </c>
      <c r="FD33" s="355">
        <f t="shared" si="153"/>
        <v>18952</v>
      </c>
      <c r="FE33" s="355">
        <f t="shared" si="153"/>
        <v>18903</v>
      </c>
      <c r="FF33" s="355">
        <f t="shared" si="153"/>
        <v>18883</v>
      </c>
      <c r="FG33" s="355">
        <f t="shared" si="153"/>
        <v>18859</v>
      </c>
      <c r="FH33" s="355">
        <f t="shared" si="153"/>
        <v>18848</v>
      </c>
      <c r="FI33" s="355">
        <f t="shared" si="153"/>
        <v>18831</v>
      </c>
      <c r="FJ33" s="355">
        <f t="shared" si="153"/>
        <v>18771</v>
      </c>
      <c r="FK33" s="355">
        <f t="shared" si="153"/>
        <v>18748</v>
      </c>
      <c r="FL33" s="355">
        <f t="shared" si="153"/>
        <v>18685</v>
      </c>
      <c r="FM33" s="355">
        <f t="shared" si="153"/>
        <v>18665</v>
      </c>
      <c r="FN33" s="355">
        <f t="shared" si="153"/>
        <v>18656</v>
      </c>
      <c r="FO33" s="355">
        <f t="shared" si="153"/>
        <v>18601</v>
      </c>
      <c r="FP33" s="355">
        <f t="shared" si="153"/>
        <v>18604</v>
      </c>
      <c r="FQ33" s="355">
        <f t="shared" si="153"/>
        <v>18616</v>
      </c>
      <c r="FR33" s="355">
        <f t="shared" ref="FR33:FT33" si="154">SUM(FR31:FR32)</f>
        <v>18604</v>
      </c>
      <c r="FS33" s="355">
        <f t="shared" si="154"/>
        <v>18579</v>
      </c>
      <c r="FT33" s="355">
        <f t="shared" si="154"/>
        <v>18572</v>
      </c>
    </row>
    <row r="34" spans="2:182" ht="13.5" customHeight="1" x14ac:dyDescent="0.25">
      <c r="B34" s="3" t="s">
        <v>10</v>
      </c>
      <c r="C34" s="26">
        <f t="shared" ref="C34:Q34" si="155">SUM(C31)/C33</f>
        <v>0.99785782291336089</v>
      </c>
      <c r="D34" s="14">
        <f t="shared" si="155"/>
        <v>0.99568538970035225</v>
      </c>
      <c r="E34" s="14">
        <f t="shared" si="155"/>
        <v>0.99439090148439679</v>
      </c>
      <c r="F34" s="14">
        <f t="shared" si="155"/>
        <v>0.99321119687529058</v>
      </c>
      <c r="G34" s="14">
        <f t="shared" si="155"/>
        <v>0.99098133198789107</v>
      </c>
      <c r="H34" s="14">
        <f t="shared" si="155"/>
        <v>0.98840625493602907</v>
      </c>
      <c r="I34" s="14">
        <f t="shared" si="155"/>
        <v>0.98332537788385044</v>
      </c>
      <c r="J34" s="14">
        <f t="shared" si="155"/>
        <v>0.96933341887470326</v>
      </c>
      <c r="K34" s="36">
        <f t="shared" si="155"/>
        <v>0.96719249008032515</v>
      </c>
      <c r="L34" s="14">
        <f t="shared" si="155"/>
        <v>0.96534042967482314</v>
      </c>
      <c r="M34" s="14">
        <f t="shared" si="155"/>
        <v>0.96328061307679769</v>
      </c>
      <c r="N34" s="23">
        <f t="shared" si="155"/>
        <v>0.96134332755065299</v>
      </c>
      <c r="O34" s="36">
        <f t="shared" si="155"/>
        <v>0.9614160569572493</v>
      </c>
      <c r="P34" s="36">
        <f t="shared" si="155"/>
        <v>0.95753736513906762</v>
      </c>
      <c r="Q34" s="14">
        <f t="shared" si="155"/>
        <v>0.9547505307855626</v>
      </c>
      <c r="R34" s="14">
        <f>SUM(R31)/R33</f>
        <v>0.95398100803506214</v>
      </c>
      <c r="S34" s="14">
        <f>SUM(S31)/S33</f>
        <v>0.95192049422508729</v>
      </c>
      <c r="T34" s="14">
        <f>SUM(T31)/T33</f>
        <v>0.95031834191276077</v>
      </c>
      <c r="U34" s="14">
        <f t="shared" ref="U34:Z34" si="156">SUM(U31)/U33</f>
        <v>0.94885313248887371</v>
      </c>
      <c r="V34" s="14">
        <f t="shared" si="156"/>
        <v>0.94705232638409498</v>
      </c>
      <c r="W34" s="14">
        <f t="shared" si="156"/>
        <v>0.94793480532144603</v>
      </c>
      <c r="X34" s="14">
        <f t="shared" si="156"/>
        <v>0.94811337280594188</v>
      </c>
      <c r="Y34" s="14">
        <f t="shared" si="156"/>
        <v>0.94665397362668358</v>
      </c>
      <c r="Z34" s="23">
        <f t="shared" si="156"/>
        <v>0.94409937888198758</v>
      </c>
      <c r="AA34" s="14">
        <f t="shared" ref="AA34:AF34" si="157">SUM(AA31)/AA33</f>
        <v>0.92386924990365415</v>
      </c>
      <c r="AB34" s="14">
        <f t="shared" si="157"/>
        <v>0.92493477187786477</v>
      </c>
      <c r="AC34" s="14">
        <f t="shared" si="157"/>
        <v>0.93238191099288226</v>
      </c>
      <c r="AD34" s="14">
        <f t="shared" si="157"/>
        <v>0.93367494226327941</v>
      </c>
      <c r="AE34" s="14">
        <f t="shared" si="157"/>
        <v>0.93446127092239695</v>
      </c>
      <c r="AF34" s="14">
        <f t="shared" si="157"/>
        <v>0.93485211830535575</v>
      </c>
      <c r="AG34" s="14">
        <f t="shared" ref="AG34:AL34" si="158">SUM(AG31)/AG33</f>
        <v>0.9313675276212775</v>
      </c>
      <c r="AH34" s="14">
        <f t="shared" si="158"/>
        <v>0.92904962887498177</v>
      </c>
      <c r="AI34" s="14">
        <f t="shared" si="158"/>
        <v>0.92585061185954465</v>
      </c>
      <c r="AJ34" s="14">
        <f t="shared" si="158"/>
        <v>0.92195960778574559</v>
      </c>
      <c r="AK34" s="14">
        <f t="shared" si="158"/>
        <v>0.91960130455494893</v>
      </c>
      <c r="AL34" s="14">
        <f t="shared" si="158"/>
        <v>0.9178912564290963</v>
      </c>
      <c r="AM34" s="78">
        <f t="shared" ref="AM34:AR34" si="159">SUM(AM31)/AM33</f>
        <v>0.91545135683957912</v>
      </c>
      <c r="AN34" s="14">
        <f t="shared" si="159"/>
        <v>0.91113415040545043</v>
      </c>
      <c r="AO34" s="14">
        <f t="shared" si="159"/>
        <v>0.90889775226450964</v>
      </c>
      <c r="AP34" s="14">
        <f t="shared" si="159"/>
        <v>0.90721726748107623</v>
      </c>
      <c r="AQ34" s="14">
        <f t="shared" si="159"/>
        <v>0.90399307515712624</v>
      </c>
      <c r="AR34" s="14">
        <f t="shared" si="159"/>
        <v>0.90081834294980578</v>
      </c>
      <c r="AS34" s="14">
        <f t="shared" ref="AS34:AX34" si="160">SUM(AS31)/AS33</f>
        <v>0.89757667550170395</v>
      </c>
      <c r="AT34" s="14">
        <f t="shared" si="160"/>
        <v>0.89425094418799833</v>
      </c>
      <c r="AU34" s="14">
        <f t="shared" si="160"/>
        <v>0.89092231708717795</v>
      </c>
      <c r="AV34" s="14">
        <f t="shared" si="160"/>
        <v>0.88840507109552613</v>
      </c>
      <c r="AW34" s="14">
        <f t="shared" si="160"/>
        <v>0.8859190393182258</v>
      </c>
      <c r="AX34" s="14">
        <f t="shared" si="160"/>
        <v>0.88024021697016663</v>
      </c>
      <c r="AY34" s="78">
        <f t="shared" ref="AY34:BD34" si="161">SUM(AY31)/AY33</f>
        <v>0.87863454127904717</v>
      </c>
      <c r="AZ34" s="14">
        <f t="shared" si="161"/>
        <v>0.87683996241778894</v>
      </c>
      <c r="BA34" s="14">
        <f t="shared" si="161"/>
        <v>0.87636120611707358</v>
      </c>
      <c r="BB34" s="14">
        <f t="shared" si="161"/>
        <v>0.87537692429773051</v>
      </c>
      <c r="BC34" s="14">
        <f t="shared" si="161"/>
        <v>0.87267872798278467</v>
      </c>
      <c r="BD34" s="14">
        <f t="shared" si="161"/>
        <v>0.87000200120072047</v>
      </c>
      <c r="BE34" s="14">
        <f t="shared" ref="BE34:BJ34" si="162">SUM(BE31)/BE33</f>
        <v>0.86814469078179701</v>
      </c>
      <c r="BF34" s="14">
        <f t="shared" si="162"/>
        <v>0.86606455793609005</v>
      </c>
      <c r="BG34" s="14">
        <f t="shared" si="162"/>
        <v>0.86191291585127205</v>
      </c>
      <c r="BH34" s="14">
        <f t="shared" si="162"/>
        <v>0.85756506033987356</v>
      </c>
      <c r="BI34" s="14">
        <f t="shared" si="162"/>
        <v>0.8538096662535789</v>
      </c>
      <c r="BJ34" s="14">
        <f t="shared" si="162"/>
        <v>0.8469895505058882</v>
      </c>
      <c r="BK34" s="78">
        <f t="shared" ref="BK34:BV34" si="163">SUM(BK31)/BK33</f>
        <v>0.84021304926764317</v>
      </c>
      <c r="BL34" s="14">
        <f t="shared" si="163"/>
        <v>0.83799445704207609</v>
      </c>
      <c r="BM34" s="14">
        <f t="shared" si="163"/>
        <v>0.83495309727034561</v>
      </c>
      <c r="BN34" s="14">
        <f t="shared" si="163"/>
        <v>0.8302462594837452</v>
      </c>
      <c r="BO34" s="14">
        <f t="shared" si="163"/>
        <v>0.82742024788108526</v>
      </c>
      <c r="BP34" s="14">
        <f t="shared" si="163"/>
        <v>0.82568924983970937</v>
      </c>
      <c r="BQ34" s="14">
        <f t="shared" si="163"/>
        <v>0.82338595815684767</v>
      </c>
      <c r="BR34" s="14">
        <f t="shared" si="163"/>
        <v>0.82123025267960914</v>
      </c>
      <c r="BS34" s="14">
        <f t="shared" si="163"/>
        <v>0.81645980192881551</v>
      </c>
      <c r="BT34" s="14">
        <f t="shared" si="163"/>
        <v>0.81329100160918544</v>
      </c>
      <c r="BU34" s="14">
        <f t="shared" si="163"/>
        <v>0.81073532620554223</v>
      </c>
      <c r="BV34" s="23">
        <f t="shared" si="163"/>
        <v>0.80665852168601104</v>
      </c>
      <c r="BW34" s="78">
        <f t="shared" ref="BW34:CB34" si="164">SUM(BW31)/BW33</f>
        <v>0.80520618782593456</v>
      </c>
      <c r="BX34" s="14">
        <f t="shared" si="164"/>
        <v>0.801439606741573</v>
      </c>
      <c r="BY34" s="14">
        <f t="shared" si="164"/>
        <v>0.79846194643330681</v>
      </c>
      <c r="BZ34" s="14">
        <f t="shared" si="164"/>
        <v>0.79625604400479089</v>
      </c>
      <c r="CA34" s="14">
        <f t="shared" si="164"/>
        <v>0.79387918745545261</v>
      </c>
      <c r="CB34" s="14">
        <f t="shared" si="164"/>
        <v>0.79121322047561471</v>
      </c>
      <c r="CC34" s="14">
        <f t="shared" ref="CC34:CH34" si="165">SUM(CC31)/CC33</f>
        <v>0.78364458775583323</v>
      </c>
      <c r="CD34" s="14">
        <f t="shared" si="165"/>
        <v>0.78352144469525964</v>
      </c>
      <c r="CE34" s="14">
        <f t="shared" si="165"/>
        <v>0.78137357392845774</v>
      </c>
      <c r="CF34" s="14">
        <f t="shared" si="165"/>
        <v>0.77791941725472347</v>
      </c>
      <c r="CG34" s="14">
        <f t="shared" si="165"/>
        <v>0.77770659833440103</v>
      </c>
      <c r="CH34" s="14">
        <f t="shared" si="165"/>
        <v>0.77773161611965103</v>
      </c>
      <c r="CI34" s="248">
        <f>SUM(CI31)/CI33</f>
        <v>0.77104594781805591</v>
      </c>
      <c r="CJ34" s="240">
        <f>SUM(CJ31)/CJ33</f>
        <v>0.76594759744468099</v>
      </c>
      <c r="CK34" s="240">
        <f>SUM(CK31)/CK33</f>
        <v>0.76232746200678536</v>
      </c>
      <c r="CL34" s="240">
        <f t="shared" ref="CL34:CQ34" si="166">SUM(CL31)/CL33</f>
        <v>0.75884904164529221</v>
      </c>
      <c r="CM34" s="240">
        <f t="shared" si="166"/>
        <v>0.75567385822359201</v>
      </c>
      <c r="CN34" s="240">
        <f t="shared" si="166"/>
        <v>0.75105485232067515</v>
      </c>
      <c r="CO34" s="240">
        <f t="shared" si="166"/>
        <v>0.74459724950884087</v>
      </c>
      <c r="CP34" s="240">
        <f t="shared" si="166"/>
        <v>0.73711006201980933</v>
      </c>
      <c r="CQ34" s="240">
        <f t="shared" si="166"/>
        <v>0.72799303838050744</v>
      </c>
      <c r="CR34" s="240">
        <f t="shared" ref="CR34:DJ34" si="167">SUM(CR31)/CR33</f>
        <v>0.72003651300775906</v>
      </c>
      <c r="CS34" s="240">
        <f t="shared" si="167"/>
        <v>0.71491929952905675</v>
      </c>
      <c r="CT34" s="241">
        <f t="shared" si="167"/>
        <v>0.70843837374524454</v>
      </c>
      <c r="CU34" s="240">
        <f t="shared" si="167"/>
        <v>0.706352875901609</v>
      </c>
      <c r="CV34" s="240">
        <f t="shared" si="167"/>
        <v>0.70273031203566116</v>
      </c>
      <c r="CW34" s="240">
        <f t="shared" si="167"/>
        <v>0.69964432796705356</v>
      </c>
      <c r="CX34" s="240">
        <f t="shared" si="167"/>
        <v>0.69640939440631278</v>
      </c>
      <c r="CY34" s="240">
        <f t="shared" si="167"/>
        <v>0.69280892555784734</v>
      </c>
      <c r="CZ34" s="240">
        <f t="shared" si="167"/>
        <v>0.69029044083090518</v>
      </c>
      <c r="DA34" s="240">
        <f t="shared" si="167"/>
        <v>0.72169343644655959</v>
      </c>
      <c r="DB34" s="240">
        <f t="shared" si="167"/>
        <v>0.6840859604279087</v>
      </c>
      <c r="DC34" s="240">
        <f t="shared" si="167"/>
        <v>0.68054432126373887</v>
      </c>
      <c r="DD34" s="240">
        <f t="shared" si="167"/>
        <v>0.67684672647451805</v>
      </c>
      <c r="DE34" s="240">
        <f t="shared" si="167"/>
        <v>0.67253251721499618</v>
      </c>
      <c r="DF34" s="241">
        <f t="shared" si="167"/>
        <v>0.66925659472422061</v>
      </c>
      <c r="DG34" s="314">
        <f t="shared" si="167"/>
        <v>0.66620232491113462</v>
      </c>
      <c r="DH34" s="314">
        <f t="shared" si="167"/>
        <v>0.66097937150568731</v>
      </c>
      <c r="DI34" s="314">
        <f t="shared" si="167"/>
        <v>0.65854248271192994</v>
      </c>
      <c r="DJ34" s="314">
        <f t="shared" si="167"/>
        <v>0.65483558994197288</v>
      </c>
      <c r="DK34" s="314">
        <f t="shared" ref="DK34:FQ34" si="168">SUM(DK31)/DK33</f>
        <v>0.65264691597863045</v>
      </c>
      <c r="DL34" s="314">
        <f t="shared" si="168"/>
        <v>0.65032854709174981</v>
      </c>
      <c r="DM34" s="314">
        <f t="shared" si="168"/>
        <v>0.6475051065071491</v>
      </c>
      <c r="DN34" s="314">
        <f t="shared" si="168"/>
        <v>0.646542046952023</v>
      </c>
      <c r="DO34" s="314">
        <f t="shared" si="168"/>
        <v>0.64515970757077667</v>
      </c>
      <c r="DP34" s="314">
        <f t="shared" si="168"/>
        <v>0.64400354470263887</v>
      </c>
      <c r="DQ34" s="314">
        <f t="shared" si="168"/>
        <v>0.64266679826292938</v>
      </c>
      <c r="DR34" s="314">
        <f t="shared" si="168"/>
        <v>0.64186576781996629</v>
      </c>
      <c r="DS34" s="314">
        <f t="shared" si="168"/>
        <v>0.63810279030579375</v>
      </c>
      <c r="DT34" s="314">
        <f t="shared" si="168"/>
        <v>0.63562310634282027</v>
      </c>
      <c r="DU34" s="314">
        <f t="shared" si="168"/>
        <v>0.63375938727806236</v>
      </c>
      <c r="DV34" s="356">
        <f t="shared" si="168"/>
        <v>0.63311131294782519</v>
      </c>
      <c r="DW34" s="356">
        <f t="shared" si="168"/>
        <v>0.62849008541031914</v>
      </c>
      <c r="DX34" s="356">
        <f t="shared" si="168"/>
        <v>0.62767503633538813</v>
      </c>
      <c r="DY34" s="356">
        <f t="shared" si="168"/>
        <v>0.61946814349149326</v>
      </c>
      <c r="DZ34" s="356">
        <f t="shared" si="168"/>
        <v>0.61481148114811479</v>
      </c>
      <c r="EA34" s="356">
        <f t="shared" si="168"/>
        <v>0.61187237447489495</v>
      </c>
      <c r="EB34" s="356">
        <f t="shared" si="168"/>
        <v>0.61194930597465302</v>
      </c>
      <c r="EC34" s="356">
        <f t="shared" si="168"/>
        <v>0.60895010342565969</v>
      </c>
      <c r="ED34" s="356">
        <f t="shared" si="168"/>
        <v>0.6062275691250063</v>
      </c>
      <c r="EE34" s="356">
        <f t="shared" si="168"/>
        <v>0.60441116956697694</v>
      </c>
      <c r="EF34" s="356">
        <f t="shared" si="168"/>
        <v>0.60162477786240165</v>
      </c>
      <c r="EG34" s="356">
        <f t="shared" si="168"/>
        <v>0.59773787786569288</v>
      </c>
      <c r="EH34" s="356">
        <f t="shared" si="168"/>
        <v>0.59652862362971981</v>
      </c>
      <c r="EI34" s="356">
        <f t="shared" si="168"/>
        <v>0.59573382322923041</v>
      </c>
      <c r="EJ34" s="356">
        <f t="shared" si="168"/>
        <v>0.59294790018880439</v>
      </c>
      <c r="EK34" s="356">
        <f t="shared" si="168"/>
        <v>0.59226830517153095</v>
      </c>
      <c r="EL34" s="356">
        <f t="shared" si="168"/>
        <v>0.59127228027043643</v>
      </c>
      <c r="EM34" s="356">
        <f t="shared" si="168"/>
        <v>0.5910795950876111</v>
      </c>
      <c r="EN34" s="356">
        <f t="shared" si="168"/>
        <v>0.59047324466439843</v>
      </c>
      <c r="EO34" s="356">
        <f t="shared" si="168"/>
        <v>0.57519669154730679</v>
      </c>
      <c r="EP34" s="356">
        <f t="shared" si="168"/>
        <v>0.58708910481703536</v>
      </c>
      <c r="EQ34" s="356">
        <f t="shared" si="168"/>
        <v>0.57639985733937937</v>
      </c>
      <c r="ER34" s="356">
        <f t="shared" si="168"/>
        <v>0.57885489871847873</v>
      </c>
      <c r="ES34" s="356">
        <f t="shared" si="168"/>
        <v>0.57555002075550021</v>
      </c>
      <c r="ET34" s="356">
        <f t="shared" si="168"/>
        <v>0.57328010783348027</v>
      </c>
      <c r="EU34" s="356">
        <f t="shared" si="168"/>
        <v>0.57260486794407039</v>
      </c>
      <c r="EV34" s="356">
        <f t="shared" si="168"/>
        <v>0.57427186995258683</v>
      </c>
      <c r="EW34" s="356">
        <f t="shared" si="168"/>
        <v>0.57279833246482548</v>
      </c>
      <c r="EX34" s="356">
        <f t="shared" si="168"/>
        <v>0.57129416684089485</v>
      </c>
      <c r="EY34" s="356">
        <f t="shared" si="168"/>
        <v>0.56976196704159032</v>
      </c>
      <c r="EZ34" s="356">
        <f t="shared" si="168"/>
        <v>0.56872509960159368</v>
      </c>
      <c r="FA34" s="356">
        <f t="shared" si="168"/>
        <v>0.56725361366622862</v>
      </c>
      <c r="FB34" s="356">
        <f t="shared" si="168"/>
        <v>0.56606456369477065</v>
      </c>
      <c r="FC34" s="356">
        <f t="shared" si="168"/>
        <v>0.56391888332894391</v>
      </c>
      <c r="FD34" s="356">
        <f t="shared" si="168"/>
        <v>0.56131279020683833</v>
      </c>
      <c r="FE34" s="356">
        <f t="shared" si="168"/>
        <v>0.55948791197164471</v>
      </c>
      <c r="FF34" s="356">
        <f t="shared" si="168"/>
        <v>0.55796218821161891</v>
      </c>
      <c r="FG34" s="356">
        <f t="shared" si="168"/>
        <v>0.55607402301288511</v>
      </c>
      <c r="FH34" s="356">
        <f t="shared" si="168"/>
        <v>0.55438242784380309</v>
      </c>
      <c r="FI34" s="356">
        <f t="shared" si="168"/>
        <v>0.5524932292496415</v>
      </c>
      <c r="FJ34" s="356">
        <f t="shared" si="168"/>
        <v>0.55122263065366794</v>
      </c>
      <c r="FK34" s="356">
        <f t="shared" si="168"/>
        <v>0.54891188393428636</v>
      </c>
      <c r="FL34" s="356">
        <f t="shared" si="168"/>
        <v>0.54878244581214874</v>
      </c>
      <c r="FM34" s="356">
        <f t="shared" si="168"/>
        <v>0.54712027859630319</v>
      </c>
      <c r="FN34" s="356">
        <f t="shared" si="168"/>
        <v>0.54465051457975988</v>
      </c>
      <c r="FO34" s="356">
        <f t="shared" si="168"/>
        <v>0.54335788398473195</v>
      </c>
      <c r="FP34" s="356">
        <f t="shared" si="168"/>
        <v>0.54122769296925388</v>
      </c>
      <c r="FQ34" s="356">
        <f t="shared" si="168"/>
        <v>0.53905242801890851</v>
      </c>
      <c r="FR34" s="356">
        <f t="shared" ref="FR34:FT34" si="169">SUM(FR31)/FR33</f>
        <v>0.53800258009030311</v>
      </c>
      <c r="FS34" s="356">
        <f t="shared" si="169"/>
        <v>0.5376500349857366</v>
      </c>
      <c r="FT34" s="356">
        <f t="shared" si="169"/>
        <v>0.53666810251992247</v>
      </c>
    </row>
    <row r="35" spans="2:182" ht="13.5" customHeight="1" thickBot="1" x14ac:dyDescent="0.3">
      <c r="B35" s="4" t="s">
        <v>11</v>
      </c>
      <c r="C35" s="27">
        <f t="shared" ref="C35:Q35" si="170">SUM(C32/C33)</f>
        <v>2.1421770866391623E-3</v>
      </c>
      <c r="D35" s="15">
        <f t="shared" si="170"/>
        <v>4.3146102996477059E-3</v>
      </c>
      <c r="E35" s="15">
        <f t="shared" si="170"/>
        <v>5.6090985156032102E-3</v>
      </c>
      <c r="F35" s="15">
        <f t="shared" si="170"/>
        <v>6.7888031247093838E-3</v>
      </c>
      <c r="G35" s="15">
        <f t="shared" si="170"/>
        <v>9.018668012108981E-3</v>
      </c>
      <c r="H35" s="15">
        <f t="shared" si="170"/>
        <v>1.1593745063970937E-2</v>
      </c>
      <c r="I35" s="15">
        <f t="shared" si="170"/>
        <v>1.6674622116149562E-2</v>
      </c>
      <c r="J35" s="15">
        <f t="shared" si="170"/>
        <v>3.0666581125296723E-2</v>
      </c>
      <c r="K35" s="37">
        <f t="shared" si="170"/>
        <v>3.2807509919674828E-2</v>
      </c>
      <c r="L35" s="15">
        <f t="shared" si="170"/>
        <v>3.4659570325176865E-2</v>
      </c>
      <c r="M35" s="15">
        <f t="shared" si="170"/>
        <v>3.6719386923202348E-2</v>
      </c>
      <c r="N35" s="24">
        <f t="shared" si="170"/>
        <v>3.8656672449346993E-2</v>
      </c>
      <c r="O35" s="37">
        <f t="shared" si="170"/>
        <v>3.858394304275075E-2</v>
      </c>
      <c r="P35" s="37">
        <f t="shared" si="170"/>
        <v>4.2462634860932394E-2</v>
      </c>
      <c r="Q35" s="15">
        <f t="shared" si="170"/>
        <v>4.5249469214437364E-2</v>
      </c>
      <c r="R35" s="15">
        <f>SUM(R32/R33)</f>
        <v>4.601899196493791E-2</v>
      </c>
      <c r="S35" s="15">
        <f>SUM(S32/S33)</f>
        <v>4.8079505774912705E-2</v>
      </c>
      <c r="T35" s="15">
        <f>SUM(T32/T33)</f>
        <v>4.9681658087239233E-2</v>
      </c>
      <c r="U35" s="15">
        <f t="shared" ref="U35:Z35" si="171">SUM(U32/U33)</f>
        <v>5.1146867511126327E-2</v>
      </c>
      <c r="V35" s="15">
        <f t="shared" si="171"/>
        <v>5.2947673615905015E-2</v>
      </c>
      <c r="W35" s="15">
        <f t="shared" si="171"/>
        <v>5.2065194678554014E-2</v>
      </c>
      <c r="X35" s="15">
        <f t="shared" si="171"/>
        <v>5.1886627194058087E-2</v>
      </c>
      <c r="Y35" s="15">
        <f t="shared" si="171"/>
        <v>5.334602637331641E-2</v>
      </c>
      <c r="Z35" s="24">
        <f t="shared" si="171"/>
        <v>5.5900621118012424E-2</v>
      </c>
      <c r="AA35" s="15">
        <f t="shared" ref="AA35:AF35" si="172">SUM(AA32/AA33)</f>
        <v>5.7632344182461548E-2</v>
      </c>
      <c r="AB35" s="15">
        <f t="shared" si="172"/>
        <v>6.0256681475213313E-2</v>
      </c>
      <c r="AC35" s="15">
        <f t="shared" si="172"/>
        <v>6.7618089007117688E-2</v>
      </c>
      <c r="AD35" s="15">
        <f t="shared" si="172"/>
        <v>6.6325057736720552E-2</v>
      </c>
      <c r="AE35" s="15">
        <f t="shared" si="172"/>
        <v>6.5538729077603067E-2</v>
      </c>
      <c r="AF35" s="15">
        <f t="shared" si="172"/>
        <v>6.5147881694644291E-2</v>
      </c>
      <c r="AG35" s="15">
        <f t="shared" ref="AG35:AL35" si="173">SUM(AG32/AG33)</f>
        <v>6.863247237872247E-2</v>
      </c>
      <c r="AH35" s="15">
        <f t="shared" si="173"/>
        <v>7.0950371125018188E-2</v>
      </c>
      <c r="AI35" s="15">
        <f t="shared" si="173"/>
        <v>7.4149388140455352E-2</v>
      </c>
      <c r="AJ35" s="15">
        <f t="shared" si="173"/>
        <v>7.804039221425435E-2</v>
      </c>
      <c r="AK35" s="15">
        <f t="shared" si="173"/>
        <v>8.0398695445051113E-2</v>
      </c>
      <c r="AL35" s="15">
        <f t="shared" si="173"/>
        <v>8.2108743570903753E-2</v>
      </c>
      <c r="AM35" s="79">
        <f t="shared" ref="AM35:AR35" si="174">SUM(AM32/AM33)</f>
        <v>8.4548643160420892E-2</v>
      </c>
      <c r="AN35" s="15">
        <f t="shared" si="174"/>
        <v>8.8865849594549559E-2</v>
      </c>
      <c r="AO35" s="15">
        <f t="shared" si="174"/>
        <v>9.110224773549036E-2</v>
      </c>
      <c r="AP35" s="15">
        <f t="shared" si="174"/>
        <v>9.2782732518923786E-2</v>
      </c>
      <c r="AQ35" s="15">
        <f t="shared" si="174"/>
        <v>9.6006924842873806E-2</v>
      </c>
      <c r="AR35" s="15">
        <f t="shared" si="174"/>
        <v>9.9181657050194216E-2</v>
      </c>
      <c r="AS35" s="15">
        <f t="shared" ref="AS35:AX35" si="175">SUM(AS32/AS33)</f>
        <v>0.10242332449829609</v>
      </c>
      <c r="AT35" s="15">
        <f t="shared" si="175"/>
        <v>0.10574905581200168</v>
      </c>
      <c r="AU35" s="15">
        <f t="shared" si="175"/>
        <v>0.10907768291282208</v>
      </c>
      <c r="AV35" s="15">
        <f t="shared" si="175"/>
        <v>0.11159492890447381</v>
      </c>
      <c r="AW35" s="15">
        <f t="shared" si="175"/>
        <v>0.11408096068177416</v>
      </c>
      <c r="AX35" s="15">
        <f t="shared" si="175"/>
        <v>0.11975978302983339</v>
      </c>
      <c r="AY35" s="79">
        <f t="shared" ref="AY35:BD35" si="176">SUM(AY32/AY33)</f>
        <v>0.12136545872095286</v>
      </c>
      <c r="AZ35" s="15">
        <f t="shared" si="176"/>
        <v>0.12316003758221108</v>
      </c>
      <c r="BA35" s="15">
        <f t="shared" si="176"/>
        <v>0.12363879388292645</v>
      </c>
      <c r="BB35" s="15">
        <f t="shared" si="176"/>
        <v>0.12462307570226948</v>
      </c>
      <c r="BC35" s="15">
        <f t="shared" si="176"/>
        <v>0.12732127201721527</v>
      </c>
      <c r="BD35" s="15">
        <f t="shared" si="176"/>
        <v>0.12999799879927956</v>
      </c>
      <c r="BE35" s="15">
        <f t="shared" ref="BE35:BP35" si="177">SUM(BE32/BE33)</f>
        <v>0.13185530921820304</v>
      </c>
      <c r="BF35" s="15">
        <f t="shared" si="177"/>
        <v>0.13393544206390992</v>
      </c>
      <c r="BG35" s="15">
        <f t="shared" si="177"/>
        <v>0.13808708414872797</v>
      </c>
      <c r="BH35" s="15">
        <f t="shared" si="177"/>
        <v>0.14243493966012644</v>
      </c>
      <c r="BI35" s="15">
        <f t="shared" si="177"/>
        <v>0.1461903337464211</v>
      </c>
      <c r="BJ35" s="15">
        <f t="shared" si="177"/>
        <v>0.1530104494941118</v>
      </c>
      <c r="BK35" s="79">
        <f t="shared" si="177"/>
        <v>0.15978695073235685</v>
      </c>
      <c r="BL35" s="15">
        <f t="shared" si="177"/>
        <v>0.16200554295792391</v>
      </c>
      <c r="BM35" s="15">
        <f t="shared" si="177"/>
        <v>0.16504690272965436</v>
      </c>
      <c r="BN35" s="15">
        <f t="shared" si="177"/>
        <v>0.16975374051625483</v>
      </c>
      <c r="BO35" s="15">
        <f t="shared" si="177"/>
        <v>0.17257975211891477</v>
      </c>
      <c r="BP35" s="15">
        <f t="shared" si="177"/>
        <v>0.17431075016029066</v>
      </c>
      <c r="BQ35" s="15">
        <f t="shared" ref="BQ35:CB35" si="178">SUM(BQ32/BQ33)</f>
        <v>0.17661404184315235</v>
      </c>
      <c r="BR35" s="15">
        <f t="shared" si="178"/>
        <v>0.17876974732039086</v>
      </c>
      <c r="BS35" s="15">
        <f t="shared" si="178"/>
        <v>0.18354019807118455</v>
      </c>
      <c r="BT35" s="15">
        <f t="shared" si="178"/>
        <v>0.18670899839081459</v>
      </c>
      <c r="BU35" s="15">
        <f t="shared" si="178"/>
        <v>0.18926467379445777</v>
      </c>
      <c r="BV35" s="24">
        <f t="shared" si="178"/>
        <v>0.19334147831398901</v>
      </c>
      <c r="BW35" s="79">
        <f t="shared" si="178"/>
        <v>0.19479381217406547</v>
      </c>
      <c r="BX35" s="15">
        <f t="shared" si="178"/>
        <v>0.19856039325842698</v>
      </c>
      <c r="BY35" s="15">
        <f t="shared" si="178"/>
        <v>0.20153805356669319</v>
      </c>
      <c r="BZ35" s="15">
        <f t="shared" si="178"/>
        <v>0.20374395599520917</v>
      </c>
      <c r="CA35" s="15">
        <f t="shared" si="178"/>
        <v>0.20612081254454739</v>
      </c>
      <c r="CB35" s="15">
        <f t="shared" si="178"/>
        <v>0.20878677952438532</v>
      </c>
      <c r="CC35" s="15">
        <f t="shared" ref="CC35:CH35" si="179">SUM(CC32/CC33)</f>
        <v>0.21635541224416677</v>
      </c>
      <c r="CD35" s="15">
        <f t="shared" si="179"/>
        <v>0.21647855530474042</v>
      </c>
      <c r="CE35" s="15">
        <f t="shared" si="179"/>
        <v>0.2186264260715422</v>
      </c>
      <c r="CF35" s="15">
        <f t="shared" si="179"/>
        <v>0.22208058274527659</v>
      </c>
      <c r="CG35" s="15">
        <f t="shared" si="179"/>
        <v>0.22229340166559897</v>
      </c>
      <c r="CH35" s="15">
        <f t="shared" si="179"/>
        <v>0.22226838388034897</v>
      </c>
      <c r="CI35" s="250">
        <f>SUM(CI32/CI33)</f>
        <v>0.22895405218194412</v>
      </c>
      <c r="CJ35" s="245">
        <f>SUM(CJ32/CJ33)</f>
        <v>0.23405240255531895</v>
      </c>
      <c r="CK35" s="245">
        <f>SUM(CK32/CK33)</f>
        <v>0.23767253799321467</v>
      </c>
      <c r="CL35" s="245">
        <f t="shared" ref="CL35:CQ35" si="180">SUM(CL32/CL33)</f>
        <v>0.24115095835470782</v>
      </c>
      <c r="CM35" s="245">
        <f t="shared" si="180"/>
        <v>0.24432614177640796</v>
      </c>
      <c r="CN35" s="245">
        <f t="shared" si="180"/>
        <v>0.24894514767932491</v>
      </c>
      <c r="CO35" s="245">
        <f t="shared" si="180"/>
        <v>0.25540275049115913</v>
      </c>
      <c r="CP35" s="245">
        <f t="shared" si="180"/>
        <v>0.26288993798019067</v>
      </c>
      <c r="CQ35" s="245">
        <f t="shared" si="180"/>
        <v>0.27200696161949256</v>
      </c>
      <c r="CR35" s="245">
        <f t="shared" ref="CR35:DJ35" si="181">SUM(CR32/CR33)</f>
        <v>0.279963486992241</v>
      </c>
      <c r="CS35" s="245">
        <f t="shared" si="181"/>
        <v>0.28508070047094325</v>
      </c>
      <c r="CT35" s="246">
        <f t="shared" si="181"/>
        <v>0.29156162625475546</v>
      </c>
      <c r="CU35" s="245">
        <f t="shared" si="181"/>
        <v>0.293647124098391</v>
      </c>
      <c r="CV35" s="245">
        <f t="shared" si="181"/>
        <v>0.29726968796433878</v>
      </c>
      <c r="CW35" s="245">
        <f t="shared" si="181"/>
        <v>0.30035567203294644</v>
      </c>
      <c r="CX35" s="245">
        <f t="shared" si="181"/>
        <v>0.30359060559368728</v>
      </c>
      <c r="CY35" s="245">
        <f t="shared" si="181"/>
        <v>0.30719107444215266</v>
      </c>
      <c r="CZ35" s="245">
        <f t="shared" si="181"/>
        <v>0.30970955916909482</v>
      </c>
      <c r="DA35" s="245">
        <f t="shared" si="181"/>
        <v>0.27830656355344041</v>
      </c>
      <c r="DB35" s="245">
        <f t="shared" si="181"/>
        <v>0.31591403957209124</v>
      </c>
      <c r="DC35" s="245">
        <f t="shared" si="181"/>
        <v>0.31945567873626113</v>
      </c>
      <c r="DD35" s="245">
        <f t="shared" si="181"/>
        <v>0.32315327352548195</v>
      </c>
      <c r="DE35" s="245">
        <f t="shared" si="181"/>
        <v>0.32746748278500382</v>
      </c>
      <c r="DF35" s="246">
        <f t="shared" si="181"/>
        <v>0.33074340527577939</v>
      </c>
      <c r="DG35" s="315">
        <f t="shared" si="181"/>
        <v>0.33379767508886543</v>
      </c>
      <c r="DH35" s="315">
        <f t="shared" si="181"/>
        <v>0.33902062849431269</v>
      </c>
      <c r="DI35" s="315">
        <f t="shared" si="181"/>
        <v>0.34145751728807</v>
      </c>
      <c r="DJ35" s="315">
        <f t="shared" si="181"/>
        <v>0.34516441005802706</v>
      </c>
      <c r="DK35" s="315">
        <f t="shared" ref="DK35:FQ35" si="182">SUM(DK32/DK33)</f>
        <v>0.34735308402136961</v>
      </c>
      <c r="DL35" s="315">
        <f t="shared" si="182"/>
        <v>0.34967145290825019</v>
      </c>
      <c r="DM35" s="315">
        <f t="shared" si="182"/>
        <v>0.3524948934928509</v>
      </c>
      <c r="DN35" s="315">
        <f t="shared" si="182"/>
        <v>0.35345795304797695</v>
      </c>
      <c r="DO35" s="315">
        <f t="shared" si="182"/>
        <v>0.35484029242922327</v>
      </c>
      <c r="DP35" s="315">
        <f t="shared" si="182"/>
        <v>0.35599645529736118</v>
      </c>
      <c r="DQ35" s="315">
        <f t="shared" si="182"/>
        <v>0.35733320173707067</v>
      </c>
      <c r="DR35" s="315">
        <f t="shared" si="182"/>
        <v>0.35813423218003371</v>
      </c>
      <c r="DS35" s="315">
        <f t="shared" si="182"/>
        <v>0.3618972096942063</v>
      </c>
      <c r="DT35" s="315">
        <f t="shared" si="182"/>
        <v>0.36437689365717973</v>
      </c>
      <c r="DU35" s="315">
        <f t="shared" si="182"/>
        <v>0.36624061272193764</v>
      </c>
      <c r="DV35" s="357">
        <f t="shared" si="182"/>
        <v>0.36688868705217481</v>
      </c>
      <c r="DW35" s="357">
        <f t="shared" si="182"/>
        <v>0.37150991458968086</v>
      </c>
      <c r="DX35" s="357">
        <f t="shared" si="182"/>
        <v>0.37232496366461182</v>
      </c>
      <c r="DY35" s="357">
        <f t="shared" si="182"/>
        <v>0.38053185650850668</v>
      </c>
      <c r="DZ35" s="357">
        <f t="shared" si="182"/>
        <v>0.38518851885188521</v>
      </c>
      <c r="EA35" s="357">
        <f t="shared" si="182"/>
        <v>0.38812762552510505</v>
      </c>
      <c r="EB35" s="357">
        <f t="shared" si="182"/>
        <v>0.38805069402534703</v>
      </c>
      <c r="EC35" s="357">
        <f t="shared" si="182"/>
        <v>0.39104989657434036</v>
      </c>
      <c r="ED35" s="357">
        <f t="shared" si="182"/>
        <v>0.3937724308749937</v>
      </c>
      <c r="EE35" s="357">
        <f t="shared" si="182"/>
        <v>0.39558883043302306</v>
      </c>
      <c r="EF35" s="357">
        <f t="shared" si="182"/>
        <v>0.39837522213759835</v>
      </c>
      <c r="EG35" s="357">
        <f t="shared" si="182"/>
        <v>0.40226212213430718</v>
      </c>
      <c r="EH35" s="357">
        <f t="shared" si="182"/>
        <v>0.40347137637028013</v>
      </c>
      <c r="EI35" s="357">
        <f t="shared" si="182"/>
        <v>0.40426617677076954</v>
      </c>
      <c r="EJ35" s="357">
        <f t="shared" si="182"/>
        <v>0.40705209981119561</v>
      </c>
      <c r="EK35" s="357">
        <f t="shared" si="182"/>
        <v>0.40773169482846905</v>
      </c>
      <c r="EL35" s="357">
        <f t="shared" si="182"/>
        <v>0.40872771972956362</v>
      </c>
      <c r="EM35" s="357">
        <f t="shared" si="182"/>
        <v>0.4089204049123889</v>
      </c>
      <c r="EN35" s="357">
        <f t="shared" si="182"/>
        <v>0.40952675533560162</v>
      </c>
      <c r="EO35" s="357">
        <f t="shared" si="182"/>
        <v>0.42480330845269315</v>
      </c>
      <c r="EP35" s="357">
        <f t="shared" si="182"/>
        <v>0.41291089518296464</v>
      </c>
      <c r="EQ35" s="357">
        <f t="shared" si="182"/>
        <v>0.42360014266062057</v>
      </c>
      <c r="ER35" s="357">
        <f t="shared" si="182"/>
        <v>0.42114510128152127</v>
      </c>
      <c r="ES35" s="357">
        <f t="shared" si="182"/>
        <v>0.42444997924449979</v>
      </c>
      <c r="ET35" s="357">
        <f t="shared" si="182"/>
        <v>0.42671989216651979</v>
      </c>
      <c r="EU35" s="357">
        <f t="shared" si="182"/>
        <v>0.42739513205592955</v>
      </c>
      <c r="EV35" s="357">
        <f t="shared" si="182"/>
        <v>0.42572813004741311</v>
      </c>
      <c r="EW35" s="357">
        <f t="shared" si="182"/>
        <v>0.42720166753517458</v>
      </c>
      <c r="EX35" s="357">
        <f t="shared" si="182"/>
        <v>0.42870583315910515</v>
      </c>
      <c r="EY35" s="357">
        <f t="shared" si="182"/>
        <v>0.43023803295840962</v>
      </c>
      <c r="EZ35" s="357">
        <f t="shared" si="182"/>
        <v>0.43127490039840638</v>
      </c>
      <c r="FA35" s="357">
        <f t="shared" si="182"/>
        <v>0.43274638633377133</v>
      </c>
      <c r="FB35" s="357">
        <f t="shared" si="182"/>
        <v>0.43393543630522935</v>
      </c>
      <c r="FC35" s="357">
        <f t="shared" si="182"/>
        <v>0.43608111667105609</v>
      </c>
      <c r="FD35" s="357">
        <f t="shared" si="182"/>
        <v>0.43868720979316167</v>
      </c>
      <c r="FE35" s="357">
        <f t="shared" si="182"/>
        <v>0.44051208802835529</v>
      </c>
      <c r="FF35" s="357">
        <f t="shared" si="182"/>
        <v>0.44203781178838109</v>
      </c>
      <c r="FG35" s="357">
        <f t="shared" si="182"/>
        <v>0.44392597698711489</v>
      </c>
      <c r="FH35" s="357">
        <f t="shared" si="182"/>
        <v>0.44561757215619696</v>
      </c>
      <c r="FI35" s="357">
        <f t="shared" si="182"/>
        <v>0.44750677075035844</v>
      </c>
      <c r="FJ35" s="357">
        <f t="shared" si="182"/>
        <v>0.44877736934633211</v>
      </c>
      <c r="FK35" s="357">
        <f t="shared" si="182"/>
        <v>0.4510881160657137</v>
      </c>
      <c r="FL35" s="357">
        <f t="shared" si="182"/>
        <v>0.4512175541878512</v>
      </c>
      <c r="FM35" s="357">
        <f t="shared" si="182"/>
        <v>0.45287972140369676</v>
      </c>
      <c r="FN35" s="357">
        <f t="shared" si="182"/>
        <v>0.45534948542024012</v>
      </c>
      <c r="FO35" s="357">
        <f t="shared" si="182"/>
        <v>0.456642116015268</v>
      </c>
      <c r="FP35" s="357">
        <f t="shared" si="182"/>
        <v>0.45877230703074606</v>
      </c>
      <c r="FQ35" s="357">
        <f t="shared" si="182"/>
        <v>0.46094757198109154</v>
      </c>
      <c r="FR35" s="357">
        <f t="shared" ref="FR35:FT35" si="183">SUM(FR32/FR33)</f>
        <v>0.46199741990969684</v>
      </c>
      <c r="FS35" s="357">
        <f t="shared" si="183"/>
        <v>0.4623499650142634</v>
      </c>
      <c r="FT35" s="357">
        <f t="shared" si="183"/>
        <v>0.46333189748007753</v>
      </c>
    </row>
    <row r="36" spans="2:182" ht="13.5" customHeight="1" x14ac:dyDescent="0.25">
      <c r="B36" s="179"/>
      <c r="H36" s="7"/>
      <c r="K36" s="38"/>
      <c r="N36" s="20"/>
      <c r="O36" s="38"/>
      <c r="P36" s="38"/>
      <c r="Z36" s="20"/>
      <c r="AM36" s="74"/>
      <c r="AY36" s="74"/>
      <c r="BK36" s="74"/>
      <c r="BV36" s="20"/>
      <c r="BW36" s="74"/>
      <c r="CH36" s="18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275"/>
      <c r="DH36" s="275"/>
      <c r="DI36" s="275"/>
      <c r="DJ36" s="275"/>
      <c r="DK36" s="69"/>
      <c r="DL36" s="69"/>
      <c r="DM36" s="69"/>
      <c r="DN36" s="330"/>
      <c r="DO36" s="275"/>
      <c r="DP36" s="69"/>
      <c r="DQ36" s="69"/>
      <c r="DR36" s="69"/>
      <c r="DS36" s="302"/>
      <c r="DT36" s="302"/>
      <c r="DU36" s="302"/>
      <c r="DV36" s="302"/>
      <c r="DW36" s="302"/>
      <c r="DX36" s="302"/>
    </row>
    <row r="37" spans="2:182" ht="13.5" customHeight="1" x14ac:dyDescent="0.25">
      <c r="B37" s="55" t="s">
        <v>57</v>
      </c>
      <c r="C37" s="56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20"/>
      <c r="O37" s="42"/>
      <c r="P37" s="42"/>
      <c r="Q37" s="18"/>
      <c r="Z37" s="20"/>
      <c r="AM37" s="74"/>
      <c r="AY37" s="74"/>
      <c r="BK37" s="74"/>
      <c r="BV37" s="20"/>
      <c r="BW37" s="74"/>
      <c r="CH37" s="18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275"/>
      <c r="DH37" s="275"/>
      <c r="DI37" s="275"/>
      <c r="DJ37" s="275"/>
      <c r="DK37" s="69"/>
      <c r="DL37" s="69"/>
      <c r="DM37" s="69"/>
      <c r="DN37" s="330"/>
      <c r="DO37" s="275"/>
      <c r="DP37" s="69"/>
      <c r="DQ37" s="69"/>
      <c r="DR37" s="69"/>
      <c r="DS37" s="302"/>
      <c r="DT37" s="302"/>
      <c r="DU37" s="302"/>
      <c r="DV37" s="302"/>
      <c r="DW37" s="302"/>
      <c r="DX37" s="302"/>
    </row>
    <row r="38" spans="2:182" ht="13.5" customHeight="1" x14ac:dyDescent="0.25">
      <c r="B38" s="3" t="s">
        <v>1</v>
      </c>
      <c r="C38" s="29">
        <f>SUM(C8,C16,C24,C31)</f>
        <v>1377672</v>
      </c>
      <c r="D38" s="16">
        <f t="shared" ref="D38:N39" si="184">SUM(D8,D16,D24,D31)</f>
        <v>1377672</v>
      </c>
      <c r="E38" s="16">
        <f t="shared" si="184"/>
        <v>1717273</v>
      </c>
      <c r="F38" s="16">
        <f t="shared" si="184"/>
        <v>1713926</v>
      </c>
      <c r="G38" s="16">
        <f t="shared" si="184"/>
        <v>1699333</v>
      </c>
      <c r="H38" s="16">
        <f t="shared" si="184"/>
        <v>1684861</v>
      </c>
      <c r="I38" s="16">
        <f t="shared" si="184"/>
        <v>1690815</v>
      </c>
      <c r="J38" s="16">
        <f t="shared" si="184"/>
        <v>1638940</v>
      </c>
      <c r="K38" s="97">
        <f t="shared" si="184"/>
        <v>1637745</v>
      </c>
      <c r="L38" s="16">
        <f t="shared" si="184"/>
        <v>1641708</v>
      </c>
      <c r="M38" s="16">
        <f t="shared" si="184"/>
        <v>1642832</v>
      </c>
      <c r="N38" s="21">
        <f t="shared" si="184"/>
        <v>1642707</v>
      </c>
      <c r="O38" s="39">
        <f t="shared" ref="O38:Q39" si="185">SUM(O8,O16,O24,O31)</f>
        <v>1628265</v>
      </c>
      <c r="P38" s="39">
        <f t="shared" si="185"/>
        <v>1631057</v>
      </c>
      <c r="Q38" s="16">
        <f t="shared" si="185"/>
        <v>1632681</v>
      </c>
      <c r="R38" s="16">
        <f t="shared" ref="R38:T39" si="186">SUM(R8,R16,R24,R31)</f>
        <v>1636799</v>
      </c>
      <c r="S38" s="16">
        <f t="shared" si="186"/>
        <v>1638776</v>
      </c>
      <c r="T38" s="16">
        <f t="shared" si="186"/>
        <v>1642339</v>
      </c>
      <c r="U38" s="16">
        <f t="shared" ref="U38:Z38" si="187">SUM(U8,U16,U24,U31)</f>
        <v>1643388</v>
      </c>
      <c r="V38" s="16">
        <f t="shared" si="187"/>
        <v>1641876</v>
      </c>
      <c r="W38" s="16">
        <f t="shared" si="187"/>
        <v>1638788</v>
      </c>
      <c r="X38" s="16">
        <f t="shared" si="187"/>
        <v>1632395</v>
      </c>
      <c r="Y38" s="16">
        <f t="shared" si="187"/>
        <v>1622858</v>
      </c>
      <c r="Z38" s="21">
        <f t="shared" si="187"/>
        <v>1617480</v>
      </c>
      <c r="AA38" s="16">
        <f t="shared" ref="AA38:AC39" si="188">SUM(AA8,AA16,AA24,AA31)</f>
        <v>1611916</v>
      </c>
      <c r="AB38" s="16">
        <f t="shared" si="188"/>
        <v>1608173</v>
      </c>
      <c r="AC38" s="16">
        <f t="shared" si="188"/>
        <v>1603661</v>
      </c>
      <c r="AD38" s="16">
        <f t="shared" ref="AD38:AF39" si="189">SUM(AD8,AD16,AD24,AD31)</f>
        <v>1600862</v>
      </c>
      <c r="AE38" s="16">
        <f t="shared" si="189"/>
        <v>1598415</v>
      </c>
      <c r="AF38" s="16">
        <f t="shared" si="189"/>
        <v>1592905</v>
      </c>
      <c r="AG38" s="16">
        <f t="shared" ref="AG38:AI39" si="190">SUM(AG8,AG16,AG24,AG31)</f>
        <v>1581779</v>
      </c>
      <c r="AH38" s="16">
        <f t="shared" si="190"/>
        <v>1572184</v>
      </c>
      <c r="AI38" s="16">
        <f t="shared" si="190"/>
        <v>1560753</v>
      </c>
      <c r="AJ38" s="16">
        <f t="shared" ref="AJ38:AL39" si="191">SUM(AJ8,AJ16,AJ24,AJ31)</f>
        <v>1551576</v>
      </c>
      <c r="AK38" s="16">
        <f t="shared" si="191"/>
        <v>1543123</v>
      </c>
      <c r="AL38" s="16">
        <f t="shared" si="191"/>
        <v>1530401</v>
      </c>
      <c r="AM38" s="75">
        <f t="shared" ref="AM38:AO39" si="192">SUM(AM8,AM16,AM24,AM31)</f>
        <v>1521551</v>
      </c>
      <c r="AN38" s="16">
        <f t="shared" si="192"/>
        <v>1509728</v>
      </c>
      <c r="AO38" s="16">
        <f t="shared" si="192"/>
        <v>1501083</v>
      </c>
      <c r="AP38" s="16">
        <f t="shared" ref="AP38:AR39" si="193">SUM(AP8,AP16,AP24,AP31)</f>
        <v>1493533</v>
      </c>
      <c r="AQ38" s="16">
        <f t="shared" si="193"/>
        <v>1485478</v>
      </c>
      <c r="AR38" s="16">
        <f t="shared" si="193"/>
        <v>1475142</v>
      </c>
      <c r="AS38" s="16">
        <f t="shared" ref="AS38:AU39" si="194">SUM(AS8,AS16,AS24,AS31)</f>
        <v>1463867</v>
      </c>
      <c r="AT38" s="16">
        <f t="shared" si="194"/>
        <v>1445670</v>
      </c>
      <c r="AU38" s="16">
        <f t="shared" si="194"/>
        <v>1424247</v>
      </c>
      <c r="AV38" s="16">
        <f t="shared" ref="AV38:AX39" si="195">SUM(AV8,AV16,AV24,AV31)</f>
        <v>1406504</v>
      </c>
      <c r="AW38" s="16">
        <f t="shared" si="195"/>
        <v>1398717</v>
      </c>
      <c r="AX38" s="16">
        <f t="shared" si="195"/>
        <v>1396429</v>
      </c>
      <c r="AY38" s="75">
        <f t="shared" ref="AY38:BA39" si="196">SUM(AY8,AY16,AY24,AY31)</f>
        <v>1396739</v>
      </c>
      <c r="AZ38" s="16">
        <f t="shared" si="196"/>
        <v>1392922</v>
      </c>
      <c r="BA38" s="16">
        <f t="shared" si="196"/>
        <v>1393978</v>
      </c>
      <c r="BB38" s="16">
        <f t="shared" ref="BB38:BD39" si="197">SUM(BB8,BB16,BB24,BB31)</f>
        <v>1390214</v>
      </c>
      <c r="BC38" s="16">
        <f t="shared" si="197"/>
        <v>1383949</v>
      </c>
      <c r="BD38" s="16">
        <f t="shared" si="197"/>
        <v>1372907</v>
      </c>
      <c r="BE38" s="16">
        <f t="shared" ref="BE38:BG39" si="198">SUM(BE8,BE16,BE24,BE31)</f>
        <v>1354276</v>
      </c>
      <c r="BF38" s="16">
        <f t="shared" si="198"/>
        <v>1339519</v>
      </c>
      <c r="BG38" s="16">
        <f t="shared" si="198"/>
        <v>1322529</v>
      </c>
      <c r="BH38" s="16">
        <f t="shared" ref="BH38:BS39" si="199">SUM(BH8,BH16,BH24,BH31)</f>
        <v>1306457</v>
      </c>
      <c r="BI38" s="16">
        <f t="shared" si="199"/>
        <v>1292157</v>
      </c>
      <c r="BJ38" s="16">
        <f t="shared" si="199"/>
        <v>1273478</v>
      </c>
      <c r="BK38" s="75">
        <f t="shared" si="199"/>
        <v>1259430</v>
      </c>
      <c r="BL38" s="16">
        <f t="shared" si="199"/>
        <v>1250283</v>
      </c>
      <c r="BM38" s="16">
        <f t="shared" si="199"/>
        <v>1240649</v>
      </c>
      <c r="BN38" s="16">
        <f t="shared" si="199"/>
        <v>1238457</v>
      </c>
      <c r="BO38" s="16">
        <f t="shared" si="199"/>
        <v>1235111</v>
      </c>
      <c r="BP38" s="16">
        <f t="shared" si="199"/>
        <v>1230471</v>
      </c>
      <c r="BQ38" s="16">
        <f t="shared" si="199"/>
        <v>1224263</v>
      </c>
      <c r="BR38" s="16">
        <f t="shared" si="199"/>
        <v>1217022</v>
      </c>
      <c r="BS38" s="16">
        <f t="shared" si="199"/>
        <v>1209531</v>
      </c>
      <c r="BT38" s="16">
        <f t="shared" ref="BT38:CB39" si="200">SUM(BT8,BT16,BT24,BT31)</f>
        <v>1200396</v>
      </c>
      <c r="BU38" s="16">
        <f t="shared" si="200"/>
        <v>1179396</v>
      </c>
      <c r="BV38" s="21">
        <f t="shared" si="200"/>
        <v>1179805</v>
      </c>
      <c r="BW38" s="75">
        <f t="shared" si="200"/>
        <v>1170414</v>
      </c>
      <c r="BX38" s="16">
        <f t="shared" si="200"/>
        <v>1163184</v>
      </c>
      <c r="BY38" s="16">
        <f t="shared" si="200"/>
        <v>1155876</v>
      </c>
      <c r="BZ38" s="16">
        <f t="shared" si="200"/>
        <v>1148875</v>
      </c>
      <c r="CA38" s="16">
        <f t="shared" si="200"/>
        <v>1142632</v>
      </c>
      <c r="CB38" s="16">
        <f t="shared" si="200"/>
        <v>1145317</v>
      </c>
      <c r="CC38" s="16">
        <f t="shared" ref="CC38:CH38" si="201">SUM(CC8,CC16,CC24,CC31)</f>
        <v>1153318</v>
      </c>
      <c r="CD38" s="16">
        <f t="shared" si="201"/>
        <v>1152607</v>
      </c>
      <c r="CE38" s="16">
        <f t="shared" si="201"/>
        <v>1141200</v>
      </c>
      <c r="CF38" s="16">
        <f t="shared" si="201"/>
        <v>1125846</v>
      </c>
      <c r="CG38" s="16">
        <f t="shared" si="201"/>
        <v>1094892</v>
      </c>
      <c r="CH38" s="16">
        <f t="shared" si="201"/>
        <v>1119002</v>
      </c>
      <c r="CI38" s="201">
        <f t="shared" ref="CI38:CK39" si="202">SUM(CI8,CI16,CI24,CI31)</f>
        <v>1122336</v>
      </c>
      <c r="CJ38" s="69">
        <f t="shared" si="202"/>
        <v>1116034</v>
      </c>
      <c r="CK38" s="69">
        <f t="shared" si="202"/>
        <v>1109637</v>
      </c>
      <c r="CL38" s="69">
        <f t="shared" ref="CL38:CT38" si="203">SUM(CL8,CL16,CL24,CL31)</f>
        <v>1101427</v>
      </c>
      <c r="CM38" s="69">
        <f t="shared" si="203"/>
        <v>1093379</v>
      </c>
      <c r="CN38" s="69">
        <f t="shared" si="203"/>
        <v>1085231</v>
      </c>
      <c r="CO38" s="69">
        <f t="shared" si="203"/>
        <v>1076442</v>
      </c>
      <c r="CP38" s="69">
        <f t="shared" si="203"/>
        <v>1066700</v>
      </c>
      <c r="CQ38" s="69">
        <f t="shared" si="203"/>
        <v>1060230</v>
      </c>
      <c r="CR38" s="69">
        <f t="shared" si="203"/>
        <v>1044544</v>
      </c>
      <c r="CS38" s="69">
        <f t="shared" si="203"/>
        <v>1035009</v>
      </c>
      <c r="CT38" s="89">
        <f t="shared" si="203"/>
        <v>1027740</v>
      </c>
      <c r="CU38" s="69">
        <f t="shared" ref="CU38:DJ38" si="204">SUM(CU8,CU16,CU24,CU31)</f>
        <v>1020700</v>
      </c>
      <c r="CV38" s="69">
        <f t="shared" si="204"/>
        <v>1014634</v>
      </c>
      <c r="CW38" s="69">
        <f t="shared" si="204"/>
        <v>1008258</v>
      </c>
      <c r="CX38" s="69">
        <f t="shared" si="204"/>
        <v>1007720</v>
      </c>
      <c r="CY38" s="69">
        <f t="shared" si="204"/>
        <v>1001993</v>
      </c>
      <c r="CZ38" s="69">
        <f t="shared" si="204"/>
        <v>997426</v>
      </c>
      <c r="DA38" s="69">
        <f t="shared" si="204"/>
        <v>987529</v>
      </c>
      <c r="DB38" s="69">
        <f t="shared" si="204"/>
        <v>979348</v>
      </c>
      <c r="DC38" s="69">
        <f t="shared" si="204"/>
        <v>972043</v>
      </c>
      <c r="DD38" s="69">
        <f t="shared" si="204"/>
        <v>967952</v>
      </c>
      <c r="DE38" s="69">
        <f t="shared" si="204"/>
        <v>962062</v>
      </c>
      <c r="DF38" s="89">
        <f t="shared" si="204"/>
        <v>957998</v>
      </c>
      <c r="DG38" s="275">
        <f t="shared" si="204"/>
        <v>954950</v>
      </c>
      <c r="DH38" s="275">
        <f t="shared" si="204"/>
        <v>952835</v>
      </c>
      <c r="DI38" s="275">
        <f t="shared" si="204"/>
        <v>951785</v>
      </c>
      <c r="DJ38" s="275">
        <f t="shared" si="204"/>
        <v>949351</v>
      </c>
      <c r="DK38" s="317">
        <f t="shared" ref="DK38:DZ39" si="205">SUM(DK8,DK16,DK24,DK31)</f>
        <v>946997</v>
      </c>
      <c r="DL38" s="275">
        <f t="shared" si="205"/>
        <v>947058</v>
      </c>
      <c r="DM38" s="275">
        <f t="shared" si="205"/>
        <v>946287</v>
      </c>
      <c r="DN38" s="275">
        <f t="shared" si="205"/>
        <v>945635</v>
      </c>
      <c r="DO38" s="275">
        <f t="shared" si="205"/>
        <v>945500</v>
      </c>
      <c r="DP38" s="275">
        <f t="shared" si="205"/>
        <v>945887</v>
      </c>
      <c r="DQ38" s="275">
        <f t="shared" si="205"/>
        <v>941494</v>
      </c>
      <c r="DR38" s="275">
        <f t="shared" si="205"/>
        <v>938043</v>
      </c>
      <c r="DS38" s="275">
        <f t="shared" si="205"/>
        <v>935519</v>
      </c>
      <c r="DT38" s="275">
        <f t="shared" si="205"/>
        <v>933857</v>
      </c>
      <c r="DU38" s="275">
        <f t="shared" si="205"/>
        <v>932432</v>
      </c>
      <c r="DV38" s="359">
        <f t="shared" si="205"/>
        <v>929139</v>
      </c>
      <c r="DW38" s="359">
        <f t="shared" si="205"/>
        <v>927067</v>
      </c>
      <c r="DX38" s="359">
        <f t="shared" si="205"/>
        <v>925250</v>
      </c>
      <c r="DY38" s="359">
        <f t="shared" si="205"/>
        <v>926686</v>
      </c>
      <c r="DZ38" s="359">
        <f t="shared" si="205"/>
        <v>929718</v>
      </c>
      <c r="EA38" s="359">
        <f t="shared" ref="EA38:EQ39" si="206">SUM(EA8,EA16,EA24,EA31)</f>
        <v>929799</v>
      </c>
      <c r="EB38" s="359">
        <f t="shared" si="206"/>
        <v>925447</v>
      </c>
      <c r="EC38" s="359">
        <f t="shared" si="206"/>
        <v>920246</v>
      </c>
      <c r="ED38" s="359">
        <f t="shared" si="206"/>
        <v>917404</v>
      </c>
      <c r="EE38" s="359">
        <f t="shared" si="206"/>
        <v>913897</v>
      </c>
      <c r="EF38" s="359">
        <f t="shared" si="206"/>
        <v>910658</v>
      </c>
      <c r="EG38" s="359">
        <f t="shared" si="206"/>
        <v>908271</v>
      </c>
      <c r="EH38" s="359">
        <f t="shared" si="206"/>
        <v>906324</v>
      </c>
      <c r="EI38" s="359">
        <f t="shared" si="206"/>
        <v>904213</v>
      </c>
      <c r="EJ38" s="359">
        <f t="shared" si="206"/>
        <v>903620</v>
      </c>
      <c r="EK38" s="359">
        <f t="shared" si="206"/>
        <v>903453</v>
      </c>
      <c r="EL38" s="359">
        <f t="shared" si="206"/>
        <v>903093</v>
      </c>
      <c r="EM38" s="359">
        <f t="shared" si="206"/>
        <v>900974</v>
      </c>
      <c r="EN38" s="359">
        <f t="shared" si="206"/>
        <v>899798</v>
      </c>
      <c r="EO38" s="359">
        <f t="shared" si="206"/>
        <v>897067</v>
      </c>
      <c r="EP38" s="359">
        <f t="shared" si="206"/>
        <v>895770</v>
      </c>
      <c r="EQ38" s="359">
        <f t="shared" si="206"/>
        <v>895382</v>
      </c>
      <c r="ER38" s="359">
        <f t="shared" ref="ER38:FG39" si="207">SUM(ER8,ER16,ER24,ER31)</f>
        <v>890538</v>
      </c>
      <c r="ES38" s="359">
        <f t="shared" si="207"/>
        <v>887956</v>
      </c>
      <c r="ET38" s="359">
        <f t="shared" si="207"/>
        <v>886767</v>
      </c>
      <c r="EU38" s="359">
        <f t="shared" si="207"/>
        <v>885924</v>
      </c>
      <c r="EV38" s="359">
        <f t="shared" si="207"/>
        <v>886407</v>
      </c>
      <c r="EW38" s="359">
        <f t="shared" si="207"/>
        <v>885424</v>
      </c>
      <c r="EX38" s="359">
        <f t="shared" si="207"/>
        <v>883824</v>
      </c>
      <c r="EY38" s="359">
        <f t="shared" si="207"/>
        <v>883350</v>
      </c>
      <c r="EZ38" s="359">
        <f t="shared" si="207"/>
        <v>882200</v>
      </c>
      <c r="FA38" s="359">
        <f t="shared" si="207"/>
        <v>878901</v>
      </c>
      <c r="FB38" s="359">
        <f t="shared" si="207"/>
        <v>876082</v>
      </c>
      <c r="FC38" s="359">
        <f t="shared" si="207"/>
        <v>874317</v>
      </c>
      <c r="FD38" s="359">
        <f t="shared" si="207"/>
        <v>872479</v>
      </c>
      <c r="FE38" s="359">
        <f t="shared" si="207"/>
        <v>871689</v>
      </c>
      <c r="FF38" s="359">
        <f t="shared" si="207"/>
        <v>870971</v>
      </c>
      <c r="FG38" s="359">
        <f t="shared" si="207"/>
        <v>869818</v>
      </c>
      <c r="FH38" s="359">
        <f>SUM(FH8,FH16,FH24,FH31)</f>
        <v>868624</v>
      </c>
      <c r="FI38" s="359">
        <f t="shared" ref="FI38:FQ38" si="208">SUM(FI8,FI16,FI24,FI31)</f>
        <v>863425</v>
      </c>
      <c r="FJ38" s="359">
        <f t="shared" si="208"/>
        <v>857588</v>
      </c>
      <c r="FK38" s="359">
        <f t="shared" si="208"/>
        <v>854351</v>
      </c>
      <c r="FL38" s="359">
        <f t="shared" si="208"/>
        <v>851987</v>
      </c>
      <c r="FM38" s="359">
        <f t="shared" si="208"/>
        <v>849984</v>
      </c>
      <c r="FN38" s="359">
        <f t="shared" si="208"/>
        <v>850249</v>
      </c>
      <c r="FO38" s="359">
        <f t="shared" si="208"/>
        <v>850842</v>
      </c>
      <c r="FP38" s="359">
        <f t="shared" si="208"/>
        <v>851360</v>
      </c>
      <c r="FQ38" s="359">
        <f t="shared" si="208"/>
        <v>850533</v>
      </c>
      <c r="FR38" s="359">
        <f t="shared" ref="FR38:FT38" si="209">SUM(FR8,FR16,FR24,FR31)</f>
        <v>849216</v>
      </c>
      <c r="FS38" s="359">
        <f t="shared" si="209"/>
        <v>848158</v>
      </c>
      <c r="FT38" s="359">
        <f t="shared" si="209"/>
        <v>850132</v>
      </c>
    </row>
    <row r="39" spans="2:182" ht="13.5" customHeight="1" thickBot="1" x14ac:dyDescent="0.3">
      <c r="B39" s="5" t="s">
        <v>8</v>
      </c>
      <c r="C39" s="30">
        <f>SUM(C9,C17,C25,C32)</f>
        <v>31903</v>
      </c>
      <c r="D39" s="17">
        <f t="shared" si="184"/>
        <v>52260</v>
      </c>
      <c r="E39" s="17">
        <f t="shared" si="184"/>
        <v>59178</v>
      </c>
      <c r="F39" s="17">
        <f t="shared" si="184"/>
        <v>62531</v>
      </c>
      <c r="G39" s="17">
        <f t="shared" si="184"/>
        <v>80419</v>
      </c>
      <c r="H39" s="17">
        <f t="shared" si="184"/>
        <v>104459</v>
      </c>
      <c r="I39" s="17">
        <f t="shared" si="184"/>
        <v>99148</v>
      </c>
      <c r="J39" s="17">
        <f t="shared" si="184"/>
        <v>159076</v>
      </c>
      <c r="K39" s="98">
        <f t="shared" si="184"/>
        <v>167597</v>
      </c>
      <c r="L39" s="17">
        <f t="shared" si="184"/>
        <v>173285</v>
      </c>
      <c r="M39" s="17">
        <f t="shared" si="184"/>
        <v>174890</v>
      </c>
      <c r="N39" s="22">
        <f t="shared" si="184"/>
        <v>177655</v>
      </c>
      <c r="O39" s="40">
        <f t="shared" si="185"/>
        <v>181921</v>
      </c>
      <c r="P39" s="40">
        <f t="shared" si="185"/>
        <v>186561</v>
      </c>
      <c r="Q39" s="17">
        <f t="shared" si="185"/>
        <v>191933</v>
      </c>
      <c r="R39" s="17">
        <f t="shared" si="186"/>
        <v>195202</v>
      </c>
      <c r="S39" s="17">
        <f t="shared" si="186"/>
        <v>197872</v>
      </c>
      <c r="T39" s="17">
        <f t="shared" si="186"/>
        <v>200022</v>
      </c>
      <c r="U39" s="17">
        <f t="shared" ref="U39:Z39" si="210">SUM(U9,U17,U25,U32)</f>
        <v>206525</v>
      </c>
      <c r="V39" s="17">
        <f t="shared" si="210"/>
        <v>213391</v>
      </c>
      <c r="W39" s="17">
        <f t="shared" si="210"/>
        <v>221717</v>
      </c>
      <c r="X39" s="17">
        <f t="shared" si="210"/>
        <v>232803</v>
      </c>
      <c r="Y39" s="17">
        <f t="shared" si="210"/>
        <v>243101</v>
      </c>
      <c r="Z39" s="22">
        <f t="shared" si="210"/>
        <v>254996</v>
      </c>
      <c r="AA39" s="17">
        <f t="shared" si="188"/>
        <v>263303</v>
      </c>
      <c r="AB39" s="17">
        <f t="shared" si="188"/>
        <v>268140</v>
      </c>
      <c r="AC39" s="17">
        <f t="shared" si="188"/>
        <v>277154</v>
      </c>
      <c r="AD39" s="17">
        <f t="shared" si="189"/>
        <v>284654</v>
      </c>
      <c r="AE39" s="17">
        <f t="shared" si="189"/>
        <v>292577</v>
      </c>
      <c r="AF39" s="17">
        <f t="shared" si="189"/>
        <v>305314</v>
      </c>
      <c r="AG39" s="17">
        <f t="shared" si="190"/>
        <v>320231</v>
      </c>
      <c r="AH39" s="17">
        <f t="shared" si="190"/>
        <v>335378</v>
      </c>
      <c r="AI39" s="17">
        <f t="shared" si="190"/>
        <v>351432</v>
      </c>
      <c r="AJ39" s="17">
        <f t="shared" si="191"/>
        <v>364413</v>
      </c>
      <c r="AK39" s="17">
        <f t="shared" si="191"/>
        <v>376546</v>
      </c>
      <c r="AL39" s="17">
        <f t="shared" si="191"/>
        <v>388805</v>
      </c>
      <c r="AM39" s="76">
        <f t="shared" si="192"/>
        <v>399566</v>
      </c>
      <c r="AN39" s="17">
        <f t="shared" si="192"/>
        <v>412520</v>
      </c>
      <c r="AO39" s="17">
        <f t="shared" si="192"/>
        <v>423708</v>
      </c>
      <c r="AP39" s="17">
        <f t="shared" si="193"/>
        <v>442099</v>
      </c>
      <c r="AQ39" s="17">
        <f t="shared" si="193"/>
        <v>457007</v>
      </c>
      <c r="AR39" s="17">
        <f t="shared" si="193"/>
        <v>474455</v>
      </c>
      <c r="AS39" s="17">
        <f t="shared" si="194"/>
        <v>492822</v>
      </c>
      <c r="AT39" s="17">
        <f t="shared" si="194"/>
        <v>516539</v>
      </c>
      <c r="AU39" s="17">
        <f t="shared" si="194"/>
        <v>540258</v>
      </c>
      <c r="AV39" s="17">
        <f t="shared" si="195"/>
        <v>559992</v>
      </c>
      <c r="AW39" s="17">
        <f t="shared" si="195"/>
        <v>575708</v>
      </c>
      <c r="AX39" s="17">
        <f t="shared" si="195"/>
        <v>587591</v>
      </c>
      <c r="AY39" s="76">
        <f t="shared" si="196"/>
        <v>592257</v>
      </c>
      <c r="AZ39" s="17">
        <f t="shared" si="196"/>
        <v>595590</v>
      </c>
      <c r="BA39" s="17">
        <f t="shared" si="196"/>
        <v>599203</v>
      </c>
      <c r="BB39" s="17">
        <f t="shared" si="197"/>
        <v>607847</v>
      </c>
      <c r="BC39" s="17">
        <f t="shared" si="197"/>
        <v>620908</v>
      </c>
      <c r="BD39" s="17">
        <f t="shared" si="197"/>
        <v>638965</v>
      </c>
      <c r="BE39" s="17">
        <f t="shared" si="198"/>
        <v>664229</v>
      </c>
      <c r="BF39" s="17">
        <f t="shared" si="198"/>
        <v>680659</v>
      </c>
      <c r="BG39" s="17">
        <f t="shared" si="198"/>
        <v>699507</v>
      </c>
      <c r="BH39" s="17">
        <f t="shared" si="199"/>
        <v>717767</v>
      </c>
      <c r="BI39" s="17">
        <f t="shared" si="199"/>
        <v>734376</v>
      </c>
      <c r="BJ39" s="17">
        <f t="shared" si="199"/>
        <v>747323</v>
      </c>
      <c r="BK39" s="76">
        <f t="shared" si="199"/>
        <v>761288</v>
      </c>
      <c r="BL39" s="17">
        <f t="shared" si="199"/>
        <v>773798</v>
      </c>
      <c r="BM39" s="17">
        <f t="shared" si="199"/>
        <v>788304</v>
      </c>
      <c r="BN39" s="17">
        <f t="shared" si="199"/>
        <v>800778</v>
      </c>
      <c r="BO39" s="17">
        <f t="shared" si="199"/>
        <v>811307</v>
      </c>
      <c r="BP39" s="17">
        <f t="shared" si="199"/>
        <v>823975</v>
      </c>
      <c r="BQ39" s="17">
        <f t="shared" si="199"/>
        <v>835980</v>
      </c>
      <c r="BR39" s="17">
        <f t="shared" si="199"/>
        <v>845081</v>
      </c>
      <c r="BS39" s="17">
        <f t="shared" si="199"/>
        <v>861584</v>
      </c>
      <c r="BT39" s="17">
        <f t="shared" si="200"/>
        <v>873903</v>
      </c>
      <c r="BU39" s="17">
        <f t="shared" si="200"/>
        <v>885339</v>
      </c>
      <c r="BV39" s="22">
        <f t="shared" si="200"/>
        <v>899910</v>
      </c>
      <c r="BW39" s="76">
        <f t="shared" si="200"/>
        <v>909677</v>
      </c>
      <c r="BX39" s="17">
        <f t="shared" si="200"/>
        <v>919650</v>
      </c>
      <c r="BY39" s="17">
        <f t="shared" si="200"/>
        <v>932284</v>
      </c>
      <c r="BZ39" s="17">
        <f t="shared" si="200"/>
        <v>947172</v>
      </c>
      <c r="CA39" s="17">
        <f t="shared" si="200"/>
        <v>959252</v>
      </c>
      <c r="CB39" s="17">
        <f t="shared" si="200"/>
        <v>976270</v>
      </c>
      <c r="CC39" s="17">
        <f t="shared" ref="CC39:CH39" si="211">SUM(CC9,CC17,CC25,CC32)</f>
        <v>964569</v>
      </c>
      <c r="CD39" s="17">
        <f t="shared" si="211"/>
        <v>968408</v>
      </c>
      <c r="CE39" s="17">
        <f t="shared" si="211"/>
        <v>972337</v>
      </c>
      <c r="CF39" s="17">
        <f t="shared" si="211"/>
        <v>961129</v>
      </c>
      <c r="CG39" s="17">
        <f t="shared" si="211"/>
        <v>942807</v>
      </c>
      <c r="CH39" s="17">
        <f t="shared" si="211"/>
        <v>977820</v>
      </c>
      <c r="CI39" s="210">
        <f t="shared" si="202"/>
        <v>987307</v>
      </c>
      <c r="CJ39" s="92">
        <f t="shared" si="202"/>
        <v>995146</v>
      </c>
      <c r="CK39" s="92">
        <f t="shared" si="202"/>
        <v>1008284</v>
      </c>
      <c r="CL39" s="92">
        <f t="shared" ref="CL39:CT39" si="212">SUM(CL9,CL17,CL25,CL32)</f>
        <v>1023078</v>
      </c>
      <c r="CM39" s="92">
        <f t="shared" si="212"/>
        <v>1036498</v>
      </c>
      <c r="CN39" s="92">
        <f t="shared" si="212"/>
        <v>1050402</v>
      </c>
      <c r="CO39" s="92">
        <f t="shared" si="212"/>
        <v>1060282</v>
      </c>
      <c r="CP39" s="92">
        <f t="shared" si="212"/>
        <v>1075294</v>
      </c>
      <c r="CQ39" s="92">
        <f t="shared" si="212"/>
        <v>1099598</v>
      </c>
      <c r="CR39" s="92">
        <f t="shared" si="212"/>
        <v>1110412</v>
      </c>
      <c r="CS39" s="92">
        <f t="shared" si="212"/>
        <v>1114744</v>
      </c>
      <c r="CT39" s="93">
        <f t="shared" si="212"/>
        <v>1123782</v>
      </c>
      <c r="CU39" s="92">
        <f t="shared" ref="CU39:DJ39" si="213">SUM(CU9,CU17,CU25,CU32)</f>
        <v>1128884</v>
      </c>
      <c r="CV39" s="92">
        <f t="shared" si="213"/>
        <v>1136874</v>
      </c>
      <c r="CW39" s="92">
        <f t="shared" si="213"/>
        <v>1141953</v>
      </c>
      <c r="CX39" s="92">
        <f t="shared" si="213"/>
        <v>1154729</v>
      </c>
      <c r="CY39" s="92">
        <f t="shared" si="213"/>
        <v>1162396</v>
      </c>
      <c r="CZ39" s="92">
        <f t="shared" si="213"/>
        <v>1175832</v>
      </c>
      <c r="DA39" s="92">
        <f t="shared" si="213"/>
        <v>1185507</v>
      </c>
      <c r="DB39" s="92">
        <f t="shared" si="213"/>
        <v>1197730</v>
      </c>
      <c r="DC39" s="92">
        <f t="shared" si="213"/>
        <v>1203777</v>
      </c>
      <c r="DD39" s="92">
        <f t="shared" si="213"/>
        <v>1208841</v>
      </c>
      <c r="DE39" s="92">
        <f t="shared" si="213"/>
        <v>1212930</v>
      </c>
      <c r="DF39" s="93">
        <f t="shared" si="213"/>
        <v>1218871</v>
      </c>
      <c r="DG39" s="276">
        <f t="shared" si="213"/>
        <v>1226562</v>
      </c>
      <c r="DH39" s="276">
        <f t="shared" si="213"/>
        <v>1228840</v>
      </c>
      <c r="DI39" s="276">
        <f t="shared" si="213"/>
        <v>1237604</v>
      </c>
      <c r="DJ39" s="276">
        <f t="shared" si="213"/>
        <v>1247169</v>
      </c>
      <c r="DK39" s="276">
        <f t="shared" ref="DK39:DU39" si="214">SUM(DK9,DK17,DK25,DK32)</f>
        <v>1252349</v>
      </c>
      <c r="DL39" s="276">
        <f t="shared" si="214"/>
        <v>1262639</v>
      </c>
      <c r="DM39" s="276">
        <f t="shared" si="214"/>
        <v>1270090</v>
      </c>
      <c r="DN39" s="276">
        <f t="shared" si="214"/>
        <v>1276233</v>
      </c>
      <c r="DO39" s="276">
        <f t="shared" si="214"/>
        <v>1275056</v>
      </c>
      <c r="DP39" s="276">
        <f t="shared" si="214"/>
        <v>1279709</v>
      </c>
      <c r="DQ39" s="276">
        <f t="shared" si="214"/>
        <v>1278057</v>
      </c>
      <c r="DR39" s="276">
        <f t="shared" si="214"/>
        <v>1280670</v>
      </c>
      <c r="DS39" s="276">
        <f t="shared" si="214"/>
        <v>1284671</v>
      </c>
      <c r="DT39" s="276">
        <f t="shared" si="214"/>
        <v>1288461</v>
      </c>
      <c r="DU39" s="276">
        <f t="shared" si="214"/>
        <v>1295242</v>
      </c>
      <c r="DV39" s="352">
        <f t="shared" si="205"/>
        <v>1302279</v>
      </c>
      <c r="DW39" s="352">
        <f t="shared" si="205"/>
        <v>1311420</v>
      </c>
      <c r="DX39" s="352">
        <f t="shared" si="205"/>
        <v>1320999</v>
      </c>
      <c r="DY39" s="352">
        <f t="shared" si="205"/>
        <v>1335413</v>
      </c>
      <c r="DZ39" s="352">
        <f t="shared" si="205"/>
        <v>1338245</v>
      </c>
      <c r="EA39" s="352">
        <f t="shared" si="206"/>
        <v>1339330</v>
      </c>
      <c r="EB39" s="352">
        <f t="shared" si="206"/>
        <v>1333184</v>
      </c>
      <c r="EC39" s="352">
        <f t="shared" si="206"/>
        <v>1336254</v>
      </c>
      <c r="ED39" s="352">
        <f t="shared" si="206"/>
        <v>1340329</v>
      </c>
      <c r="EE39" s="352">
        <f t="shared" si="206"/>
        <v>1350001</v>
      </c>
      <c r="EF39" s="352">
        <f t="shared" si="206"/>
        <v>1352240</v>
      </c>
      <c r="EG39" s="352">
        <f t="shared" si="206"/>
        <v>1360800</v>
      </c>
      <c r="EH39" s="352">
        <f t="shared" si="206"/>
        <v>1370634</v>
      </c>
      <c r="EI39" s="352">
        <f t="shared" si="206"/>
        <v>1375857</v>
      </c>
      <c r="EJ39" s="352">
        <f t="shared" si="206"/>
        <v>1389335</v>
      </c>
      <c r="EK39" s="352">
        <f t="shared" si="206"/>
        <v>1397760</v>
      </c>
      <c r="EL39" s="352">
        <f t="shared" si="206"/>
        <v>1403138</v>
      </c>
      <c r="EM39" s="352">
        <f t="shared" si="206"/>
        <v>1404588</v>
      </c>
      <c r="EN39" s="352">
        <f t="shared" si="206"/>
        <v>1403453</v>
      </c>
      <c r="EO39" s="352">
        <f t="shared" si="206"/>
        <v>1418679</v>
      </c>
      <c r="EP39" s="352">
        <f t="shared" si="206"/>
        <v>1407739</v>
      </c>
      <c r="EQ39" s="352">
        <f t="shared" si="206"/>
        <v>1408887</v>
      </c>
      <c r="ER39" s="352">
        <f t="shared" si="207"/>
        <v>1418300</v>
      </c>
      <c r="ES39" s="352">
        <f t="shared" si="207"/>
        <v>1429972</v>
      </c>
      <c r="ET39" s="352">
        <f t="shared" si="207"/>
        <v>1441316</v>
      </c>
      <c r="EU39" s="352">
        <f t="shared" si="207"/>
        <v>1444819</v>
      </c>
      <c r="EV39" s="352">
        <f t="shared" si="207"/>
        <v>1456915</v>
      </c>
      <c r="EW39" s="352">
        <f t="shared" si="207"/>
        <v>1469120</v>
      </c>
      <c r="EX39" s="352">
        <f t="shared" si="207"/>
        <v>1468529</v>
      </c>
      <c r="EY39" s="352">
        <f t="shared" si="207"/>
        <v>1470339</v>
      </c>
      <c r="EZ39" s="352">
        <f t="shared" si="207"/>
        <v>1473769</v>
      </c>
      <c r="FA39" s="352">
        <f t="shared" si="207"/>
        <v>1475603</v>
      </c>
      <c r="FB39" s="352">
        <f t="shared" si="207"/>
        <v>1479735</v>
      </c>
      <c r="FC39" s="352">
        <f t="shared" si="207"/>
        <v>1484817</v>
      </c>
      <c r="FD39" s="352">
        <f t="shared" si="207"/>
        <v>1491769</v>
      </c>
      <c r="FE39" s="352">
        <f t="shared" si="207"/>
        <v>1501488</v>
      </c>
      <c r="FF39" s="352">
        <f t="shared" si="207"/>
        <v>1507873</v>
      </c>
      <c r="FG39" s="352">
        <f t="shared" si="207"/>
        <v>1513203</v>
      </c>
      <c r="FH39" s="352">
        <f>SUM(FH9,FH17,FH25,FH32)</f>
        <v>1525326</v>
      </c>
      <c r="FI39" s="352">
        <f t="shared" ref="FI39:FQ39" si="215">SUM(FI9,FI17,FI25,FI32)</f>
        <v>1538847</v>
      </c>
      <c r="FJ39" s="352">
        <f t="shared" si="215"/>
        <v>1547179</v>
      </c>
      <c r="FK39" s="352">
        <f t="shared" si="215"/>
        <v>1550997</v>
      </c>
      <c r="FL39" s="352">
        <f t="shared" si="215"/>
        <v>1551980</v>
      </c>
      <c r="FM39" s="352">
        <f t="shared" si="215"/>
        <v>1551636</v>
      </c>
      <c r="FN39" s="352">
        <f t="shared" si="215"/>
        <v>1556127</v>
      </c>
      <c r="FO39" s="352">
        <f t="shared" si="215"/>
        <v>1559459</v>
      </c>
      <c r="FP39" s="352">
        <f t="shared" si="215"/>
        <v>1563966</v>
      </c>
      <c r="FQ39" s="352">
        <f t="shared" si="215"/>
        <v>1573191</v>
      </c>
      <c r="FR39" s="352">
        <f t="shared" ref="FR39:FT39" si="216">SUM(FR9,FR17,FR25,FR32)</f>
        <v>1582691</v>
      </c>
      <c r="FS39" s="352">
        <f t="shared" si="216"/>
        <v>1589088</v>
      </c>
      <c r="FT39" s="352">
        <f t="shared" si="216"/>
        <v>1595545</v>
      </c>
    </row>
    <row r="40" spans="2:182" ht="13.5" customHeight="1" thickTop="1" x14ac:dyDescent="0.25">
      <c r="B40" s="3" t="s">
        <v>9</v>
      </c>
      <c r="C40" s="25">
        <f t="shared" ref="C40:Q40" si="217">SUM(C38:C39)</f>
        <v>1409575</v>
      </c>
      <c r="D40" s="8">
        <f t="shared" si="217"/>
        <v>1429932</v>
      </c>
      <c r="E40" s="8">
        <f t="shared" si="217"/>
        <v>1776451</v>
      </c>
      <c r="F40" s="8">
        <f t="shared" si="217"/>
        <v>1776457</v>
      </c>
      <c r="G40" s="8">
        <f t="shared" si="217"/>
        <v>1779752</v>
      </c>
      <c r="H40" s="8">
        <f t="shared" si="217"/>
        <v>1789320</v>
      </c>
      <c r="I40" s="8">
        <f t="shared" si="217"/>
        <v>1789963</v>
      </c>
      <c r="J40" s="8">
        <f t="shared" si="217"/>
        <v>1798016</v>
      </c>
      <c r="K40" s="99">
        <f t="shared" si="217"/>
        <v>1805342</v>
      </c>
      <c r="L40" s="8">
        <f t="shared" si="217"/>
        <v>1814993</v>
      </c>
      <c r="M40" s="8">
        <f t="shared" si="217"/>
        <v>1817722</v>
      </c>
      <c r="N40" s="10">
        <f t="shared" si="217"/>
        <v>1820362</v>
      </c>
      <c r="O40" s="35">
        <f t="shared" si="217"/>
        <v>1810186</v>
      </c>
      <c r="P40" s="35">
        <f t="shared" si="217"/>
        <v>1817618</v>
      </c>
      <c r="Q40" s="8">
        <f t="shared" si="217"/>
        <v>1824614</v>
      </c>
      <c r="R40" s="8">
        <f>SUM(R38:R39)</f>
        <v>1832001</v>
      </c>
      <c r="S40" s="8">
        <f>SUM(S38:S39)</f>
        <v>1836648</v>
      </c>
      <c r="T40" s="8">
        <f>SUM(T38:T39)</f>
        <v>1842361</v>
      </c>
      <c r="U40" s="8">
        <f t="shared" ref="U40:Z40" si="218">SUM(U38:U39)</f>
        <v>1849913</v>
      </c>
      <c r="V40" s="8">
        <f t="shared" si="218"/>
        <v>1855267</v>
      </c>
      <c r="W40" s="8">
        <f t="shared" si="218"/>
        <v>1860505</v>
      </c>
      <c r="X40" s="8">
        <f t="shared" si="218"/>
        <v>1865198</v>
      </c>
      <c r="Y40" s="8">
        <f t="shared" si="218"/>
        <v>1865959</v>
      </c>
      <c r="Z40" s="9">
        <f t="shared" si="218"/>
        <v>1872476</v>
      </c>
      <c r="AA40" s="8">
        <f t="shared" ref="AA40:AF40" si="219">SUM(AA38:AA39)</f>
        <v>1875219</v>
      </c>
      <c r="AB40" s="8">
        <f t="shared" si="219"/>
        <v>1876313</v>
      </c>
      <c r="AC40" s="8">
        <f t="shared" si="219"/>
        <v>1880815</v>
      </c>
      <c r="AD40" s="8">
        <f t="shared" si="219"/>
        <v>1885516</v>
      </c>
      <c r="AE40" s="8">
        <f t="shared" si="219"/>
        <v>1890992</v>
      </c>
      <c r="AF40" s="8">
        <f t="shared" si="219"/>
        <v>1898219</v>
      </c>
      <c r="AG40" s="8">
        <f t="shared" ref="AG40:AL40" si="220">SUM(AG38:AG39)</f>
        <v>1902010</v>
      </c>
      <c r="AH40" s="8">
        <f t="shared" si="220"/>
        <v>1907562</v>
      </c>
      <c r="AI40" s="8">
        <f t="shared" si="220"/>
        <v>1912185</v>
      </c>
      <c r="AJ40" s="8">
        <f t="shared" si="220"/>
        <v>1915989</v>
      </c>
      <c r="AK40" s="8">
        <f t="shared" si="220"/>
        <v>1919669</v>
      </c>
      <c r="AL40" s="8">
        <f t="shared" si="220"/>
        <v>1919206</v>
      </c>
      <c r="AM40" s="77">
        <f t="shared" ref="AM40:AR40" si="221">SUM(AM38:AM39)</f>
        <v>1921117</v>
      </c>
      <c r="AN40" s="8">
        <f t="shared" si="221"/>
        <v>1922248</v>
      </c>
      <c r="AO40" s="8">
        <f t="shared" si="221"/>
        <v>1924791</v>
      </c>
      <c r="AP40" s="8">
        <f t="shared" si="221"/>
        <v>1935632</v>
      </c>
      <c r="AQ40" s="8">
        <f t="shared" si="221"/>
        <v>1942485</v>
      </c>
      <c r="AR40" s="8">
        <f t="shared" si="221"/>
        <v>1949597</v>
      </c>
      <c r="AS40" s="8">
        <f t="shared" ref="AS40:AX40" si="222">SUM(AS38:AS39)</f>
        <v>1956689</v>
      </c>
      <c r="AT40" s="8">
        <f t="shared" si="222"/>
        <v>1962209</v>
      </c>
      <c r="AU40" s="8">
        <f t="shared" si="222"/>
        <v>1964505</v>
      </c>
      <c r="AV40" s="8">
        <f t="shared" si="222"/>
        <v>1966496</v>
      </c>
      <c r="AW40" s="8">
        <f t="shared" si="222"/>
        <v>1974425</v>
      </c>
      <c r="AX40" s="8">
        <f t="shared" si="222"/>
        <v>1984020</v>
      </c>
      <c r="AY40" s="77">
        <f t="shared" ref="AY40:BD40" si="223">SUM(AY38:AY39)</f>
        <v>1988996</v>
      </c>
      <c r="AZ40" s="8">
        <f t="shared" si="223"/>
        <v>1988512</v>
      </c>
      <c r="BA40" s="8">
        <f t="shared" si="223"/>
        <v>1993181</v>
      </c>
      <c r="BB40" s="8">
        <f t="shared" si="223"/>
        <v>1998061</v>
      </c>
      <c r="BC40" s="8">
        <f t="shared" si="223"/>
        <v>2004857</v>
      </c>
      <c r="BD40" s="8">
        <f t="shared" si="223"/>
        <v>2011872</v>
      </c>
      <c r="BE40" s="8">
        <f t="shared" ref="BE40:BJ40" si="224">SUM(BE38:BE39)</f>
        <v>2018505</v>
      </c>
      <c r="BF40" s="8">
        <f t="shared" si="224"/>
        <v>2020178</v>
      </c>
      <c r="BG40" s="8">
        <f t="shared" si="224"/>
        <v>2022036</v>
      </c>
      <c r="BH40" s="8">
        <f t="shared" si="224"/>
        <v>2024224</v>
      </c>
      <c r="BI40" s="8">
        <f t="shared" si="224"/>
        <v>2026533</v>
      </c>
      <c r="BJ40" s="8">
        <f t="shared" si="224"/>
        <v>2020801</v>
      </c>
      <c r="BK40" s="77">
        <f t="shared" ref="BK40:BV40" si="225">SUM(BK38:BK39)</f>
        <v>2020718</v>
      </c>
      <c r="BL40" s="8">
        <f t="shared" si="225"/>
        <v>2024081</v>
      </c>
      <c r="BM40" s="8">
        <f t="shared" si="225"/>
        <v>2028953</v>
      </c>
      <c r="BN40" s="8">
        <f t="shared" si="225"/>
        <v>2039235</v>
      </c>
      <c r="BO40" s="8">
        <f t="shared" si="225"/>
        <v>2046418</v>
      </c>
      <c r="BP40" s="8">
        <f t="shared" si="225"/>
        <v>2054446</v>
      </c>
      <c r="BQ40" s="8">
        <f t="shared" si="225"/>
        <v>2060243</v>
      </c>
      <c r="BR40" s="8">
        <f t="shared" si="225"/>
        <v>2062103</v>
      </c>
      <c r="BS40" s="8">
        <f t="shared" si="225"/>
        <v>2071115</v>
      </c>
      <c r="BT40" s="8">
        <f t="shared" si="225"/>
        <v>2074299</v>
      </c>
      <c r="BU40" s="8">
        <f t="shared" si="225"/>
        <v>2064735</v>
      </c>
      <c r="BV40" s="9">
        <f t="shared" si="225"/>
        <v>2079715</v>
      </c>
      <c r="BW40" s="77">
        <f t="shared" ref="BW40:CB40" si="226">SUM(BW38:BW39)</f>
        <v>2080091</v>
      </c>
      <c r="BX40" s="8">
        <f t="shared" si="226"/>
        <v>2082834</v>
      </c>
      <c r="BY40" s="8">
        <f t="shared" si="226"/>
        <v>2088160</v>
      </c>
      <c r="BZ40" s="8">
        <f t="shared" si="226"/>
        <v>2096047</v>
      </c>
      <c r="CA40" s="8">
        <f t="shared" si="226"/>
        <v>2101884</v>
      </c>
      <c r="CB40" s="8">
        <f t="shared" si="226"/>
        <v>2121587</v>
      </c>
      <c r="CC40" s="8">
        <f t="shared" ref="CC40:CH40" si="227">SUM(CC38:CC39)</f>
        <v>2117887</v>
      </c>
      <c r="CD40" s="8">
        <f t="shared" si="227"/>
        <v>2121015</v>
      </c>
      <c r="CE40" s="8">
        <f t="shared" si="227"/>
        <v>2113537</v>
      </c>
      <c r="CF40" s="8">
        <f t="shared" si="227"/>
        <v>2086975</v>
      </c>
      <c r="CG40" s="8">
        <f t="shared" si="227"/>
        <v>2037699</v>
      </c>
      <c r="CH40" s="8">
        <f t="shared" si="227"/>
        <v>2096822</v>
      </c>
      <c r="CI40" s="115">
        <f>SUM(CI38:CI39)</f>
        <v>2109643</v>
      </c>
      <c r="CJ40" s="94">
        <f>SUM(CJ38:CJ39)</f>
        <v>2111180</v>
      </c>
      <c r="CK40" s="94">
        <f>SUM(CK38:CK39)</f>
        <v>2117921</v>
      </c>
      <c r="CL40" s="94">
        <f t="shared" ref="CL40:CT40" si="228">SUM(CL38:CL39)</f>
        <v>2124505</v>
      </c>
      <c r="CM40" s="94">
        <f t="shared" si="228"/>
        <v>2129877</v>
      </c>
      <c r="CN40" s="94">
        <f t="shared" si="228"/>
        <v>2135633</v>
      </c>
      <c r="CO40" s="94">
        <f t="shared" si="228"/>
        <v>2136724</v>
      </c>
      <c r="CP40" s="94">
        <f t="shared" si="228"/>
        <v>2141994</v>
      </c>
      <c r="CQ40" s="94">
        <f t="shared" si="228"/>
        <v>2159828</v>
      </c>
      <c r="CR40" s="94">
        <f t="shared" si="228"/>
        <v>2154956</v>
      </c>
      <c r="CS40" s="94">
        <f t="shared" si="228"/>
        <v>2149753</v>
      </c>
      <c r="CT40" s="107">
        <f t="shared" si="228"/>
        <v>2151522</v>
      </c>
      <c r="CU40" s="95">
        <f t="shared" ref="CU40:DJ40" si="229">SUM(CU38:CU39)</f>
        <v>2149584</v>
      </c>
      <c r="CV40" s="95">
        <f t="shared" si="229"/>
        <v>2151508</v>
      </c>
      <c r="CW40" s="95">
        <f t="shared" si="229"/>
        <v>2150211</v>
      </c>
      <c r="CX40" s="95">
        <f t="shared" si="229"/>
        <v>2162449</v>
      </c>
      <c r="CY40" s="95">
        <f t="shared" si="229"/>
        <v>2164389</v>
      </c>
      <c r="CZ40" s="95">
        <f t="shared" si="229"/>
        <v>2173258</v>
      </c>
      <c r="DA40" s="95">
        <f t="shared" si="229"/>
        <v>2173036</v>
      </c>
      <c r="DB40" s="95">
        <f t="shared" si="229"/>
        <v>2177078</v>
      </c>
      <c r="DC40" s="95">
        <f t="shared" si="229"/>
        <v>2175820</v>
      </c>
      <c r="DD40" s="95">
        <f t="shared" si="229"/>
        <v>2176793</v>
      </c>
      <c r="DE40" s="95">
        <f t="shared" si="229"/>
        <v>2174992</v>
      </c>
      <c r="DF40" s="107">
        <f t="shared" si="229"/>
        <v>2176869</v>
      </c>
      <c r="DG40" s="95">
        <f t="shared" si="229"/>
        <v>2181512</v>
      </c>
      <c r="DH40" s="95">
        <f t="shared" si="229"/>
        <v>2181675</v>
      </c>
      <c r="DI40" s="95">
        <f t="shared" si="229"/>
        <v>2189389</v>
      </c>
      <c r="DJ40" s="95">
        <f t="shared" si="229"/>
        <v>2196520</v>
      </c>
      <c r="DK40" s="95">
        <f t="shared" ref="DK40:FQ40" si="230">SUM(DK38:DK39)</f>
        <v>2199346</v>
      </c>
      <c r="DL40" s="95">
        <f t="shared" si="230"/>
        <v>2209697</v>
      </c>
      <c r="DM40" s="95">
        <f t="shared" si="230"/>
        <v>2216377</v>
      </c>
      <c r="DN40" s="95">
        <f t="shared" si="230"/>
        <v>2221868</v>
      </c>
      <c r="DO40" s="95">
        <f t="shared" si="230"/>
        <v>2220556</v>
      </c>
      <c r="DP40" s="95">
        <f t="shared" si="230"/>
        <v>2225596</v>
      </c>
      <c r="DQ40" s="95">
        <f t="shared" si="230"/>
        <v>2219551</v>
      </c>
      <c r="DR40" s="95">
        <f t="shared" si="230"/>
        <v>2218713</v>
      </c>
      <c r="DS40" s="95">
        <f t="shared" si="230"/>
        <v>2220190</v>
      </c>
      <c r="DT40" s="95">
        <f t="shared" si="230"/>
        <v>2222318</v>
      </c>
      <c r="DU40" s="95">
        <f t="shared" si="230"/>
        <v>2227674</v>
      </c>
      <c r="DV40" s="355">
        <f t="shared" si="230"/>
        <v>2231418</v>
      </c>
      <c r="DW40" s="355">
        <f t="shared" si="230"/>
        <v>2238487</v>
      </c>
      <c r="DX40" s="355">
        <f t="shared" si="230"/>
        <v>2246249</v>
      </c>
      <c r="DY40" s="355">
        <f t="shared" si="230"/>
        <v>2262099</v>
      </c>
      <c r="DZ40" s="355">
        <f t="shared" si="230"/>
        <v>2267963</v>
      </c>
      <c r="EA40" s="355">
        <f t="shared" si="230"/>
        <v>2269129</v>
      </c>
      <c r="EB40" s="355">
        <f t="shared" si="230"/>
        <v>2258631</v>
      </c>
      <c r="EC40" s="355">
        <f t="shared" si="230"/>
        <v>2256500</v>
      </c>
      <c r="ED40" s="355">
        <f t="shared" si="230"/>
        <v>2257733</v>
      </c>
      <c r="EE40" s="355">
        <f t="shared" si="230"/>
        <v>2263898</v>
      </c>
      <c r="EF40" s="355">
        <f t="shared" si="230"/>
        <v>2262898</v>
      </c>
      <c r="EG40" s="355">
        <f t="shared" si="230"/>
        <v>2269071</v>
      </c>
      <c r="EH40" s="355">
        <f t="shared" si="230"/>
        <v>2276958</v>
      </c>
      <c r="EI40" s="355">
        <f t="shared" si="230"/>
        <v>2280070</v>
      </c>
      <c r="EJ40" s="355">
        <f t="shared" si="230"/>
        <v>2292955</v>
      </c>
      <c r="EK40" s="355">
        <f t="shared" si="230"/>
        <v>2301213</v>
      </c>
      <c r="EL40" s="355">
        <f t="shared" si="230"/>
        <v>2306231</v>
      </c>
      <c r="EM40" s="355">
        <f t="shared" si="230"/>
        <v>2305562</v>
      </c>
      <c r="EN40" s="355">
        <f t="shared" si="230"/>
        <v>2303251</v>
      </c>
      <c r="EO40" s="355">
        <f t="shared" si="230"/>
        <v>2315746</v>
      </c>
      <c r="EP40" s="355">
        <f t="shared" si="230"/>
        <v>2303509</v>
      </c>
      <c r="EQ40" s="355">
        <f t="shared" si="230"/>
        <v>2304269</v>
      </c>
      <c r="ER40" s="355">
        <f t="shared" si="230"/>
        <v>2308838</v>
      </c>
      <c r="ES40" s="355">
        <f t="shared" si="230"/>
        <v>2317928</v>
      </c>
      <c r="ET40" s="355">
        <f t="shared" si="230"/>
        <v>2328083</v>
      </c>
      <c r="EU40" s="355">
        <f t="shared" si="230"/>
        <v>2330743</v>
      </c>
      <c r="EV40" s="355">
        <f t="shared" si="230"/>
        <v>2343322</v>
      </c>
      <c r="EW40" s="355">
        <f t="shared" si="230"/>
        <v>2354544</v>
      </c>
      <c r="EX40" s="355">
        <f t="shared" si="230"/>
        <v>2352353</v>
      </c>
      <c r="EY40" s="355">
        <f t="shared" si="230"/>
        <v>2353689</v>
      </c>
      <c r="EZ40" s="355">
        <f t="shared" si="230"/>
        <v>2355969</v>
      </c>
      <c r="FA40" s="355">
        <f t="shared" si="230"/>
        <v>2354504</v>
      </c>
      <c r="FB40" s="355">
        <f t="shared" si="230"/>
        <v>2355817</v>
      </c>
      <c r="FC40" s="355">
        <f t="shared" si="230"/>
        <v>2359134</v>
      </c>
      <c r="FD40" s="355">
        <f t="shared" si="230"/>
        <v>2364248</v>
      </c>
      <c r="FE40" s="355">
        <f t="shared" si="230"/>
        <v>2373177</v>
      </c>
      <c r="FF40" s="355">
        <f t="shared" si="230"/>
        <v>2378844</v>
      </c>
      <c r="FG40" s="355">
        <f t="shared" si="230"/>
        <v>2383021</v>
      </c>
      <c r="FH40" s="355">
        <f t="shared" si="230"/>
        <v>2393950</v>
      </c>
      <c r="FI40" s="355">
        <f t="shared" si="230"/>
        <v>2402272</v>
      </c>
      <c r="FJ40" s="355">
        <f t="shared" si="230"/>
        <v>2404767</v>
      </c>
      <c r="FK40" s="355">
        <f t="shared" si="230"/>
        <v>2405348</v>
      </c>
      <c r="FL40" s="355">
        <f t="shared" si="230"/>
        <v>2403967</v>
      </c>
      <c r="FM40" s="355">
        <f t="shared" si="230"/>
        <v>2401620</v>
      </c>
      <c r="FN40" s="355">
        <f t="shared" si="230"/>
        <v>2406376</v>
      </c>
      <c r="FO40" s="355">
        <f t="shared" si="230"/>
        <v>2410301</v>
      </c>
      <c r="FP40" s="355">
        <f t="shared" si="230"/>
        <v>2415326</v>
      </c>
      <c r="FQ40" s="355">
        <f t="shared" si="230"/>
        <v>2423724</v>
      </c>
      <c r="FR40" s="355">
        <f t="shared" ref="FR40:FT40" si="231">SUM(FR38:FR39)</f>
        <v>2431907</v>
      </c>
      <c r="FS40" s="355">
        <f t="shared" si="231"/>
        <v>2437246</v>
      </c>
      <c r="FT40" s="355">
        <f t="shared" si="231"/>
        <v>2445677</v>
      </c>
    </row>
    <row r="41" spans="2:182" ht="13.5" customHeight="1" x14ac:dyDescent="0.25">
      <c r="B41" s="3" t="s">
        <v>10</v>
      </c>
      <c r="C41" s="26">
        <f t="shared" ref="C41:Q41" si="232">SUM(C38)/C40</f>
        <v>0.97736693684266529</v>
      </c>
      <c r="D41" s="14">
        <f t="shared" si="232"/>
        <v>0.96345280754609308</v>
      </c>
      <c r="E41" s="14">
        <f t="shared" si="232"/>
        <v>0.96668751347490023</v>
      </c>
      <c r="F41" s="14">
        <f t="shared" si="232"/>
        <v>0.96480016121977619</v>
      </c>
      <c r="G41" s="14">
        <f t="shared" si="232"/>
        <v>0.95481449100773585</v>
      </c>
      <c r="H41" s="14">
        <f t="shared" si="232"/>
        <v>0.94162083920148432</v>
      </c>
      <c r="I41" s="14">
        <f t="shared" si="232"/>
        <v>0.94460891091044896</v>
      </c>
      <c r="J41" s="14">
        <f t="shared" si="232"/>
        <v>0.91152692745782016</v>
      </c>
      <c r="K41" s="100">
        <f t="shared" si="232"/>
        <v>0.90716606604178041</v>
      </c>
      <c r="L41" s="14">
        <f t="shared" si="232"/>
        <v>0.90452580257885296</v>
      </c>
      <c r="M41" s="14">
        <f t="shared" si="232"/>
        <v>0.90378616752176621</v>
      </c>
      <c r="N41" s="23">
        <f t="shared" si="232"/>
        <v>0.90240677403725189</v>
      </c>
      <c r="O41" s="36">
        <f t="shared" si="232"/>
        <v>0.89950148769242499</v>
      </c>
      <c r="P41" s="36">
        <f t="shared" si="232"/>
        <v>0.89735962121853985</v>
      </c>
      <c r="Q41" s="14">
        <f t="shared" si="232"/>
        <v>0.8948089842563961</v>
      </c>
      <c r="R41" s="14">
        <f>SUM(R38)/R40</f>
        <v>0.89344874811749553</v>
      </c>
      <c r="S41" s="14">
        <f>SUM(S38)/S40</f>
        <v>0.89226460377818717</v>
      </c>
      <c r="T41" s="14">
        <f>SUM(T38)/T40</f>
        <v>0.89143170095328761</v>
      </c>
      <c r="U41" s="14">
        <f t="shared" ref="U41:Z41" si="233">SUM(U38)/U40</f>
        <v>0.88835961474945035</v>
      </c>
      <c r="V41" s="14">
        <f t="shared" si="233"/>
        <v>0.88498097578407853</v>
      </c>
      <c r="W41" s="14">
        <f t="shared" si="233"/>
        <v>0.88082966721400913</v>
      </c>
      <c r="X41" s="14">
        <f t="shared" si="233"/>
        <v>0.87518590519612394</v>
      </c>
      <c r="Y41" s="14">
        <f t="shared" si="233"/>
        <v>0.86971793056546254</v>
      </c>
      <c r="Z41" s="23">
        <f t="shared" si="233"/>
        <v>0.8638188153012375</v>
      </c>
      <c r="AA41" s="14">
        <f t="shared" ref="AA41:AF41" si="234">SUM(AA38)/AA40</f>
        <v>0.85958813343934759</v>
      </c>
      <c r="AB41" s="14">
        <f t="shared" si="234"/>
        <v>0.85709207365722029</v>
      </c>
      <c r="AC41" s="14">
        <f t="shared" si="234"/>
        <v>0.85264154103407297</v>
      </c>
      <c r="AD41" s="14">
        <f t="shared" si="234"/>
        <v>0.84903124661896268</v>
      </c>
      <c r="AE41" s="14">
        <f t="shared" si="234"/>
        <v>0.84527856278609326</v>
      </c>
      <c r="AF41" s="14">
        <f t="shared" si="234"/>
        <v>0.83915765251533148</v>
      </c>
      <c r="AG41" s="14">
        <f t="shared" ref="AG41:AL41" si="235">SUM(AG38)/AG40</f>
        <v>0.83163548036025048</v>
      </c>
      <c r="AH41" s="14">
        <f t="shared" si="235"/>
        <v>0.8241850068307085</v>
      </c>
      <c r="AI41" s="14">
        <f t="shared" si="235"/>
        <v>0.81621443531875837</v>
      </c>
      <c r="AJ41" s="14">
        <f t="shared" si="235"/>
        <v>0.80980423165268689</v>
      </c>
      <c r="AK41" s="14">
        <f t="shared" si="235"/>
        <v>0.80384847596122044</v>
      </c>
      <c r="AL41" s="14">
        <f t="shared" si="235"/>
        <v>0.79741361792324539</v>
      </c>
      <c r="AM41" s="78">
        <f t="shared" ref="AM41:AR41" si="236">SUM(AM38)/AM40</f>
        <v>0.7920137086913499</v>
      </c>
      <c r="AN41" s="14">
        <f t="shared" si="236"/>
        <v>0.78539709756493437</v>
      </c>
      <c r="AO41" s="14">
        <f t="shared" si="236"/>
        <v>0.77986804801144649</v>
      </c>
      <c r="AP41" s="14">
        <f t="shared" si="236"/>
        <v>0.77159966357241461</v>
      </c>
      <c r="AQ41" s="14">
        <f t="shared" si="236"/>
        <v>0.76473074438155253</v>
      </c>
      <c r="AR41" s="14">
        <f t="shared" si="236"/>
        <v>0.75663944907588598</v>
      </c>
      <c r="AS41" s="14">
        <f t="shared" ref="AS41:AX41" si="237">SUM(AS38)/AS40</f>
        <v>0.74813473168193823</v>
      </c>
      <c r="AT41" s="14">
        <f t="shared" si="237"/>
        <v>0.73675638018172374</v>
      </c>
      <c r="AU41" s="14">
        <f t="shared" si="237"/>
        <v>0.72499026472317452</v>
      </c>
      <c r="AV41" s="14">
        <f t="shared" si="237"/>
        <v>0.71523359315249058</v>
      </c>
      <c r="AW41" s="14">
        <f t="shared" si="237"/>
        <v>0.70841738734061821</v>
      </c>
      <c r="AX41" s="14">
        <f t="shared" si="237"/>
        <v>0.70383816695396217</v>
      </c>
      <c r="AY41" s="78">
        <f t="shared" ref="AY41:BD41" si="238">SUM(AY38)/AY40</f>
        <v>0.7022331869948456</v>
      </c>
      <c r="AZ41" s="14">
        <f t="shared" si="238"/>
        <v>0.70048458344732145</v>
      </c>
      <c r="BA41" s="14">
        <f t="shared" si="238"/>
        <v>0.69937351399596925</v>
      </c>
      <c r="BB41" s="14">
        <f t="shared" si="238"/>
        <v>0.69578156022263582</v>
      </c>
      <c r="BC41" s="14">
        <f t="shared" si="238"/>
        <v>0.69029811103734584</v>
      </c>
      <c r="BD41" s="14">
        <f t="shared" si="238"/>
        <v>0.68240275723306454</v>
      </c>
      <c r="BE41" s="14">
        <f t="shared" ref="BE41:BJ41" si="239">SUM(BE38)/BE40</f>
        <v>0.67093021815650689</v>
      </c>
      <c r="BF41" s="14">
        <f t="shared" si="239"/>
        <v>0.66306978889979007</v>
      </c>
      <c r="BG41" s="14">
        <f t="shared" si="239"/>
        <v>0.65405808798656406</v>
      </c>
      <c r="BH41" s="14">
        <f t="shared" si="239"/>
        <v>0.64541127859367342</v>
      </c>
      <c r="BI41" s="14">
        <f t="shared" si="239"/>
        <v>0.63761952062956784</v>
      </c>
      <c r="BJ41" s="14">
        <f t="shared" si="239"/>
        <v>0.63018476336858498</v>
      </c>
      <c r="BK41" s="78">
        <f t="shared" ref="BK41:BV41" si="240">SUM(BK38)/BK40</f>
        <v>0.62325866350475423</v>
      </c>
      <c r="BL41" s="14">
        <f t="shared" si="240"/>
        <v>0.61770403457173895</v>
      </c>
      <c r="BM41" s="14">
        <f t="shared" si="240"/>
        <v>0.61147251809184344</v>
      </c>
      <c r="BN41" s="14">
        <f t="shared" si="240"/>
        <v>0.60731450764624972</v>
      </c>
      <c r="BO41" s="14">
        <f t="shared" si="240"/>
        <v>0.60354776003729438</v>
      </c>
      <c r="BP41" s="14">
        <f t="shared" si="240"/>
        <v>0.59893080665055198</v>
      </c>
      <c r="BQ41" s="14">
        <f t="shared" si="240"/>
        <v>0.59423233084640992</v>
      </c>
      <c r="BR41" s="14">
        <f t="shared" si="240"/>
        <v>0.59018487437339451</v>
      </c>
      <c r="BS41" s="14">
        <f t="shared" si="240"/>
        <v>0.58399992274692614</v>
      </c>
      <c r="BT41" s="14">
        <f t="shared" si="240"/>
        <v>0.5786995992381041</v>
      </c>
      <c r="BU41" s="14">
        <f t="shared" si="240"/>
        <v>0.57120938038053315</v>
      </c>
      <c r="BV41" s="23">
        <f t="shared" si="240"/>
        <v>0.56729167217623566</v>
      </c>
      <c r="BW41" s="78">
        <f t="shared" ref="BW41:CB41" si="241">SUM(BW38)/BW40</f>
        <v>0.56267442145559976</v>
      </c>
      <c r="BX41" s="14">
        <f t="shared" si="241"/>
        <v>0.55846217221343608</v>
      </c>
      <c r="BY41" s="14">
        <f t="shared" si="241"/>
        <v>0.5535380430618343</v>
      </c>
      <c r="BZ41" s="14">
        <f t="shared" si="241"/>
        <v>0.54811509474739828</v>
      </c>
      <c r="CA41" s="14">
        <f t="shared" si="241"/>
        <v>0.54362276890637162</v>
      </c>
      <c r="CB41" s="14">
        <f t="shared" si="241"/>
        <v>0.53983975203467971</v>
      </c>
      <c r="CC41" s="14">
        <f t="shared" ref="CC41:CH41" si="242">SUM(CC38)/CC40</f>
        <v>0.54456068713769901</v>
      </c>
      <c r="CD41" s="14">
        <f t="shared" si="242"/>
        <v>0.54342237089318091</v>
      </c>
      <c r="CE41" s="14">
        <f t="shared" si="242"/>
        <v>0.5399479640053616</v>
      </c>
      <c r="CF41" s="14">
        <f t="shared" si="242"/>
        <v>0.53946309850381535</v>
      </c>
      <c r="CG41" s="14">
        <f t="shared" si="242"/>
        <v>0.53731782760849367</v>
      </c>
      <c r="CH41" s="14">
        <f t="shared" si="242"/>
        <v>0.53366570934490387</v>
      </c>
      <c r="CI41" s="248">
        <f>SUM(CI38)/CI40</f>
        <v>0.5320028080580459</v>
      </c>
      <c r="CJ41" s="240">
        <f>SUM(CJ38)/CJ40</f>
        <v>0.52863043416477984</v>
      </c>
      <c r="CK41" s="240">
        <f>SUM(CK38)/CK40</f>
        <v>0.52392747415980101</v>
      </c>
      <c r="CL41" s="240">
        <f t="shared" ref="CL41:CQ41" si="243">SUM(CL38)/CL40</f>
        <v>0.51843935410836872</v>
      </c>
      <c r="CM41" s="240">
        <f t="shared" si="243"/>
        <v>0.51335311851341647</v>
      </c>
      <c r="CN41" s="240">
        <f t="shared" si="243"/>
        <v>0.50815425684094595</v>
      </c>
      <c r="CO41" s="240">
        <f t="shared" si="243"/>
        <v>0.50378148979465764</v>
      </c>
      <c r="CP41" s="240">
        <f t="shared" si="243"/>
        <v>0.49799392528643871</v>
      </c>
      <c r="CQ41" s="240">
        <f t="shared" si="243"/>
        <v>0.4908863113173827</v>
      </c>
      <c r="CR41" s="240">
        <f t="shared" ref="CR41:DJ41" si="244">SUM(CR38)/CR40</f>
        <v>0.4847170893512443</v>
      </c>
      <c r="CS41" s="240">
        <f t="shared" si="244"/>
        <v>0.48145484620791318</v>
      </c>
      <c r="CT41" s="241">
        <f t="shared" si="244"/>
        <v>0.47768045132701409</v>
      </c>
      <c r="CU41" s="240">
        <f t="shared" si="244"/>
        <v>0.47483606130302419</v>
      </c>
      <c r="CV41" s="240">
        <f t="shared" si="244"/>
        <v>0.47159201824952546</v>
      </c>
      <c r="CW41" s="240">
        <f t="shared" si="244"/>
        <v>0.46891119057618064</v>
      </c>
      <c r="CX41" s="240">
        <f t="shared" si="244"/>
        <v>0.46600867812373842</v>
      </c>
      <c r="CY41" s="240">
        <f t="shared" si="244"/>
        <v>0.46294496968890525</v>
      </c>
      <c r="CZ41" s="240">
        <f t="shared" si="244"/>
        <v>0.45895425209524132</v>
      </c>
      <c r="DA41" s="240">
        <f t="shared" si="244"/>
        <v>0.45444668196937371</v>
      </c>
      <c r="DB41" s="240">
        <f t="shared" si="244"/>
        <v>0.4498451594292901</v>
      </c>
      <c r="DC41" s="240">
        <f t="shared" si="244"/>
        <v>0.44674789274848103</v>
      </c>
      <c r="DD41" s="240">
        <f t="shared" si="244"/>
        <v>0.44466883162523951</v>
      </c>
      <c r="DE41" s="240">
        <f t="shared" si="244"/>
        <v>0.44232898327901898</v>
      </c>
      <c r="DF41" s="241">
        <f t="shared" si="244"/>
        <v>0.44008068468979988</v>
      </c>
      <c r="DG41" s="314">
        <f t="shared" si="244"/>
        <v>0.43774684714088208</v>
      </c>
      <c r="DH41" s="314">
        <f t="shared" si="244"/>
        <v>0.43674470303780355</v>
      </c>
      <c r="DI41" s="314">
        <f t="shared" si="244"/>
        <v>0.43472630948634527</v>
      </c>
      <c r="DJ41" s="314">
        <f t="shared" si="244"/>
        <v>0.432206854478903</v>
      </c>
      <c r="DK41" s="314">
        <f t="shared" ref="DK41:FQ41" si="245">SUM(DK38)/DK40</f>
        <v>0.43058118186042577</v>
      </c>
      <c r="DL41" s="314">
        <f t="shared" si="245"/>
        <v>0.4285917933544735</v>
      </c>
      <c r="DM41" s="314">
        <f t="shared" si="245"/>
        <v>0.42695218367633303</v>
      </c>
      <c r="DN41" s="314">
        <f t="shared" si="245"/>
        <v>0.42560359121243924</v>
      </c>
      <c r="DO41" s="314">
        <f t="shared" si="245"/>
        <v>0.42579426053655028</v>
      </c>
      <c r="DP41" s="314">
        <f t="shared" si="245"/>
        <v>0.42500390906525715</v>
      </c>
      <c r="DQ41" s="314">
        <f t="shared" si="245"/>
        <v>0.42418218819932502</v>
      </c>
      <c r="DR41" s="314">
        <f t="shared" si="245"/>
        <v>0.42278699408170412</v>
      </c>
      <c r="DS41" s="314">
        <f t="shared" si="245"/>
        <v>0.42136889185159826</v>
      </c>
      <c r="DT41" s="314">
        <f t="shared" si="245"/>
        <v>0.42021753862408529</v>
      </c>
      <c r="DU41" s="314">
        <f t="shared" si="245"/>
        <v>0.41856752828286364</v>
      </c>
      <c r="DV41" s="356">
        <f t="shared" si="245"/>
        <v>0.41638948865698849</v>
      </c>
      <c r="DW41" s="356">
        <f t="shared" si="245"/>
        <v>0.41414893184548313</v>
      </c>
      <c r="DX41" s="356">
        <f t="shared" si="245"/>
        <v>0.41190892015978636</v>
      </c>
      <c r="DY41" s="356">
        <f t="shared" si="245"/>
        <v>0.40965757908915568</v>
      </c>
      <c r="DZ41" s="356">
        <f t="shared" si="245"/>
        <v>0.40993525908491452</v>
      </c>
      <c r="EA41" s="356">
        <f t="shared" si="245"/>
        <v>0.40976030891148102</v>
      </c>
      <c r="EB41" s="356">
        <f t="shared" si="245"/>
        <v>0.40973802272261384</v>
      </c>
      <c r="EC41" s="356">
        <f t="shared" si="245"/>
        <v>0.4078200753379127</v>
      </c>
      <c r="ED41" s="356">
        <f t="shared" si="245"/>
        <v>0.406338570592714</v>
      </c>
      <c r="EE41" s="356">
        <f t="shared" si="245"/>
        <v>0.40368293977908898</v>
      </c>
      <c r="EF41" s="356">
        <f t="shared" si="245"/>
        <v>0.40242998137786151</v>
      </c>
      <c r="EG41" s="356">
        <f t="shared" si="245"/>
        <v>0.40028319960018882</v>
      </c>
      <c r="EH41" s="356">
        <f t="shared" si="245"/>
        <v>0.39804159760522589</v>
      </c>
      <c r="EI41" s="356">
        <f t="shared" si="245"/>
        <v>0.39657247365212472</v>
      </c>
      <c r="EJ41" s="356">
        <f t="shared" si="245"/>
        <v>0.39408536146588136</v>
      </c>
      <c r="EK41" s="356">
        <f t="shared" si="245"/>
        <v>0.39259859908665562</v>
      </c>
      <c r="EL41" s="356">
        <f t="shared" si="245"/>
        <v>0.39158826674344416</v>
      </c>
      <c r="EM41" s="356">
        <f t="shared" si="245"/>
        <v>0.39078281130587683</v>
      </c>
      <c r="EN41" s="356">
        <f t="shared" si="245"/>
        <v>0.39066432620673996</v>
      </c>
      <c r="EO41" s="356">
        <f t="shared" si="245"/>
        <v>0.38737711303398559</v>
      </c>
      <c r="EP41" s="356">
        <f t="shared" si="245"/>
        <v>0.38887193407970189</v>
      </c>
      <c r="EQ41" s="356">
        <f t="shared" si="245"/>
        <v>0.3885752922076372</v>
      </c>
      <c r="ER41" s="356">
        <f t="shared" si="245"/>
        <v>0.38570830868168315</v>
      </c>
      <c r="ES41" s="356">
        <f t="shared" si="245"/>
        <v>0.38308178683720978</v>
      </c>
      <c r="ET41" s="356">
        <f t="shared" si="245"/>
        <v>0.38090007959338218</v>
      </c>
      <c r="EU41" s="356">
        <f t="shared" si="245"/>
        <v>0.38010368367511993</v>
      </c>
      <c r="EV41" s="356">
        <f t="shared" si="245"/>
        <v>0.37826939703549062</v>
      </c>
      <c r="EW41" s="356">
        <f t="shared" si="245"/>
        <v>0.37604903539708751</v>
      </c>
      <c r="EX41" s="356">
        <f t="shared" si="245"/>
        <v>0.37571912038711874</v>
      </c>
      <c r="EY41" s="282">
        <f t="shared" si="245"/>
        <v>0.37530446885718549</v>
      </c>
      <c r="EZ41" s="282">
        <f t="shared" si="245"/>
        <v>0.37445314433254429</v>
      </c>
      <c r="FA41" s="282">
        <f t="shared" si="245"/>
        <v>0.373284989110233</v>
      </c>
      <c r="FB41" s="282">
        <f t="shared" si="245"/>
        <v>0.37188032856541914</v>
      </c>
      <c r="FC41" s="282">
        <f t="shared" si="245"/>
        <v>0.37060929985325125</v>
      </c>
      <c r="FD41" s="282">
        <f t="shared" si="245"/>
        <v>0.36903023709864619</v>
      </c>
      <c r="FE41" s="282">
        <f t="shared" si="245"/>
        <v>0.36730888593644723</v>
      </c>
      <c r="FF41" s="282">
        <f t="shared" si="245"/>
        <v>0.36613203724161819</v>
      </c>
      <c r="FG41" s="282">
        <f t="shared" si="245"/>
        <v>0.36500643510904857</v>
      </c>
      <c r="FH41" s="282">
        <f t="shared" si="245"/>
        <v>0.36284132918398465</v>
      </c>
      <c r="FI41" s="282">
        <f t="shared" si="245"/>
        <v>0.35942016557658751</v>
      </c>
      <c r="FJ41" s="282">
        <f t="shared" si="245"/>
        <v>0.35661999686456108</v>
      </c>
      <c r="FK41" s="282">
        <f t="shared" si="245"/>
        <v>0.35518810583749211</v>
      </c>
      <c r="FL41" s="282">
        <f t="shared" si="245"/>
        <v>0.35440877516205505</v>
      </c>
      <c r="FM41" s="282">
        <f t="shared" si="245"/>
        <v>0.35392110325530268</v>
      </c>
      <c r="FN41" s="282">
        <f t="shared" si="245"/>
        <v>0.35333173203190194</v>
      </c>
      <c r="FO41" s="282">
        <f t="shared" si="245"/>
        <v>0.35300238434950654</v>
      </c>
      <c r="FP41" s="282">
        <f t="shared" si="245"/>
        <v>0.35248243922352512</v>
      </c>
      <c r="FQ41" s="282">
        <f t="shared" si="245"/>
        <v>0.35091990672205253</v>
      </c>
      <c r="FR41" s="282">
        <f t="shared" ref="FR41:FT41" si="246">SUM(FR38)/FR40</f>
        <v>0.34919756388710588</v>
      </c>
      <c r="FS41" s="282">
        <f t="shared" si="246"/>
        <v>0.34799851964061074</v>
      </c>
      <c r="FT41" s="282">
        <f t="shared" si="246"/>
        <v>0.34760600030175692</v>
      </c>
    </row>
    <row r="42" spans="2:182" ht="13.5" customHeight="1" thickBot="1" x14ac:dyDescent="0.3">
      <c r="B42" s="4" t="s">
        <v>11</v>
      </c>
      <c r="C42" s="27">
        <f t="shared" ref="C42:Q42" si="247">SUM(C39/C40)</f>
        <v>2.2633063157334658E-2</v>
      </c>
      <c r="D42" s="15">
        <f t="shared" si="247"/>
        <v>3.6547192453906897E-2</v>
      </c>
      <c r="E42" s="15">
        <f t="shared" si="247"/>
        <v>3.3312486525099765E-2</v>
      </c>
      <c r="F42" s="15">
        <f t="shared" si="247"/>
        <v>3.5199838780223786E-2</v>
      </c>
      <c r="G42" s="15">
        <f t="shared" si="247"/>
        <v>4.518550899226409E-2</v>
      </c>
      <c r="H42" s="15">
        <f t="shared" si="247"/>
        <v>5.8379160798515635E-2</v>
      </c>
      <c r="I42" s="15">
        <f t="shared" si="247"/>
        <v>5.539108908955101E-2</v>
      </c>
      <c r="J42" s="15">
        <f t="shared" si="247"/>
        <v>8.8473072542179829E-2</v>
      </c>
      <c r="K42" s="101">
        <f t="shared" si="247"/>
        <v>9.2833933958219553E-2</v>
      </c>
      <c r="L42" s="15">
        <f t="shared" si="247"/>
        <v>9.5474197421147072E-2</v>
      </c>
      <c r="M42" s="15">
        <f t="shared" si="247"/>
        <v>9.6213832478233743E-2</v>
      </c>
      <c r="N42" s="24">
        <f t="shared" si="247"/>
        <v>9.7593225962748067E-2</v>
      </c>
      <c r="O42" s="37">
        <f t="shared" si="247"/>
        <v>0.10049851230757502</v>
      </c>
      <c r="P42" s="37">
        <f t="shared" si="247"/>
        <v>0.10264037878146014</v>
      </c>
      <c r="Q42" s="15">
        <f t="shared" si="247"/>
        <v>0.10519101574360386</v>
      </c>
      <c r="R42" s="15">
        <f>SUM(R39/R40)</f>
        <v>0.10655125188250443</v>
      </c>
      <c r="S42" s="15">
        <f>SUM(S39/S40)</f>
        <v>0.10773539622181279</v>
      </c>
      <c r="T42" s="15">
        <f>SUM(T39/T40)</f>
        <v>0.10856829904671235</v>
      </c>
      <c r="U42" s="15">
        <f t="shared" ref="U42:Z42" si="248">SUM(U39/U40)</f>
        <v>0.11164038525054962</v>
      </c>
      <c r="V42" s="15">
        <f t="shared" si="248"/>
        <v>0.11501902421592149</v>
      </c>
      <c r="W42" s="15">
        <f t="shared" si="248"/>
        <v>0.1191703327859909</v>
      </c>
      <c r="X42" s="15">
        <f t="shared" si="248"/>
        <v>0.12481409480387605</v>
      </c>
      <c r="Y42" s="15">
        <f t="shared" si="248"/>
        <v>0.13028206943453741</v>
      </c>
      <c r="Z42" s="24">
        <f t="shared" si="248"/>
        <v>0.1361811846987625</v>
      </c>
      <c r="AA42" s="15">
        <f t="shared" ref="AA42:AF42" si="249">SUM(AA39/AA40)</f>
        <v>0.14041186656065238</v>
      </c>
      <c r="AB42" s="15">
        <f t="shared" si="249"/>
        <v>0.14290792634277968</v>
      </c>
      <c r="AC42" s="15">
        <f t="shared" si="249"/>
        <v>0.147358458965927</v>
      </c>
      <c r="AD42" s="15">
        <f t="shared" si="249"/>
        <v>0.15096875338103735</v>
      </c>
      <c r="AE42" s="15">
        <f t="shared" si="249"/>
        <v>0.15472143721390677</v>
      </c>
      <c r="AF42" s="15">
        <f t="shared" si="249"/>
        <v>0.16084234748466852</v>
      </c>
      <c r="AG42" s="15">
        <f t="shared" ref="AG42:AL42" si="250">SUM(AG39/AG40)</f>
        <v>0.16836451963974952</v>
      </c>
      <c r="AH42" s="15">
        <f t="shared" si="250"/>
        <v>0.17581499316929147</v>
      </c>
      <c r="AI42" s="15">
        <f t="shared" si="250"/>
        <v>0.1837855646812416</v>
      </c>
      <c r="AJ42" s="15">
        <f t="shared" si="250"/>
        <v>0.19019576834731305</v>
      </c>
      <c r="AK42" s="15">
        <f t="shared" si="250"/>
        <v>0.19615152403877961</v>
      </c>
      <c r="AL42" s="15">
        <f t="shared" si="250"/>
        <v>0.20258638207675467</v>
      </c>
      <c r="AM42" s="79">
        <f t="shared" ref="AM42:AR42" si="251">SUM(AM39/AM40)</f>
        <v>0.20798629130865012</v>
      </c>
      <c r="AN42" s="15">
        <f t="shared" si="251"/>
        <v>0.21460290243506561</v>
      </c>
      <c r="AO42" s="15">
        <f t="shared" si="251"/>
        <v>0.22013195198855356</v>
      </c>
      <c r="AP42" s="15">
        <f t="shared" si="251"/>
        <v>0.22840033642758542</v>
      </c>
      <c r="AQ42" s="15">
        <f t="shared" si="251"/>
        <v>0.2352692556184475</v>
      </c>
      <c r="AR42" s="15">
        <f t="shared" si="251"/>
        <v>0.24336055092411407</v>
      </c>
      <c r="AS42" s="15">
        <f t="shared" ref="AS42:BA42" si="252">SUM(AS39/AS40)</f>
        <v>0.25186526831806177</v>
      </c>
      <c r="AT42" s="15">
        <f t="shared" si="252"/>
        <v>0.26324361981827626</v>
      </c>
      <c r="AU42" s="15">
        <f t="shared" si="252"/>
        <v>0.27500973527682548</v>
      </c>
      <c r="AV42" s="15">
        <f t="shared" si="252"/>
        <v>0.28476640684750948</v>
      </c>
      <c r="AW42" s="15">
        <f t="shared" si="252"/>
        <v>0.29158261265938185</v>
      </c>
      <c r="AX42" s="15">
        <f t="shared" si="252"/>
        <v>0.29616183304603783</v>
      </c>
      <c r="AY42" s="79">
        <f t="shared" si="252"/>
        <v>0.29776681300515434</v>
      </c>
      <c r="AZ42" s="15">
        <f t="shared" si="252"/>
        <v>0.2995154165526786</v>
      </c>
      <c r="BA42" s="15">
        <f t="shared" si="252"/>
        <v>0.30062648600403075</v>
      </c>
      <c r="BB42" s="15">
        <f t="shared" ref="BB42:BG42" si="253">SUM(BB39/BB40)</f>
        <v>0.30421843977736418</v>
      </c>
      <c r="BC42" s="15">
        <f t="shared" si="253"/>
        <v>0.30970188896265421</v>
      </c>
      <c r="BD42" s="15">
        <f t="shared" si="253"/>
        <v>0.31759724276693546</v>
      </c>
      <c r="BE42" s="15">
        <f t="shared" si="253"/>
        <v>0.32906978184349306</v>
      </c>
      <c r="BF42" s="15">
        <f t="shared" si="253"/>
        <v>0.33693021110020999</v>
      </c>
      <c r="BG42" s="15">
        <f t="shared" si="253"/>
        <v>0.34594191201343594</v>
      </c>
      <c r="BH42" s="15">
        <f>SUM(BH39/BH40)</f>
        <v>0.35458872140632658</v>
      </c>
      <c r="BI42" s="15">
        <f>SUM(BI39/BI40)</f>
        <v>0.36238047937043216</v>
      </c>
      <c r="BJ42" s="15">
        <f>SUM(BJ39/BJ40)</f>
        <v>0.36981523663141497</v>
      </c>
      <c r="BK42" s="79">
        <f t="shared" ref="BK42:BS42" si="254">SUM(BK39/BK40)</f>
        <v>0.37674133649524577</v>
      </c>
      <c r="BL42" s="15">
        <f t="shared" si="254"/>
        <v>0.382295965428261</v>
      </c>
      <c r="BM42" s="15">
        <f t="shared" si="254"/>
        <v>0.38852748190815656</v>
      </c>
      <c r="BN42" s="15">
        <f t="shared" si="254"/>
        <v>0.39268549235375028</v>
      </c>
      <c r="BO42" s="15">
        <f t="shared" si="254"/>
        <v>0.39645223996270557</v>
      </c>
      <c r="BP42" s="15">
        <f t="shared" si="254"/>
        <v>0.40106919334944796</v>
      </c>
      <c r="BQ42" s="15">
        <f t="shared" si="254"/>
        <v>0.40576766915359014</v>
      </c>
      <c r="BR42" s="15">
        <f t="shared" si="254"/>
        <v>0.40981512562660544</v>
      </c>
      <c r="BS42" s="15">
        <f t="shared" si="254"/>
        <v>0.41600007725307381</v>
      </c>
      <c r="BT42" s="15">
        <f>SUM(BT39/BT40)</f>
        <v>0.42130040076189595</v>
      </c>
      <c r="BU42" s="15">
        <f>SUM(BU39/BU40)</f>
        <v>0.42879061961946691</v>
      </c>
      <c r="BV42" s="24">
        <f>SUM(BV39/BV40)</f>
        <v>0.43270832782376434</v>
      </c>
      <c r="BW42" s="79">
        <f t="shared" ref="BW42:CB42" si="255">SUM(BW39/BW40)</f>
        <v>0.43732557854440024</v>
      </c>
      <c r="BX42" s="15">
        <f t="shared" si="255"/>
        <v>0.44153782778656386</v>
      </c>
      <c r="BY42" s="15">
        <f t="shared" si="255"/>
        <v>0.44646195693816565</v>
      </c>
      <c r="BZ42" s="15">
        <f t="shared" si="255"/>
        <v>0.45188490525260167</v>
      </c>
      <c r="CA42" s="15">
        <f t="shared" si="255"/>
        <v>0.45637723109362838</v>
      </c>
      <c r="CB42" s="15">
        <f t="shared" si="255"/>
        <v>0.46016024796532029</v>
      </c>
      <c r="CC42" s="15">
        <f t="shared" ref="CC42:CH42" si="256">SUM(CC39/CC40)</f>
        <v>0.45543931286230094</v>
      </c>
      <c r="CD42" s="15">
        <f t="shared" si="256"/>
        <v>0.45657762910681915</v>
      </c>
      <c r="CE42" s="15">
        <f t="shared" si="256"/>
        <v>0.4600520359946384</v>
      </c>
      <c r="CF42" s="15">
        <f t="shared" si="256"/>
        <v>0.46053690149618465</v>
      </c>
      <c r="CG42" s="15">
        <f t="shared" si="256"/>
        <v>0.46268217239150627</v>
      </c>
      <c r="CH42" s="15">
        <f t="shared" si="256"/>
        <v>0.46633429065509613</v>
      </c>
      <c r="CI42" s="250">
        <f>SUM(CI39/CI40)</f>
        <v>0.46799719194195416</v>
      </c>
      <c r="CJ42" s="245">
        <f>SUM(CJ39/CJ40)</f>
        <v>0.47136956583522011</v>
      </c>
      <c r="CK42" s="245">
        <f>SUM(CK39/CK40)</f>
        <v>0.47607252584019893</v>
      </c>
      <c r="CL42" s="245">
        <f t="shared" ref="CL42:CQ42" si="257">SUM(CL39/CL40)</f>
        <v>0.48156064589163122</v>
      </c>
      <c r="CM42" s="245">
        <f t="shared" si="257"/>
        <v>0.48664688148658347</v>
      </c>
      <c r="CN42" s="245">
        <f t="shared" si="257"/>
        <v>0.49184574315905399</v>
      </c>
      <c r="CO42" s="245">
        <f t="shared" si="257"/>
        <v>0.49621851020534241</v>
      </c>
      <c r="CP42" s="245">
        <f t="shared" si="257"/>
        <v>0.50200607471356129</v>
      </c>
      <c r="CQ42" s="245">
        <f t="shared" si="257"/>
        <v>0.5091136886826173</v>
      </c>
      <c r="CR42" s="245">
        <f t="shared" ref="CR42:DJ42" si="258">SUM(CR39/CR40)</f>
        <v>0.51528291064875575</v>
      </c>
      <c r="CS42" s="245">
        <f t="shared" si="258"/>
        <v>0.51854515379208677</v>
      </c>
      <c r="CT42" s="246">
        <f t="shared" si="258"/>
        <v>0.52231954867298591</v>
      </c>
      <c r="CU42" s="245">
        <f t="shared" si="258"/>
        <v>0.52516393869697575</v>
      </c>
      <c r="CV42" s="245">
        <f t="shared" si="258"/>
        <v>0.52840798175047454</v>
      </c>
      <c r="CW42" s="245">
        <f t="shared" si="258"/>
        <v>0.53108880942381931</v>
      </c>
      <c r="CX42" s="245">
        <f t="shared" si="258"/>
        <v>0.53399132187626164</v>
      </c>
      <c r="CY42" s="245">
        <f t="shared" si="258"/>
        <v>0.53705503031109469</v>
      </c>
      <c r="CZ42" s="245">
        <f t="shared" si="258"/>
        <v>0.54104574790475868</v>
      </c>
      <c r="DA42" s="245">
        <f t="shared" si="258"/>
        <v>0.54555331803062623</v>
      </c>
      <c r="DB42" s="245">
        <f t="shared" si="258"/>
        <v>0.55015484057070996</v>
      </c>
      <c r="DC42" s="245">
        <f t="shared" si="258"/>
        <v>0.55325210725151897</v>
      </c>
      <c r="DD42" s="245">
        <f t="shared" si="258"/>
        <v>0.55533116837476049</v>
      </c>
      <c r="DE42" s="245">
        <f t="shared" si="258"/>
        <v>0.55767101672098107</v>
      </c>
      <c r="DF42" s="246">
        <f t="shared" si="258"/>
        <v>0.55991931531020012</v>
      </c>
      <c r="DG42" s="315">
        <f t="shared" si="258"/>
        <v>0.56225315285911792</v>
      </c>
      <c r="DH42" s="315">
        <f t="shared" si="258"/>
        <v>0.56325529696219645</v>
      </c>
      <c r="DI42" s="315">
        <f t="shared" si="258"/>
        <v>0.56527369051365473</v>
      </c>
      <c r="DJ42" s="315">
        <f t="shared" si="258"/>
        <v>0.56779314552109705</v>
      </c>
      <c r="DK42" s="315">
        <f t="shared" ref="DK42:FQ42" si="259">SUM(DK39/DK40)</f>
        <v>0.56941881813957418</v>
      </c>
      <c r="DL42" s="315">
        <f t="shared" si="259"/>
        <v>0.5714082066455265</v>
      </c>
      <c r="DM42" s="315">
        <f t="shared" si="259"/>
        <v>0.57304781632366697</v>
      </c>
      <c r="DN42" s="315">
        <f t="shared" si="259"/>
        <v>0.57439640878756071</v>
      </c>
      <c r="DO42" s="315">
        <f t="shared" si="259"/>
        <v>0.57420573946344966</v>
      </c>
      <c r="DP42" s="315">
        <f t="shared" si="259"/>
        <v>0.57499609093474291</v>
      </c>
      <c r="DQ42" s="315">
        <f t="shared" si="259"/>
        <v>0.57581781180067504</v>
      </c>
      <c r="DR42" s="315">
        <f t="shared" si="259"/>
        <v>0.57721300591829583</v>
      </c>
      <c r="DS42" s="315">
        <f t="shared" si="259"/>
        <v>0.57863110814840168</v>
      </c>
      <c r="DT42" s="315">
        <f t="shared" si="259"/>
        <v>0.57978246137591471</v>
      </c>
      <c r="DU42" s="315">
        <f t="shared" si="259"/>
        <v>0.5814324717171363</v>
      </c>
      <c r="DV42" s="357">
        <f t="shared" si="259"/>
        <v>0.58361051134301145</v>
      </c>
      <c r="DW42" s="357">
        <f t="shared" si="259"/>
        <v>0.58585106815451682</v>
      </c>
      <c r="DX42" s="357">
        <f t="shared" si="259"/>
        <v>0.58809107984021358</v>
      </c>
      <c r="DY42" s="357">
        <f t="shared" si="259"/>
        <v>0.59034242091084432</v>
      </c>
      <c r="DZ42" s="357">
        <f t="shared" si="259"/>
        <v>0.59006474091508543</v>
      </c>
      <c r="EA42" s="357">
        <f t="shared" si="259"/>
        <v>0.59023969108851904</v>
      </c>
      <c r="EB42" s="357">
        <f t="shared" si="259"/>
        <v>0.59026197727738616</v>
      </c>
      <c r="EC42" s="357">
        <f t="shared" si="259"/>
        <v>0.59217992466208735</v>
      </c>
      <c r="ED42" s="357">
        <f t="shared" si="259"/>
        <v>0.59366142940728595</v>
      </c>
      <c r="EE42" s="357">
        <f t="shared" si="259"/>
        <v>0.59631706022091102</v>
      </c>
      <c r="EF42" s="357">
        <f t="shared" si="259"/>
        <v>0.59757001862213854</v>
      </c>
      <c r="EG42" s="357">
        <f t="shared" si="259"/>
        <v>0.59971680039981123</v>
      </c>
      <c r="EH42" s="357">
        <f t="shared" si="259"/>
        <v>0.60195840239477405</v>
      </c>
      <c r="EI42" s="357">
        <f t="shared" si="259"/>
        <v>0.60342752634787533</v>
      </c>
      <c r="EJ42" s="357">
        <f t="shared" si="259"/>
        <v>0.60591463853411864</v>
      </c>
      <c r="EK42" s="357">
        <f t="shared" si="259"/>
        <v>0.60740140091334438</v>
      </c>
      <c r="EL42" s="357">
        <f t="shared" si="259"/>
        <v>0.60841173325655584</v>
      </c>
      <c r="EM42" s="357">
        <f t="shared" si="259"/>
        <v>0.60921718869412311</v>
      </c>
      <c r="EN42" s="357">
        <f t="shared" si="259"/>
        <v>0.60933567379326004</v>
      </c>
      <c r="EO42" s="357">
        <f t="shared" si="259"/>
        <v>0.61262288696601441</v>
      </c>
      <c r="EP42" s="357">
        <f t="shared" si="259"/>
        <v>0.61112806592029811</v>
      </c>
      <c r="EQ42" s="357">
        <f t="shared" si="259"/>
        <v>0.6114247077923628</v>
      </c>
      <c r="ER42" s="357">
        <f t="shared" si="259"/>
        <v>0.61429169131831685</v>
      </c>
      <c r="ES42" s="357">
        <f t="shared" si="259"/>
        <v>0.61691821316279016</v>
      </c>
      <c r="ET42" s="357">
        <f t="shared" si="259"/>
        <v>0.61909992040661777</v>
      </c>
      <c r="EU42" s="357">
        <f t="shared" si="259"/>
        <v>0.61989631632488007</v>
      </c>
      <c r="EV42" s="357">
        <f t="shared" si="259"/>
        <v>0.62173060296450933</v>
      </c>
      <c r="EW42" s="357">
        <f t="shared" si="259"/>
        <v>0.62395096460291255</v>
      </c>
      <c r="EX42" s="357">
        <f t="shared" si="259"/>
        <v>0.62428087961288126</v>
      </c>
      <c r="EY42" s="354">
        <f t="shared" si="259"/>
        <v>0.62469553114281451</v>
      </c>
      <c r="EZ42" s="354">
        <f t="shared" si="259"/>
        <v>0.62554685566745571</v>
      </c>
      <c r="FA42" s="354">
        <f t="shared" si="259"/>
        <v>0.626715010889767</v>
      </c>
      <c r="FB42" s="354">
        <f t="shared" si="259"/>
        <v>0.62811967143458092</v>
      </c>
      <c r="FC42" s="354">
        <f t="shared" si="259"/>
        <v>0.6293907001467488</v>
      </c>
      <c r="FD42" s="354">
        <f t="shared" si="259"/>
        <v>0.63096976290135387</v>
      </c>
      <c r="FE42" s="354">
        <f t="shared" si="259"/>
        <v>0.63269111406355283</v>
      </c>
      <c r="FF42" s="354">
        <f t="shared" si="259"/>
        <v>0.63386796275838175</v>
      </c>
      <c r="FG42" s="354">
        <f t="shared" si="259"/>
        <v>0.63499356489095149</v>
      </c>
      <c r="FH42" s="354">
        <f t="shared" si="259"/>
        <v>0.6371586708160154</v>
      </c>
      <c r="FI42" s="354">
        <f t="shared" si="259"/>
        <v>0.64057983442341249</v>
      </c>
      <c r="FJ42" s="354">
        <f t="shared" si="259"/>
        <v>0.64338000313543886</v>
      </c>
      <c r="FK42" s="354">
        <f t="shared" si="259"/>
        <v>0.64481189416250784</v>
      </c>
      <c r="FL42" s="354">
        <f t="shared" si="259"/>
        <v>0.64559122483794495</v>
      </c>
      <c r="FM42" s="354">
        <f t="shared" si="259"/>
        <v>0.64607889674469732</v>
      </c>
      <c r="FN42" s="354">
        <f t="shared" si="259"/>
        <v>0.64666826796809806</v>
      </c>
      <c r="FO42" s="354">
        <f t="shared" si="259"/>
        <v>0.64699761565049341</v>
      </c>
      <c r="FP42" s="354">
        <f t="shared" si="259"/>
        <v>0.64751756077647493</v>
      </c>
      <c r="FQ42" s="354">
        <f t="shared" si="259"/>
        <v>0.64908009327794747</v>
      </c>
      <c r="FR42" s="354">
        <f t="shared" ref="FR42:FT42" si="260">SUM(FR39/FR40)</f>
        <v>0.65080243611289412</v>
      </c>
      <c r="FS42" s="354">
        <f t="shared" si="260"/>
        <v>0.65200148035938921</v>
      </c>
      <c r="FT42" s="354">
        <f t="shared" si="260"/>
        <v>0.65239399969824308</v>
      </c>
    </row>
    <row r="43" spans="2:182" ht="13.5" customHeight="1" x14ac:dyDescent="0.25">
      <c r="H43" s="7"/>
      <c r="K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20"/>
      <c r="DS43" s="302"/>
      <c r="DT43" s="302"/>
      <c r="DU43" s="302"/>
    </row>
    <row r="44" spans="2:182" ht="13.5" customHeight="1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F44" s="20"/>
      <c r="DS44" s="302"/>
      <c r="DT44" s="302"/>
      <c r="DU44" s="302"/>
    </row>
    <row r="45" spans="2:182" ht="13.5" customHeight="1" x14ac:dyDescent="0.25">
      <c r="B45" s="2"/>
      <c r="C45" s="575" t="s">
        <v>79</v>
      </c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 t="s">
        <v>79</v>
      </c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 t="s">
        <v>79</v>
      </c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 t="s">
        <v>79</v>
      </c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 t="s">
        <v>79</v>
      </c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 t="s">
        <v>79</v>
      </c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 t="s">
        <v>79</v>
      </c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93" t="s">
        <v>79</v>
      </c>
      <c r="CV45" s="593"/>
      <c r="CW45" s="593"/>
      <c r="CX45" s="593"/>
      <c r="CY45" s="593"/>
      <c r="CZ45" s="593"/>
      <c r="DA45" s="593"/>
      <c r="DB45" s="593"/>
      <c r="DC45" s="593"/>
      <c r="DD45" s="593"/>
      <c r="DE45" s="593"/>
      <c r="DF45" s="594"/>
      <c r="DG45" s="591" t="s">
        <v>79</v>
      </c>
      <c r="DH45" s="575"/>
      <c r="DI45" s="575"/>
      <c r="DJ45" s="575"/>
      <c r="DK45" s="575"/>
      <c r="DL45" s="575"/>
      <c r="DM45" s="575"/>
      <c r="DN45" s="575"/>
      <c r="DO45" s="575"/>
      <c r="DP45" s="575"/>
      <c r="DQ45" s="575"/>
      <c r="DR45" s="575"/>
      <c r="DS45" s="591" t="s">
        <v>79</v>
      </c>
      <c r="DT45" s="575"/>
      <c r="DU45" s="575"/>
      <c r="DV45" s="575"/>
      <c r="DW45" s="575"/>
      <c r="DX45" s="575"/>
      <c r="DY45" s="575"/>
      <c r="DZ45" s="575"/>
      <c r="EA45" s="575"/>
      <c r="EB45" s="575"/>
      <c r="EC45" s="575"/>
      <c r="ED45" s="575"/>
      <c r="EE45" s="591" t="s">
        <v>79</v>
      </c>
      <c r="EF45" s="575"/>
      <c r="EG45" s="575"/>
      <c r="EH45" s="575"/>
      <c r="EI45" s="575"/>
      <c r="EJ45" s="575"/>
      <c r="EK45" s="575"/>
      <c r="EL45" s="575"/>
      <c r="EM45" s="575"/>
      <c r="EN45" s="575"/>
      <c r="EO45" s="575"/>
      <c r="EP45" s="575"/>
      <c r="EQ45" s="583" t="s">
        <v>79</v>
      </c>
      <c r="ER45" s="583"/>
      <c r="ES45" s="583"/>
      <c r="ET45" s="583"/>
      <c r="EU45" s="583"/>
      <c r="EV45" s="583"/>
      <c r="EW45" s="583"/>
      <c r="EX45" s="583"/>
      <c r="EY45" s="583"/>
      <c r="EZ45" s="583"/>
      <c r="FA45" s="583"/>
      <c r="FB45" s="583"/>
      <c r="FC45" s="583" t="s">
        <v>79</v>
      </c>
      <c r="FD45" s="575"/>
      <c r="FE45" s="575"/>
      <c r="FF45" s="575"/>
      <c r="FG45" s="575"/>
      <c r="FH45" s="575"/>
      <c r="FI45" s="575"/>
      <c r="FJ45" s="575"/>
      <c r="FK45" s="575"/>
      <c r="FL45" s="575"/>
      <c r="FM45" s="575"/>
      <c r="FN45" s="575"/>
      <c r="FO45" s="583" t="s">
        <v>79</v>
      </c>
      <c r="FP45" s="575"/>
      <c r="FQ45" s="575"/>
      <c r="FR45" s="575"/>
      <c r="FS45" s="575"/>
      <c r="FT45" s="575"/>
      <c r="FU45" s="575"/>
      <c r="FV45" s="575"/>
      <c r="FW45" s="575"/>
      <c r="FX45" s="575"/>
      <c r="FY45" s="575"/>
      <c r="FZ45" s="575"/>
    </row>
    <row r="46" spans="2:182" ht="13.5" customHeight="1" thickBot="1" x14ac:dyDescent="0.3">
      <c r="B46" s="2"/>
      <c r="C46" s="582" t="s">
        <v>46</v>
      </c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 t="s">
        <v>46</v>
      </c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 t="s">
        <v>46</v>
      </c>
      <c r="AB46" s="582"/>
      <c r="AC46" s="582"/>
      <c r="AD46" s="582"/>
      <c r="AE46" s="582"/>
      <c r="AF46" s="582"/>
      <c r="AG46" s="582"/>
      <c r="AH46" s="582"/>
      <c r="AI46" s="582"/>
      <c r="AJ46" s="582"/>
      <c r="AK46" s="582"/>
      <c r="AL46" s="582"/>
      <c r="AM46" s="582" t="s">
        <v>46</v>
      </c>
      <c r="AN46" s="582"/>
      <c r="AO46" s="582"/>
      <c r="AP46" s="582"/>
      <c r="AQ46" s="582"/>
      <c r="AR46" s="582"/>
      <c r="AS46" s="582"/>
      <c r="AT46" s="582"/>
      <c r="AU46" s="582"/>
      <c r="AV46" s="582"/>
      <c r="AW46" s="582"/>
      <c r="AX46" s="582"/>
      <c r="AY46" s="582" t="s">
        <v>46</v>
      </c>
      <c r="AZ46" s="582"/>
      <c r="BA46" s="582"/>
      <c r="BB46" s="582"/>
      <c r="BC46" s="582"/>
      <c r="BD46" s="582"/>
      <c r="BE46" s="582"/>
      <c r="BF46" s="582"/>
      <c r="BG46" s="582"/>
      <c r="BH46" s="582"/>
      <c r="BI46" s="582"/>
      <c r="BJ46" s="582"/>
      <c r="BK46" s="582" t="s">
        <v>46</v>
      </c>
      <c r="BL46" s="582"/>
      <c r="BM46" s="582"/>
      <c r="BN46" s="582"/>
      <c r="BO46" s="582"/>
      <c r="BP46" s="582"/>
      <c r="BQ46" s="582"/>
      <c r="BR46" s="582"/>
      <c r="BS46" s="582"/>
      <c r="BT46" s="582"/>
      <c r="BU46" s="582"/>
      <c r="BV46" s="582"/>
      <c r="BW46" s="582" t="s">
        <v>46</v>
      </c>
      <c r="BX46" s="582"/>
      <c r="BY46" s="582"/>
      <c r="BZ46" s="582"/>
      <c r="CA46" s="582"/>
      <c r="CB46" s="582"/>
      <c r="CC46" s="582"/>
      <c r="CD46" s="582"/>
      <c r="CE46" s="582"/>
      <c r="CF46" s="582"/>
      <c r="CG46" s="582"/>
      <c r="CH46" s="582"/>
      <c r="CI46" s="576" t="s">
        <v>23</v>
      </c>
      <c r="CJ46" s="576"/>
      <c r="CK46" s="576"/>
      <c r="CL46" s="576"/>
      <c r="CM46" s="576"/>
      <c r="CN46" s="576"/>
      <c r="CO46" s="576"/>
      <c r="CP46" s="576"/>
      <c r="CQ46" s="576"/>
      <c r="CR46" s="576"/>
      <c r="CS46" s="576"/>
      <c r="CT46" s="576"/>
      <c r="CU46" s="593" t="s">
        <v>23</v>
      </c>
      <c r="CV46" s="593"/>
      <c r="CW46" s="593"/>
      <c r="CX46" s="593"/>
      <c r="CY46" s="593"/>
      <c r="CZ46" s="593"/>
      <c r="DA46" s="593"/>
      <c r="DB46" s="593"/>
      <c r="DC46" s="593"/>
      <c r="DD46" s="593"/>
      <c r="DE46" s="593"/>
      <c r="DF46" s="594"/>
      <c r="DG46" s="584" t="s">
        <v>23</v>
      </c>
      <c r="DH46" s="582"/>
      <c r="DI46" s="582"/>
      <c r="DJ46" s="582"/>
      <c r="DK46" s="582"/>
      <c r="DL46" s="582"/>
      <c r="DM46" s="582"/>
      <c r="DN46" s="582"/>
      <c r="DO46" s="582"/>
      <c r="DP46" s="582"/>
      <c r="DQ46" s="582"/>
      <c r="DR46" s="582"/>
      <c r="DS46" s="584" t="s">
        <v>46</v>
      </c>
      <c r="DT46" s="582"/>
      <c r="DU46" s="582"/>
      <c r="DV46" s="582"/>
      <c r="DW46" s="582"/>
      <c r="DX46" s="582"/>
      <c r="DY46" s="582"/>
      <c r="DZ46" s="582"/>
      <c r="EA46" s="582"/>
      <c r="EB46" s="582"/>
      <c r="EC46" s="582"/>
      <c r="ED46" s="582"/>
      <c r="EE46" s="584" t="s">
        <v>46</v>
      </c>
      <c r="EF46" s="582"/>
      <c r="EG46" s="582"/>
      <c r="EH46" s="582"/>
      <c r="EI46" s="582"/>
      <c r="EJ46" s="582"/>
      <c r="EK46" s="582"/>
      <c r="EL46" s="582"/>
      <c r="EM46" s="582"/>
      <c r="EN46" s="582"/>
      <c r="EO46" s="582"/>
      <c r="EP46" s="582"/>
      <c r="EQ46" s="582" t="s">
        <v>46</v>
      </c>
      <c r="ER46" s="582"/>
      <c r="ES46" s="582"/>
      <c r="ET46" s="582"/>
      <c r="EU46" s="582"/>
      <c r="EV46" s="582"/>
      <c r="EW46" s="582"/>
      <c r="EX46" s="582"/>
      <c r="EY46" s="582"/>
      <c r="EZ46" s="582"/>
      <c r="FA46" s="582"/>
      <c r="FB46" s="582"/>
      <c r="FC46" s="582" t="s">
        <v>46</v>
      </c>
      <c r="FD46" s="582"/>
      <c r="FE46" s="582"/>
      <c r="FF46" s="582"/>
      <c r="FG46" s="582"/>
      <c r="FH46" s="582"/>
      <c r="FI46" s="582"/>
      <c r="FJ46" s="582"/>
      <c r="FK46" s="582"/>
      <c r="FL46" s="582"/>
      <c r="FM46" s="582"/>
      <c r="FN46" s="582"/>
      <c r="FO46" s="582" t="s">
        <v>46</v>
      </c>
      <c r="FP46" s="582"/>
      <c r="FQ46" s="582"/>
      <c r="FR46" s="582"/>
      <c r="FS46" s="582"/>
      <c r="FT46" s="582"/>
      <c r="FU46" s="582"/>
      <c r="FV46" s="582"/>
      <c r="FW46" s="582"/>
      <c r="FX46" s="582"/>
      <c r="FY46" s="582"/>
      <c r="FZ46" s="582"/>
    </row>
    <row r="47" spans="2:182" ht="13.5" customHeight="1" thickBot="1" x14ac:dyDescent="0.3">
      <c r="B47" s="2"/>
      <c r="C47" s="579">
        <v>2002</v>
      </c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1"/>
      <c r="O47" s="579">
        <v>2003</v>
      </c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1"/>
      <c r="AA47" s="579">
        <v>2004</v>
      </c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1"/>
      <c r="AM47" s="579">
        <v>2005</v>
      </c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1"/>
      <c r="AY47" s="579">
        <v>2006</v>
      </c>
      <c r="AZ47" s="580"/>
      <c r="BA47" s="580"/>
      <c r="BB47" s="580"/>
      <c r="BC47" s="580"/>
      <c r="BD47" s="580"/>
      <c r="BE47" s="580"/>
      <c r="BF47" s="580"/>
      <c r="BG47" s="580"/>
      <c r="BH47" s="580"/>
      <c r="BI47" s="580"/>
      <c r="BJ47" s="581"/>
      <c r="BK47" s="579">
        <v>2007</v>
      </c>
      <c r="BL47" s="580"/>
      <c r="BM47" s="580"/>
      <c r="BN47" s="580"/>
      <c r="BO47" s="580"/>
      <c r="BP47" s="580"/>
      <c r="BQ47" s="580"/>
      <c r="BR47" s="580"/>
      <c r="BS47" s="580"/>
      <c r="BT47" s="580"/>
      <c r="BU47" s="580"/>
      <c r="BV47" s="581"/>
      <c r="BW47" s="579">
        <v>2007</v>
      </c>
      <c r="BX47" s="580"/>
      <c r="BY47" s="580"/>
      <c r="BZ47" s="580"/>
      <c r="CA47" s="580"/>
      <c r="CB47" s="580"/>
      <c r="CC47" s="580"/>
      <c r="CD47" s="580"/>
      <c r="CE47" s="580"/>
      <c r="CF47" s="580"/>
      <c r="CG47" s="580"/>
      <c r="CH47" s="581"/>
      <c r="CI47" s="572">
        <v>2009</v>
      </c>
      <c r="CJ47" s="573"/>
      <c r="CK47" s="573"/>
      <c r="CL47" s="573"/>
      <c r="CM47" s="573"/>
      <c r="CN47" s="573"/>
      <c r="CO47" s="573"/>
      <c r="CP47" s="573"/>
      <c r="CQ47" s="573"/>
      <c r="CR47" s="573"/>
      <c r="CS47" s="573"/>
      <c r="CT47" s="574"/>
      <c r="CU47" s="572">
        <v>2010</v>
      </c>
      <c r="CV47" s="573"/>
      <c r="CW47" s="573"/>
      <c r="CX47" s="573"/>
      <c r="CY47" s="573"/>
      <c r="CZ47" s="573"/>
      <c r="DA47" s="573"/>
      <c r="DB47" s="573"/>
      <c r="DC47" s="573"/>
      <c r="DD47" s="573"/>
      <c r="DE47" s="573"/>
      <c r="DF47" s="574"/>
      <c r="DG47" s="579">
        <v>2011</v>
      </c>
      <c r="DH47" s="580"/>
      <c r="DI47" s="580"/>
      <c r="DJ47" s="580"/>
      <c r="DK47" s="580"/>
      <c r="DL47" s="580"/>
      <c r="DM47" s="580"/>
      <c r="DN47" s="580"/>
      <c r="DO47" s="580"/>
      <c r="DP47" s="580"/>
      <c r="DQ47" s="580"/>
      <c r="DR47" s="581"/>
      <c r="DS47" s="579">
        <v>2012</v>
      </c>
      <c r="DT47" s="580"/>
      <c r="DU47" s="580"/>
      <c r="DV47" s="580"/>
      <c r="DW47" s="580"/>
      <c r="DX47" s="580"/>
      <c r="DY47" s="580"/>
      <c r="DZ47" s="580"/>
      <c r="EA47" s="580"/>
      <c r="EB47" s="580"/>
      <c r="EC47" s="580"/>
      <c r="ED47" s="581"/>
      <c r="EE47" s="579">
        <v>2013</v>
      </c>
      <c r="EF47" s="580"/>
      <c r="EG47" s="580"/>
      <c r="EH47" s="580"/>
      <c r="EI47" s="580"/>
      <c r="EJ47" s="580"/>
      <c r="EK47" s="580"/>
      <c r="EL47" s="580"/>
      <c r="EM47" s="580"/>
      <c r="EN47" s="580"/>
      <c r="EO47" s="580"/>
      <c r="EP47" s="581"/>
      <c r="EQ47" s="584">
        <v>2014</v>
      </c>
      <c r="ER47" s="582"/>
      <c r="ES47" s="582"/>
      <c r="ET47" s="582"/>
      <c r="EU47" s="582"/>
      <c r="EV47" s="582"/>
      <c r="EW47" s="582"/>
      <c r="EX47" s="582"/>
      <c r="EY47" s="582"/>
      <c r="EZ47" s="582"/>
      <c r="FA47" s="582"/>
      <c r="FB47" s="585"/>
      <c r="FC47" s="579">
        <v>2015</v>
      </c>
      <c r="FD47" s="580"/>
      <c r="FE47" s="580"/>
      <c r="FF47" s="580"/>
      <c r="FG47" s="580"/>
      <c r="FH47" s="580"/>
      <c r="FI47" s="580"/>
      <c r="FJ47" s="580"/>
      <c r="FK47" s="580"/>
      <c r="FL47" s="580"/>
      <c r="FM47" s="580"/>
      <c r="FN47" s="581"/>
      <c r="FO47" s="579">
        <v>2016</v>
      </c>
      <c r="FP47" s="580"/>
      <c r="FQ47" s="580"/>
      <c r="FR47" s="580"/>
      <c r="FS47" s="580"/>
      <c r="FT47" s="580"/>
      <c r="FU47" s="580"/>
      <c r="FV47" s="580"/>
      <c r="FW47" s="580"/>
      <c r="FX47" s="580"/>
      <c r="FY47" s="580"/>
      <c r="FZ47" s="581"/>
    </row>
    <row r="48" spans="2:182" ht="13.5" customHeight="1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1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62" t="s">
        <v>71</v>
      </c>
      <c r="CU48" s="293" t="s">
        <v>72</v>
      </c>
      <c r="CV48" s="292" t="s">
        <v>73</v>
      </c>
      <c r="CW48" s="292" t="s">
        <v>2</v>
      </c>
      <c r="CX48" s="292" t="s">
        <v>3</v>
      </c>
      <c r="CY48" s="292" t="s">
        <v>4</v>
      </c>
      <c r="CZ48" s="292" t="s">
        <v>5</v>
      </c>
      <c r="DA48" s="292" t="s">
        <v>6</v>
      </c>
      <c r="DB48" s="292" t="s">
        <v>7</v>
      </c>
      <c r="DC48" s="292" t="s">
        <v>68</v>
      </c>
      <c r="DD48" s="292" t="s">
        <v>69</v>
      </c>
      <c r="DE48" s="292" t="s">
        <v>70</v>
      </c>
      <c r="DF48" s="292" t="s">
        <v>71</v>
      </c>
      <c r="DG48" s="293" t="s">
        <v>72</v>
      </c>
      <c r="DH48" s="292" t="s">
        <v>73</v>
      </c>
      <c r="DI48" s="292" t="s">
        <v>2</v>
      </c>
      <c r="DJ48" s="292" t="s">
        <v>3</v>
      </c>
      <c r="DK48" s="292" t="s">
        <v>4</v>
      </c>
      <c r="DL48" s="292" t="s">
        <v>5</v>
      </c>
      <c r="DM48" s="292" t="s">
        <v>6</v>
      </c>
      <c r="DN48" s="292" t="s">
        <v>7</v>
      </c>
      <c r="DO48" s="292" t="s">
        <v>68</v>
      </c>
      <c r="DP48" s="292" t="s">
        <v>69</v>
      </c>
      <c r="DQ48" s="292" t="s">
        <v>70</v>
      </c>
      <c r="DR48" s="262" t="s">
        <v>71</v>
      </c>
      <c r="DS48" s="293" t="s">
        <v>72</v>
      </c>
      <c r="DT48" s="292" t="s">
        <v>73</v>
      </c>
      <c r="DU48" s="292" t="s">
        <v>2</v>
      </c>
      <c r="DV48" s="292" t="s">
        <v>3</v>
      </c>
      <c r="DW48" s="292" t="s">
        <v>4</v>
      </c>
      <c r="DX48" s="292" t="s">
        <v>5</v>
      </c>
      <c r="DY48" s="292" t="s">
        <v>6</v>
      </c>
      <c r="DZ48" s="213" t="s">
        <v>7</v>
      </c>
      <c r="EA48" s="292" t="s">
        <v>68</v>
      </c>
      <c r="EB48" s="292" t="s">
        <v>69</v>
      </c>
      <c r="EC48" s="292" t="s">
        <v>70</v>
      </c>
      <c r="ED48" s="262" t="s">
        <v>71</v>
      </c>
      <c r="EE48" s="262" t="s">
        <v>72</v>
      </c>
      <c r="EF48" s="262" t="s">
        <v>73</v>
      </c>
      <c r="EG48" s="262" t="s">
        <v>2</v>
      </c>
      <c r="EH48" s="262" t="s">
        <v>3</v>
      </c>
      <c r="EI48" s="262" t="s">
        <v>4</v>
      </c>
      <c r="EJ48" s="262" t="s">
        <v>5</v>
      </c>
      <c r="EK48" s="262" t="s">
        <v>6</v>
      </c>
      <c r="EL48" s="262" t="s">
        <v>7</v>
      </c>
      <c r="EM48" s="262" t="s">
        <v>68</v>
      </c>
      <c r="EN48" s="262" t="s">
        <v>69</v>
      </c>
      <c r="EO48" s="262" t="s">
        <v>70</v>
      </c>
      <c r="EP48" s="262" t="s">
        <v>71</v>
      </c>
      <c r="EQ48" s="262" t="s">
        <v>72</v>
      </c>
      <c r="ER48" s="262" t="s">
        <v>73</v>
      </c>
      <c r="ES48" s="262" t="s">
        <v>2</v>
      </c>
      <c r="ET48" s="262" t="s">
        <v>3</v>
      </c>
      <c r="EU48" s="262" t="s">
        <v>4</v>
      </c>
      <c r="EV48" s="262" t="s">
        <v>5</v>
      </c>
      <c r="EW48" s="262" t="s">
        <v>6</v>
      </c>
      <c r="EX48" s="262" t="s">
        <v>7</v>
      </c>
      <c r="EY48" s="262" t="s">
        <v>68</v>
      </c>
      <c r="EZ48" s="262" t="s">
        <v>69</v>
      </c>
      <c r="FA48" s="262" t="s">
        <v>70</v>
      </c>
      <c r="FB48" s="262" t="s">
        <v>71</v>
      </c>
      <c r="FC48" s="262" t="s">
        <v>72</v>
      </c>
      <c r="FD48" s="262" t="s">
        <v>73</v>
      </c>
      <c r="FE48" s="262" t="s">
        <v>2</v>
      </c>
      <c r="FF48" s="262" t="s">
        <v>3</v>
      </c>
      <c r="FG48" s="262" t="s">
        <v>4</v>
      </c>
      <c r="FH48" s="262" t="s">
        <v>5</v>
      </c>
      <c r="FI48" s="262" t="s">
        <v>6</v>
      </c>
      <c r="FJ48" s="262" t="s">
        <v>7</v>
      </c>
      <c r="FK48" s="262" t="s">
        <v>68</v>
      </c>
      <c r="FL48" s="262" t="s">
        <v>69</v>
      </c>
      <c r="FM48" s="262" t="s">
        <v>70</v>
      </c>
      <c r="FN48" s="262" t="s">
        <v>71</v>
      </c>
      <c r="FO48" s="262" t="s">
        <v>72</v>
      </c>
      <c r="FP48" s="262" t="s">
        <v>73</v>
      </c>
      <c r="FQ48" s="262" t="s">
        <v>2</v>
      </c>
      <c r="FR48" s="262" t="s">
        <v>3</v>
      </c>
      <c r="FS48" s="262" t="s">
        <v>4</v>
      </c>
      <c r="FT48" s="262" t="s">
        <v>5</v>
      </c>
    </row>
    <row r="49" spans="2:176" ht="13.5" customHeight="1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42"/>
      <c r="L49" s="18"/>
      <c r="M49" s="18"/>
      <c r="N49" s="20"/>
      <c r="O49" s="18"/>
      <c r="P49" s="18"/>
      <c r="Q49" s="18"/>
      <c r="Z49" s="20"/>
      <c r="AL49" s="66"/>
      <c r="AX49" s="66"/>
      <c r="BJ49" s="66"/>
      <c r="BV49" s="20"/>
      <c r="CH49" s="20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S49" s="302"/>
      <c r="DT49" s="302"/>
      <c r="DU49" s="302"/>
    </row>
    <row r="50" spans="2:176" ht="13.5" customHeight="1" x14ac:dyDescent="0.25">
      <c r="B50" s="3"/>
      <c r="C50" s="18"/>
      <c r="D50" s="18"/>
      <c r="E50" s="18"/>
      <c r="F50" s="18"/>
      <c r="G50" s="18"/>
      <c r="H50" s="19"/>
      <c r="I50" s="18"/>
      <c r="J50" s="18"/>
      <c r="K50" s="42"/>
      <c r="L50" s="18"/>
      <c r="M50" s="18"/>
      <c r="N50" s="20"/>
      <c r="O50" s="18"/>
      <c r="P50" s="18"/>
      <c r="Q50" s="18"/>
      <c r="Z50" s="20"/>
      <c r="AL50" s="20"/>
      <c r="AX50" s="20"/>
      <c r="BJ50" s="20"/>
      <c r="BV50" s="20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S50" s="302"/>
      <c r="DT50" s="302"/>
      <c r="DU50" s="302"/>
      <c r="DV50" s="302"/>
      <c r="DW50" s="302"/>
      <c r="DX50" s="302"/>
    </row>
    <row r="51" spans="2:176" s="68" customFormat="1" ht="13.5" customHeight="1" x14ac:dyDescent="0.25">
      <c r="B51" s="87" t="s">
        <v>1</v>
      </c>
      <c r="C51" s="103">
        <v>1307488.9950000001</v>
      </c>
      <c r="D51" s="103">
        <v>1307488.9950000001</v>
      </c>
      <c r="E51" s="69">
        <v>1307488.9950000001</v>
      </c>
      <c r="F51" s="69">
        <v>1256908.5820000002</v>
      </c>
      <c r="G51" s="69">
        <v>1698216.4639999999</v>
      </c>
      <c r="H51" s="69">
        <v>1965064.942</v>
      </c>
      <c r="I51" s="69">
        <v>2338594.9190000002</v>
      </c>
      <c r="J51" s="69">
        <v>2550588.031</v>
      </c>
      <c r="K51" s="71">
        <v>2508576.2109999997</v>
      </c>
      <c r="L51" s="69">
        <v>2154780.8820000002</v>
      </c>
      <c r="M51" s="69">
        <v>1454796.8390000002</v>
      </c>
      <c r="N51" s="89">
        <v>1207938.689</v>
      </c>
      <c r="O51" s="71">
        <v>1497822</v>
      </c>
      <c r="P51" s="71">
        <v>1434885</v>
      </c>
      <c r="Q51" s="69">
        <v>1274242</v>
      </c>
      <c r="R51" s="71">
        <v>1097718.96</v>
      </c>
      <c r="S51" s="71">
        <v>1440763.72</v>
      </c>
      <c r="T51" s="71">
        <v>2184961.54</v>
      </c>
      <c r="U51" s="71">
        <v>2432846.42</v>
      </c>
      <c r="V51" s="71">
        <v>2461597.17</v>
      </c>
      <c r="W51" s="71">
        <v>2496055.04</v>
      </c>
      <c r="X51" s="71">
        <v>1857315.24</v>
      </c>
      <c r="Y51" s="71">
        <v>1407219.56</v>
      </c>
      <c r="Z51" s="190">
        <v>1288693</v>
      </c>
      <c r="AA51" s="68">
        <v>1404336.79</v>
      </c>
      <c r="AB51" s="68">
        <v>1282333.33</v>
      </c>
      <c r="AC51" s="68">
        <v>1195993.73</v>
      </c>
      <c r="AD51" s="68">
        <v>1079220.3999999999</v>
      </c>
      <c r="AE51" s="68">
        <v>1256604.6399999999</v>
      </c>
      <c r="AF51" s="68">
        <v>1741665.62</v>
      </c>
      <c r="AG51" s="68">
        <v>2144952.5</v>
      </c>
      <c r="AH51" s="68">
        <v>2384868.4500000002</v>
      </c>
      <c r="AI51" s="68">
        <v>2216933.1</v>
      </c>
      <c r="AJ51" s="68">
        <v>2082335.7339999999</v>
      </c>
      <c r="AK51" s="68">
        <v>1579512.966</v>
      </c>
      <c r="AL51" s="89">
        <v>1183574.719</v>
      </c>
      <c r="AM51" s="68">
        <v>1352516.78</v>
      </c>
      <c r="AN51" s="68">
        <v>1230068.5900000001</v>
      </c>
      <c r="AO51" s="68">
        <v>1027009.08</v>
      </c>
      <c r="AP51" s="68">
        <v>1036373.32</v>
      </c>
      <c r="AQ51" s="68">
        <v>1088768.99</v>
      </c>
      <c r="AR51" s="68">
        <v>1671902.7</v>
      </c>
      <c r="AS51" s="68">
        <v>2294949.77</v>
      </c>
      <c r="AT51" s="68">
        <v>2165766.12</v>
      </c>
      <c r="AU51" s="68">
        <v>2121188.7799999998</v>
      </c>
      <c r="AV51" s="68">
        <v>2078483.89</v>
      </c>
      <c r="AW51" s="68">
        <v>1283293.43</v>
      </c>
      <c r="AX51" s="89">
        <v>1111047.81</v>
      </c>
      <c r="AY51" s="68">
        <v>1189333.3899999999</v>
      </c>
      <c r="AZ51" s="68">
        <v>915887.55</v>
      </c>
      <c r="BA51" s="68">
        <v>950959.3</v>
      </c>
      <c r="BB51" s="68">
        <v>967653.21</v>
      </c>
      <c r="BC51" s="68">
        <v>1307518.08</v>
      </c>
      <c r="BD51" s="68">
        <v>1530963.48</v>
      </c>
      <c r="BE51" s="68">
        <v>1789750.97</v>
      </c>
      <c r="BF51" s="68">
        <v>1866942.64</v>
      </c>
      <c r="BG51" s="68">
        <v>1884944.42</v>
      </c>
      <c r="BH51" s="68">
        <v>1531722.52</v>
      </c>
      <c r="BI51" s="68">
        <v>1041563.46</v>
      </c>
      <c r="BJ51" s="89">
        <v>899652.37</v>
      </c>
      <c r="BK51" s="68">
        <v>1030784.03</v>
      </c>
      <c r="BL51" s="68">
        <v>1036178.99</v>
      </c>
      <c r="BM51" s="68">
        <v>843711.33</v>
      </c>
      <c r="BN51" s="68">
        <v>795435</v>
      </c>
      <c r="BO51" s="68">
        <v>888841</v>
      </c>
      <c r="BP51" s="68">
        <v>1205786</v>
      </c>
      <c r="BQ51" s="68">
        <v>1524936.63</v>
      </c>
      <c r="BR51" s="68">
        <v>1509290.59</v>
      </c>
      <c r="BS51" s="68">
        <v>1708810.96</v>
      </c>
      <c r="BT51" s="68">
        <v>1467197.76</v>
      </c>
      <c r="BU51" s="68">
        <f>1032348.44</f>
        <v>1032348.44</v>
      </c>
      <c r="BV51" s="89">
        <v>837769.19</v>
      </c>
      <c r="BW51" s="68">
        <v>945786.19</v>
      </c>
      <c r="BX51" s="68">
        <v>858124.4</v>
      </c>
      <c r="BY51" s="68">
        <v>708583.65</v>
      </c>
      <c r="BZ51" s="68">
        <v>768292.17</v>
      </c>
      <c r="CA51" s="68">
        <v>821198.24</v>
      </c>
      <c r="CB51" s="68">
        <v>1262950.8700000001</v>
      </c>
      <c r="CC51" s="68">
        <f>1581093.56</f>
        <v>1581093.56</v>
      </c>
      <c r="CD51" s="68">
        <v>1620903.26</v>
      </c>
      <c r="CE51" s="68">
        <v>1557847.84</v>
      </c>
      <c r="CF51" s="68">
        <v>686115.54</v>
      </c>
      <c r="CG51" s="68">
        <v>1178474.8400000001</v>
      </c>
      <c r="CH51" s="89">
        <v>781870.34</v>
      </c>
      <c r="CI51" s="201">
        <v>916176.76</v>
      </c>
      <c r="CJ51" s="69">
        <v>757117.07</v>
      </c>
      <c r="CK51" s="69">
        <v>663963.61</v>
      </c>
      <c r="CL51" s="69">
        <v>707695.75</v>
      </c>
      <c r="CM51" s="69">
        <v>809739.88</v>
      </c>
      <c r="CN51" s="69">
        <v>1161999.01</v>
      </c>
      <c r="CO51" s="69">
        <v>1613997.95</v>
      </c>
      <c r="CP51" s="69">
        <v>1655779.84</v>
      </c>
      <c r="CQ51" s="69">
        <v>1542781.33</v>
      </c>
      <c r="CR51" s="69">
        <v>1127804.58</v>
      </c>
      <c r="CS51" s="69">
        <v>820785.96</v>
      </c>
      <c r="CT51" s="89">
        <v>675050.96</v>
      </c>
      <c r="CU51" s="69">
        <v>929140.44</v>
      </c>
      <c r="CV51" s="69">
        <v>812720.99</v>
      </c>
      <c r="CW51" s="275">
        <v>773257.39</v>
      </c>
      <c r="CX51" s="69">
        <v>619273.43999999994</v>
      </c>
      <c r="CY51" s="69">
        <v>684353.38</v>
      </c>
      <c r="CZ51" s="69">
        <v>1137915.8</v>
      </c>
      <c r="DA51" s="69">
        <v>1394022.94</v>
      </c>
      <c r="DB51" s="69">
        <v>1376257.01</v>
      </c>
      <c r="DC51" s="69">
        <v>1471025.31</v>
      </c>
      <c r="DD51" s="69">
        <v>1152044.23</v>
      </c>
      <c r="DE51" s="69">
        <v>784709.21</v>
      </c>
      <c r="DF51" s="89">
        <v>676263.06</v>
      </c>
      <c r="DG51" s="297">
        <v>780900.9</v>
      </c>
      <c r="DH51" s="297">
        <v>805688.66</v>
      </c>
      <c r="DI51" s="297">
        <v>673194.56</v>
      </c>
      <c r="DJ51" s="275">
        <f>604806.5+980.4</f>
        <v>605786.9</v>
      </c>
      <c r="DK51" s="275">
        <f>839116.9+1213.9</f>
        <v>840330.8</v>
      </c>
      <c r="DL51" s="275">
        <f>1101619.6+1327.3</f>
        <v>1102946.9000000001</v>
      </c>
      <c r="DM51" s="275">
        <f>1481866.6+1546.5</f>
        <v>1483413.1</v>
      </c>
      <c r="DN51" s="275">
        <f>1512635.7+1486.1</f>
        <v>1514121.8</v>
      </c>
      <c r="DO51" s="275">
        <f>1580444.2+1456.9</f>
        <v>1581901.0999999999</v>
      </c>
      <c r="DP51" s="68">
        <v>1219460.51</v>
      </c>
      <c r="DQ51" s="68">
        <v>792052.34</v>
      </c>
      <c r="DR51" s="68">
        <v>677145.64</v>
      </c>
      <c r="DS51" s="297">
        <v>768221.76</v>
      </c>
      <c r="DT51" s="297">
        <v>633764.84</v>
      </c>
      <c r="DU51" s="297">
        <v>589350.98</v>
      </c>
      <c r="DV51" s="351">
        <v>671901.18</v>
      </c>
      <c r="DW51" s="351">
        <v>803246.54</v>
      </c>
      <c r="DX51" s="351">
        <v>1057305.1399999999</v>
      </c>
      <c r="DY51" s="68">
        <v>1278446.31</v>
      </c>
      <c r="DZ51" s="297">
        <v>1273029.52</v>
      </c>
      <c r="EA51" s="68">
        <v>1396442.08</v>
      </c>
      <c r="EB51" s="68">
        <v>1080375.81</v>
      </c>
      <c r="EC51" s="68">
        <v>770897.05</v>
      </c>
      <c r="ED51" s="68">
        <v>642869.86</v>
      </c>
      <c r="EE51" s="68">
        <v>745539.64</v>
      </c>
      <c r="EF51" s="68">
        <v>665447.38</v>
      </c>
      <c r="EG51" s="68">
        <v>537080.12</v>
      </c>
      <c r="EH51" s="68">
        <v>570436.63</v>
      </c>
      <c r="EI51" s="68">
        <v>597929.35</v>
      </c>
      <c r="EJ51" s="68">
        <v>918003.98</v>
      </c>
      <c r="EK51" s="68">
        <v>1276596.69</v>
      </c>
      <c r="EL51" s="68">
        <v>1284646.3700000001</v>
      </c>
      <c r="EM51" s="68">
        <v>1300022.2</v>
      </c>
      <c r="EN51" s="68">
        <v>1119302.8500000001</v>
      </c>
      <c r="EO51" s="68">
        <v>705653.81</v>
      </c>
      <c r="EP51" s="68">
        <v>646135.81000000006</v>
      </c>
      <c r="EQ51" s="68">
        <v>829381.86</v>
      </c>
      <c r="ER51" s="68">
        <v>721467.8</v>
      </c>
      <c r="ES51" s="68">
        <v>643538.04</v>
      </c>
      <c r="ET51" s="68">
        <v>539122.44999999995</v>
      </c>
      <c r="EU51" s="68">
        <v>639218.56000000006</v>
      </c>
      <c r="EV51" s="68">
        <v>848906.42</v>
      </c>
      <c r="EW51" s="68">
        <v>1137124.21</v>
      </c>
      <c r="EX51" s="68">
        <v>1205182.44</v>
      </c>
      <c r="EY51" s="68">
        <v>1257092.1499999999</v>
      </c>
      <c r="EZ51" s="68">
        <v>995872.06</v>
      </c>
      <c r="FA51" s="68">
        <v>706940.35</v>
      </c>
      <c r="FB51" s="68">
        <v>602207.14</v>
      </c>
      <c r="FC51" s="68">
        <v>694715.79</v>
      </c>
      <c r="FD51" s="68">
        <v>682865.43</v>
      </c>
      <c r="FE51" s="68">
        <v>594043.81999999995</v>
      </c>
      <c r="FF51" s="68">
        <v>577216.79</v>
      </c>
      <c r="FG51" s="68">
        <v>657021.32999999996</v>
      </c>
      <c r="FH51" s="68">
        <v>881369.91</v>
      </c>
      <c r="FI51" s="68">
        <v>1117320.18</v>
      </c>
      <c r="FJ51" s="68">
        <v>1324870.8500000001</v>
      </c>
      <c r="FK51" s="68">
        <v>1203808.6200000001</v>
      </c>
      <c r="FL51" s="68">
        <v>967549.15</v>
      </c>
      <c r="FM51" s="68">
        <v>711583.51</v>
      </c>
      <c r="FN51" s="68">
        <v>579678.59</v>
      </c>
      <c r="FO51" s="68">
        <v>673501.17</v>
      </c>
      <c r="FP51" s="68">
        <v>600676.29</v>
      </c>
      <c r="FQ51" s="68">
        <v>504902.74</v>
      </c>
      <c r="FR51" s="68">
        <v>542475.64</v>
      </c>
      <c r="FS51" s="68">
        <v>634502.82999999996</v>
      </c>
      <c r="FT51" s="68">
        <v>834012.99</v>
      </c>
    </row>
    <row r="52" spans="2:176" s="68" customFormat="1" ht="13.5" customHeight="1" thickBot="1" x14ac:dyDescent="0.3">
      <c r="B52" s="90" t="s">
        <v>8</v>
      </c>
      <c r="C52" s="104">
        <v>46287.544000000002</v>
      </c>
      <c r="D52" s="104">
        <v>48624.579000000027</v>
      </c>
      <c r="E52" s="92">
        <v>48956.660000000149</v>
      </c>
      <c r="F52" s="92">
        <v>50290.668999999994</v>
      </c>
      <c r="G52" s="92">
        <v>77123.235000000102</v>
      </c>
      <c r="H52" s="92">
        <v>120876.53799999994</v>
      </c>
      <c r="I52" s="92">
        <v>168249.39099999983</v>
      </c>
      <c r="J52" s="92">
        <v>206547.01900000032</v>
      </c>
      <c r="K52" s="72">
        <v>236386.64</v>
      </c>
      <c r="L52" s="92">
        <v>219756.72900000028</v>
      </c>
      <c r="M52" s="92">
        <v>153670.91900000046</v>
      </c>
      <c r="N52" s="93">
        <v>131481.62899999996</v>
      </c>
      <c r="O52" s="72">
        <v>170518</v>
      </c>
      <c r="P52" s="72">
        <v>168773</v>
      </c>
      <c r="Q52" s="92">
        <v>155349</v>
      </c>
      <c r="R52" s="92">
        <v>132599.46</v>
      </c>
      <c r="S52" s="92">
        <v>174367.4</v>
      </c>
      <c r="T52" s="92">
        <v>266052.84999999998</v>
      </c>
      <c r="U52" s="92">
        <v>305230.45</v>
      </c>
      <c r="V52" s="92">
        <v>319696.03999999998</v>
      </c>
      <c r="W52" s="92">
        <v>342335.53</v>
      </c>
      <c r="X52" s="92">
        <v>269713.2</v>
      </c>
      <c r="Y52" s="92">
        <v>218431.51</v>
      </c>
      <c r="Z52" s="93">
        <v>209405.06</v>
      </c>
      <c r="AA52" s="68">
        <v>223474.99</v>
      </c>
      <c r="AB52" s="68">
        <v>215688.98</v>
      </c>
      <c r="AC52" s="68">
        <v>206996.67</v>
      </c>
      <c r="AD52" s="68">
        <v>193093.64</v>
      </c>
      <c r="AE52" s="68">
        <v>231576.52</v>
      </c>
      <c r="AF52" s="68">
        <v>334357.43</v>
      </c>
      <c r="AG52" s="68">
        <v>431144.96000000002</v>
      </c>
      <c r="AH52" s="68">
        <v>504929.78</v>
      </c>
      <c r="AI52" s="68">
        <v>498110.49</v>
      </c>
      <c r="AJ52" s="68">
        <v>490331.81699999998</v>
      </c>
      <c r="AK52" s="68">
        <v>388171.74599999998</v>
      </c>
      <c r="AL52" s="89">
        <v>303587.261</v>
      </c>
      <c r="AM52" s="68">
        <f>359399.31</f>
        <v>359399.31</v>
      </c>
      <c r="AN52" s="68">
        <v>340238.73</v>
      </c>
      <c r="AO52" s="68">
        <v>294119.98</v>
      </c>
      <c r="AP52" s="68">
        <v>307209.67</v>
      </c>
      <c r="AQ52" s="68">
        <v>335418.64</v>
      </c>
      <c r="AR52" s="68">
        <v>530457.87</v>
      </c>
      <c r="AS52" s="68">
        <v>754537.95</v>
      </c>
      <c r="AT52" s="68">
        <v>757671.55</v>
      </c>
      <c r="AU52" s="68">
        <v>796453.05</v>
      </c>
      <c r="AV52" s="68">
        <v>835707.84</v>
      </c>
      <c r="AW52" s="68">
        <v>549655.56000000006</v>
      </c>
      <c r="AX52" s="89">
        <v>486360.8</v>
      </c>
      <c r="AY52" s="68">
        <v>527834</v>
      </c>
      <c r="AZ52" s="68">
        <v>407758</v>
      </c>
      <c r="BA52" s="68">
        <v>429041</v>
      </c>
      <c r="BB52" s="68">
        <v>447839</v>
      </c>
      <c r="BC52" s="68">
        <v>617871</v>
      </c>
      <c r="BD52" s="68">
        <v>746610</v>
      </c>
      <c r="BE52" s="68">
        <v>924963</v>
      </c>
      <c r="BF52" s="68">
        <v>1001647</v>
      </c>
      <c r="BG52" s="68">
        <v>1062268</v>
      </c>
      <c r="BH52" s="68">
        <f>901684.36</f>
        <v>901684.36</v>
      </c>
      <c r="BI52" s="68">
        <v>639125.96</v>
      </c>
      <c r="BJ52" s="89">
        <v>570341.12</v>
      </c>
      <c r="BK52" s="68">
        <v>671446</v>
      </c>
      <c r="BL52" s="68">
        <v>687924</v>
      </c>
      <c r="BM52" s="68">
        <v>575873</v>
      </c>
      <c r="BN52" s="68">
        <v>557578</v>
      </c>
      <c r="BO52" s="68">
        <v>632766</v>
      </c>
      <c r="BP52" s="68">
        <v>867056</v>
      </c>
      <c r="BQ52" s="68">
        <v>1103372.52</v>
      </c>
      <c r="BR52" s="68">
        <v>1100281.46</v>
      </c>
      <c r="BS52" s="68">
        <v>1274177.97</v>
      </c>
      <c r="BT52" s="68">
        <v>1124606.3</v>
      </c>
      <c r="BU52" s="68">
        <v>815037.68</v>
      </c>
      <c r="BV52" s="89">
        <v>689879.12</v>
      </c>
      <c r="BW52" s="68">
        <v>789290.25</v>
      </c>
      <c r="BX52" s="68">
        <v>728655.76</v>
      </c>
      <c r="BY52" s="68">
        <v>614485.19999999995</v>
      </c>
      <c r="BZ52" s="68">
        <v>686098.5</v>
      </c>
      <c r="CA52" s="68">
        <v>746666.85</v>
      </c>
      <c r="CB52" s="68">
        <v>1140106.1499999999</v>
      </c>
      <c r="CC52" s="68">
        <v>1373398.55</v>
      </c>
      <c r="CD52" s="68">
        <v>1385922.89</v>
      </c>
      <c r="CE52" s="68">
        <v>1332167.06</v>
      </c>
      <c r="CF52" s="68">
        <v>613906.26</v>
      </c>
      <c r="CG52" s="68">
        <v>1046362.9</v>
      </c>
      <c r="CH52" s="89">
        <v>712013.38</v>
      </c>
      <c r="CI52" s="210">
        <v>846551.87</v>
      </c>
      <c r="CJ52" s="92">
        <v>708308.85</v>
      </c>
      <c r="CK52" s="92">
        <v>632111.54</v>
      </c>
      <c r="CL52" s="92">
        <v>688081.36</v>
      </c>
      <c r="CM52" s="92">
        <v>802190.15</v>
      </c>
      <c r="CN52" s="92">
        <v>1154622.52</v>
      </c>
      <c r="CO52" s="92">
        <v>1605447.58</v>
      </c>
      <c r="CP52" s="92">
        <v>1675784.16</v>
      </c>
      <c r="CQ52" s="92">
        <v>1610030.68</v>
      </c>
      <c r="CR52" s="92">
        <v>1222950.42</v>
      </c>
      <c r="CS52" s="92">
        <v>920664.76</v>
      </c>
      <c r="CT52" s="93">
        <v>780847.54</v>
      </c>
      <c r="CU52" s="91">
        <v>1085982.19</v>
      </c>
      <c r="CV52" s="92">
        <v>961110.72</v>
      </c>
      <c r="CW52" s="92">
        <v>924613.8</v>
      </c>
      <c r="CX52" s="92">
        <v>749344.05</v>
      </c>
      <c r="CY52" s="92">
        <v>837523.42</v>
      </c>
      <c r="CZ52" s="92">
        <v>1386567.48</v>
      </c>
      <c r="DA52" s="92">
        <v>1700374.48</v>
      </c>
      <c r="DB52" s="92">
        <v>1708336.85</v>
      </c>
      <c r="DC52" s="92">
        <v>1854656.28</v>
      </c>
      <c r="DD52" s="92">
        <v>1479614.28</v>
      </c>
      <c r="DE52" s="92">
        <v>1036272.91</v>
      </c>
      <c r="DF52" s="93">
        <v>908084.72</v>
      </c>
      <c r="DG52" s="297">
        <v>1055923.6000000001</v>
      </c>
      <c r="DH52" s="297">
        <v>1095224.72</v>
      </c>
      <c r="DI52" s="297">
        <v>920546.08</v>
      </c>
      <c r="DJ52" s="297">
        <v>833100.17</v>
      </c>
      <c r="DK52" s="297">
        <v>1156072.1599999999</v>
      </c>
      <c r="DL52" s="297">
        <v>1500411.91</v>
      </c>
      <c r="DM52" s="335">
        <v>1993764.23</v>
      </c>
      <c r="DN52" s="333">
        <v>2038937.34</v>
      </c>
      <c r="DO52" s="276">
        <v>2139781.19</v>
      </c>
      <c r="DP52" s="68">
        <v>1654339.34</v>
      </c>
      <c r="DQ52" s="68">
        <v>1100866.5</v>
      </c>
      <c r="DR52" s="68">
        <v>961953.74</v>
      </c>
      <c r="DS52" s="297">
        <v>1094380.5900000001</v>
      </c>
      <c r="DT52" s="297">
        <v>905120.75</v>
      </c>
      <c r="DU52" s="297">
        <v>854107.54</v>
      </c>
      <c r="DV52" s="351">
        <v>986971.5</v>
      </c>
      <c r="DW52" s="351">
        <v>1184135.82</v>
      </c>
      <c r="DX52" s="351">
        <v>1554955.23</v>
      </c>
      <c r="DY52" s="68">
        <v>1883150.52</v>
      </c>
      <c r="DZ52" s="297">
        <v>1881384.12</v>
      </c>
      <c r="EA52" s="68">
        <v>2059300.28</v>
      </c>
      <c r="EB52" s="68">
        <v>1617626.48</v>
      </c>
      <c r="EC52" s="68">
        <v>1182837.8400000001</v>
      </c>
      <c r="ED52" s="68">
        <v>1008347.26</v>
      </c>
      <c r="EE52" s="68">
        <v>1183386.01</v>
      </c>
      <c r="EF52" s="68">
        <v>1058642.8700000001</v>
      </c>
      <c r="EG52" s="68">
        <v>863502.79</v>
      </c>
      <c r="EH52" s="68">
        <v>932406.54</v>
      </c>
      <c r="EI52" s="68">
        <v>987030.48</v>
      </c>
      <c r="EJ52" s="68">
        <v>1505536.06</v>
      </c>
      <c r="EK52" s="68">
        <v>2064210.21</v>
      </c>
      <c r="EL52" s="68">
        <v>2076531.17</v>
      </c>
      <c r="EM52" s="68">
        <v>2109036.2999999998</v>
      </c>
      <c r="EN52" s="68">
        <v>1835975.81</v>
      </c>
      <c r="EO52" s="68">
        <v>1184798.99</v>
      </c>
      <c r="EP52" s="68">
        <v>1111155.1000000001</v>
      </c>
      <c r="EQ52" s="68">
        <v>1426030.89</v>
      </c>
      <c r="ER52" s="68">
        <v>1244116.51</v>
      </c>
      <c r="ES52" s="68">
        <v>1120118.01</v>
      </c>
      <c r="ET52" s="68">
        <v>942524.28</v>
      </c>
      <c r="EU52" s="68">
        <v>1128701.03</v>
      </c>
      <c r="EV52" s="68">
        <v>1482107.11</v>
      </c>
      <c r="EW52" s="68">
        <v>1969728.96</v>
      </c>
      <c r="EX52" s="68">
        <v>2085385.51</v>
      </c>
      <c r="EY52" s="68">
        <v>2188599.5499999998</v>
      </c>
      <c r="EZ52" s="68">
        <v>1756130.35</v>
      </c>
      <c r="FA52" s="68">
        <v>1276997.8700000001</v>
      </c>
      <c r="FB52" s="68">
        <v>1113402.69</v>
      </c>
      <c r="FC52" s="68">
        <v>1292742.54</v>
      </c>
      <c r="FD52" s="68">
        <v>1277830.7</v>
      </c>
      <c r="FE52" s="68">
        <v>1126151.6399999999</v>
      </c>
      <c r="FF52" s="92">
        <v>1099651.55</v>
      </c>
      <c r="FG52" s="92">
        <v>1254190.3</v>
      </c>
      <c r="FH52" s="92">
        <v>1666417.04</v>
      </c>
      <c r="FI52" s="92">
        <v>2089226.85</v>
      </c>
      <c r="FJ52" s="92">
        <v>2460702.9</v>
      </c>
      <c r="FK52" s="92">
        <v>2258721.67</v>
      </c>
      <c r="FL52" s="92">
        <v>1851576.88</v>
      </c>
      <c r="FM52" s="92">
        <v>1388797.66</v>
      </c>
      <c r="FN52" s="92">
        <v>1152229.79</v>
      </c>
      <c r="FO52" s="92">
        <v>1344151.29</v>
      </c>
      <c r="FP52" s="92">
        <v>1194527.27</v>
      </c>
      <c r="FQ52" s="92">
        <v>1015656.97</v>
      </c>
      <c r="FR52" s="92">
        <v>1097278.25</v>
      </c>
      <c r="FS52" s="92">
        <v>1285948.3799999999</v>
      </c>
      <c r="FT52" s="92">
        <v>1669012.63</v>
      </c>
    </row>
    <row r="53" spans="2:176" s="68" customFormat="1" ht="13.5" customHeight="1" thickTop="1" x14ac:dyDescent="0.25">
      <c r="B53" s="87" t="s">
        <v>9</v>
      </c>
      <c r="C53" s="105">
        <f t="shared" ref="C53:N53" si="261">SUM(C51:C52)</f>
        <v>1353776.5390000001</v>
      </c>
      <c r="D53" s="105">
        <f t="shared" si="261"/>
        <v>1356113.574</v>
      </c>
      <c r="E53" s="94">
        <f t="shared" si="261"/>
        <v>1356445.6550000003</v>
      </c>
      <c r="F53" s="94">
        <f t="shared" si="261"/>
        <v>1307199.2510000002</v>
      </c>
      <c r="G53" s="94">
        <f t="shared" si="261"/>
        <v>1775339.699</v>
      </c>
      <c r="H53" s="94">
        <f t="shared" si="261"/>
        <v>2085941.48</v>
      </c>
      <c r="I53" s="94">
        <f t="shared" si="261"/>
        <v>2506844.31</v>
      </c>
      <c r="J53" s="94">
        <f t="shared" si="261"/>
        <v>2757135.0500000003</v>
      </c>
      <c r="K53" s="106">
        <f t="shared" si="261"/>
        <v>2744962.8509999998</v>
      </c>
      <c r="L53" s="94">
        <f t="shared" si="261"/>
        <v>2374537.6110000005</v>
      </c>
      <c r="M53" s="94">
        <f t="shared" si="261"/>
        <v>1608467.7580000006</v>
      </c>
      <c r="N53" s="107">
        <f t="shared" si="261"/>
        <v>1339420.318</v>
      </c>
      <c r="O53" s="189">
        <f t="shared" ref="O53:Z53" si="262">SUM(O51:O52)</f>
        <v>1668340</v>
      </c>
      <c r="P53" s="95">
        <f t="shared" si="262"/>
        <v>1603658</v>
      </c>
      <c r="Q53" s="95">
        <f t="shared" si="262"/>
        <v>1429591</v>
      </c>
      <c r="R53" s="95">
        <f t="shared" si="262"/>
        <v>1230318.42</v>
      </c>
      <c r="S53" s="95">
        <f t="shared" si="262"/>
        <v>1615131.1199999999</v>
      </c>
      <c r="T53" s="95">
        <f t="shared" si="262"/>
        <v>2451014.39</v>
      </c>
      <c r="U53" s="95">
        <f t="shared" si="262"/>
        <v>2738076.87</v>
      </c>
      <c r="V53" s="95">
        <f t="shared" si="262"/>
        <v>2781293.21</v>
      </c>
      <c r="W53" s="95">
        <f t="shared" si="262"/>
        <v>2838390.5700000003</v>
      </c>
      <c r="X53" s="95">
        <f t="shared" si="262"/>
        <v>2127028.44</v>
      </c>
      <c r="Y53" s="95">
        <f t="shared" si="262"/>
        <v>1625651.07</v>
      </c>
      <c r="Z53" s="107">
        <f t="shared" si="262"/>
        <v>1498098.06</v>
      </c>
      <c r="AA53" s="189">
        <f t="shared" ref="AA53:AF53" si="263">SUM(AA51:AA52)</f>
        <v>1627811.78</v>
      </c>
      <c r="AB53" s="95">
        <f t="shared" si="263"/>
        <v>1498022.31</v>
      </c>
      <c r="AC53" s="95">
        <f t="shared" si="263"/>
        <v>1402990.4</v>
      </c>
      <c r="AD53" s="95">
        <f t="shared" si="263"/>
        <v>1272314.04</v>
      </c>
      <c r="AE53" s="95">
        <f t="shared" si="263"/>
        <v>1488181.16</v>
      </c>
      <c r="AF53" s="95">
        <f t="shared" si="263"/>
        <v>2076023.05</v>
      </c>
      <c r="AG53" s="95">
        <f t="shared" ref="AG53:AL53" si="264">SUM(AG51:AG52)</f>
        <v>2576097.46</v>
      </c>
      <c r="AH53" s="95">
        <f t="shared" si="264"/>
        <v>2889798.2300000004</v>
      </c>
      <c r="AI53" s="95">
        <f t="shared" si="264"/>
        <v>2715043.59</v>
      </c>
      <c r="AJ53" s="95">
        <f t="shared" si="264"/>
        <v>2572667.551</v>
      </c>
      <c r="AK53" s="95">
        <f t="shared" si="264"/>
        <v>1967684.7120000001</v>
      </c>
      <c r="AL53" s="107">
        <f t="shared" si="264"/>
        <v>1487161.98</v>
      </c>
      <c r="AM53" s="95">
        <f t="shared" ref="AM53:AR53" si="265">SUM(AM51:AM52)</f>
        <v>1711916.09</v>
      </c>
      <c r="AN53" s="95">
        <f t="shared" si="265"/>
        <v>1570307.32</v>
      </c>
      <c r="AO53" s="95">
        <f t="shared" si="265"/>
        <v>1321129.06</v>
      </c>
      <c r="AP53" s="95">
        <f t="shared" si="265"/>
        <v>1343582.99</v>
      </c>
      <c r="AQ53" s="95">
        <f t="shared" si="265"/>
        <v>1424187.63</v>
      </c>
      <c r="AR53" s="95">
        <f t="shared" si="265"/>
        <v>2202360.5699999998</v>
      </c>
      <c r="AS53" s="95">
        <f t="shared" ref="AS53:AX53" si="266">SUM(AS51:AS52)</f>
        <v>3049487.7199999997</v>
      </c>
      <c r="AT53" s="95">
        <f t="shared" si="266"/>
        <v>2923437.67</v>
      </c>
      <c r="AU53" s="95">
        <f t="shared" si="266"/>
        <v>2917641.83</v>
      </c>
      <c r="AV53" s="95">
        <f t="shared" si="266"/>
        <v>2914191.73</v>
      </c>
      <c r="AW53" s="95">
        <f t="shared" si="266"/>
        <v>1832948.99</v>
      </c>
      <c r="AX53" s="107">
        <f t="shared" si="266"/>
        <v>1597408.61</v>
      </c>
      <c r="AY53" s="95">
        <f t="shared" ref="AY53:BD53" si="267">SUM(AY51:AY52)</f>
        <v>1717167.39</v>
      </c>
      <c r="AZ53" s="95">
        <f t="shared" si="267"/>
        <v>1323645.55</v>
      </c>
      <c r="BA53" s="95">
        <f t="shared" si="267"/>
        <v>1380000.3</v>
      </c>
      <c r="BB53" s="95">
        <f t="shared" si="267"/>
        <v>1415492.21</v>
      </c>
      <c r="BC53" s="95">
        <f t="shared" si="267"/>
        <v>1925389.08</v>
      </c>
      <c r="BD53" s="95">
        <f t="shared" si="267"/>
        <v>2277573.48</v>
      </c>
      <c r="BE53" s="95">
        <f t="shared" ref="BE53:BJ53" si="268">SUM(BE51:BE52)</f>
        <v>2714713.9699999997</v>
      </c>
      <c r="BF53" s="95">
        <f t="shared" si="268"/>
        <v>2868589.6399999997</v>
      </c>
      <c r="BG53" s="95">
        <f t="shared" si="268"/>
        <v>2947212.42</v>
      </c>
      <c r="BH53" s="95">
        <f t="shared" si="268"/>
        <v>2433406.88</v>
      </c>
      <c r="BI53" s="95">
        <f t="shared" si="268"/>
        <v>1680689.42</v>
      </c>
      <c r="BJ53" s="107">
        <f t="shared" si="268"/>
        <v>1469993.49</v>
      </c>
      <c r="BK53" s="95">
        <f t="shared" ref="BK53:BV53" si="269">SUM(BK51:BK52)</f>
        <v>1702230.03</v>
      </c>
      <c r="BL53" s="95">
        <f t="shared" si="269"/>
        <v>1724102.99</v>
      </c>
      <c r="BM53" s="95">
        <f t="shared" si="269"/>
        <v>1419584.33</v>
      </c>
      <c r="BN53" s="95">
        <f t="shared" si="269"/>
        <v>1353013</v>
      </c>
      <c r="BO53" s="95">
        <f t="shared" si="269"/>
        <v>1521607</v>
      </c>
      <c r="BP53" s="95">
        <f t="shared" si="269"/>
        <v>2072842</v>
      </c>
      <c r="BQ53" s="95">
        <f t="shared" si="269"/>
        <v>2628309.15</v>
      </c>
      <c r="BR53" s="95">
        <f t="shared" si="269"/>
        <v>2609572.0499999998</v>
      </c>
      <c r="BS53" s="95">
        <f t="shared" si="269"/>
        <v>2982988.9299999997</v>
      </c>
      <c r="BT53" s="95">
        <f t="shared" si="269"/>
        <v>2591804.06</v>
      </c>
      <c r="BU53" s="95">
        <f t="shared" si="269"/>
        <v>1847386.12</v>
      </c>
      <c r="BV53" s="107">
        <f t="shared" si="269"/>
        <v>1527648.31</v>
      </c>
      <c r="BW53" s="95">
        <f t="shared" ref="BW53:CB53" si="270">SUM(BW51:BW52)</f>
        <v>1735076.44</v>
      </c>
      <c r="BX53" s="95">
        <f t="shared" si="270"/>
        <v>1586780.1600000001</v>
      </c>
      <c r="BY53" s="95">
        <f t="shared" si="270"/>
        <v>1323068.8500000001</v>
      </c>
      <c r="BZ53" s="95">
        <f t="shared" si="270"/>
        <v>1454390.67</v>
      </c>
      <c r="CA53" s="95">
        <f t="shared" si="270"/>
        <v>1567865.0899999999</v>
      </c>
      <c r="CB53" s="95">
        <f t="shared" si="270"/>
        <v>2403057.02</v>
      </c>
      <c r="CC53" s="95">
        <f t="shared" ref="CC53:CH53" si="271">SUM(CC51:CC52)</f>
        <v>2954492.1100000003</v>
      </c>
      <c r="CD53" s="95">
        <f t="shared" si="271"/>
        <v>3006826.15</v>
      </c>
      <c r="CE53" s="95">
        <f t="shared" si="271"/>
        <v>2890014.9000000004</v>
      </c>
      <c r="CF53" s="95">
        <f t="shared" si="271"/>
        <v>1300021.8</v>
      </c>
      <c r="CG53" s="95">
        <f t="shared" si="271"/>
        <v>2224837.7400000002</v>
      </c>
      <c r="CH53" s="95">
        <f t="shared" si="271"/>
        <v>1493883.72</v>
      </c>
      <c r="CI53" s="115">
        <f>SUM(CI51:CI52)</f>
        <v>1762728.63</v>
      </c>
      <c r="CJ53" s="94">
        <f>SUM(CJ51:CJ52)</f>
        <v>1465425.9199999999</v>
      </c>
      <c r="CK53" s="94">
        <f>SUM(CK51:CK52)</f>
        <v>1296075.1499999999</v>
      </c>
      <c r="CL53" s="94">
        <f t="shared" ref="CL53:CT53" si="272">SUM(CL51:CL52)</f>
        <v>1395777.1099999999</v>
      </c>
      <c r="CM53" s="94">
        <f t="shared" si="272"/>
        <v>1611930.03</v>
      </c>
      <c r="CN53" s="94">
        <f t="shared" si="272"/>
        <v>2316621.5300000003</v>
      </c>
      <c r="CO53" s="94">
        <f t="shared" si="272"/>
        <v>3219445.5300000003</v>
      </c>
      <c r="CP53" s="94">
        <f t="shared" si="272"/>
        <v>3331564</v>
      </c>
      <c r="CQ53" s="94">
        <f t="shared" si="272"/>
        <v>3152812.01</v>
      </c>
      <c r="CR53" s="94">
        <f t="shared" si="272"/>
        <v>2350755</v>
      </c>
      <c r="CS53" s="94">
        <f t="shared" si="272"/>
        <v>1741450.72</v>
      </c>
      <c r="CT53" s="107">
        <f t="shared" si="272"/>
        <v>1455898.5</v>
      </c>
      <c r="CU53" s="95">
        <f t="shared" ref="CU53:DJ53" si="273">SUM(CU51:CU52)</f>
        <v>2015122.63</v>
      </c>
      <c r="CV53" s="95">
        <f t="shared" si="273"/>
        <v>1773831.71</v>
      </c>
      <c r="CW53" s="95">
        <f t="shared" si="273"/>
        <v>1697871.19</v>
      </c>
      <c r="CX53" s="95">
        <f t="shared" si="273"/>
        <v>1368617.49</v>
      </c>
      <c r="CY53" s="95">
        <f t="shared" si="273"/>
        <v>1521876.8</v>
      </c>
      <c r="CZ53" s="95">
        <f t="shared" si="273"/>
        <v>2524483.2800000003</v>
      </c>
      <c r="DA53" s="95">
        <f t="shared" si="273"/>
        <v>3094397.42</v>
      </c>
      <c r="DB53" s="95">
        <f t="shared" si="273"/>
        <v>3084593.8600000003</v>
      </c>
      <c r="DC53" s="95">
        <f t="shared" si="273"/>
        <v>3325681.59</v>
      </c>
      <c r="DD53" s="95">
        <f t="shared" si="273"/>
        <v>2631658.5099999998</v>
      </c>
      <c r="DE53" s="95">
        <f t="shared" si="273"/>
        <v>1820982.12</v>
      </c>
      <c r="DF53" s="107">
        <f t="shared" si="273"/>
        <v>1584347.78</v>
      </c>
      <c r="DG53" s="95">
        <f t="shared" si="273"/>
        <v>1836824.5</v>
      </c>
      <c r="DH53" s="95">
        <f t="shared" si="273"/>
        <v>1900913.38</v>
      </c>
      <c r="DI53" s="95">
        <f t="shared" si="273"/>
        <v>1593740.6400000001</v>
      </c>
      <c r="DJ53" s="95">
        <f t="shared" si="273"/>
        <v>1438887.07</v>
      </c>
      <c r="DK53" s="95">
        <f t="shared" ref="DK53:FQ53" si="274">SUM(DK51:DK52)</f>
        <v>1996402.96</v>
      </c>
      <c r="DL53" s="95">
        <f t="shared" si="274"/>
        <v>2603358.81</v>
      </c>
      <c r="DM53" s="95">
        <f t="shared" si="274"/>
        <v>3477177.33</v>
      </c>
      <c r="DN53" s="95">
        <f t="shared" si="274"/>
        <v>3553059.14</v>
      </c>
      <c r="DO53" s="95">
        <f t="shared" si="274"/>
        <v>3721682.29</v>
      </c>
      <c r="DP53" s="95">
        <f t="shared" si="274"/>
        <v>2873799.85</v>
      </c>
      <c r="DQ53" s="95">
        <f t="shared" si="274"/>
        <v>1892918.8399999999</v>
      </c>
      <c r="DR53" s="95">
        <f t="shared" si="274"/>
        <v>1639099.38</v>
      </c>
      <c r="DS53" s="95">
        <f t="shared" si="274"/>
        <v>1862602.35</v>
      </c>
      <c r="DT53" s="95">
        <f t="shared" si="274"/>
        <v>1538885.5899999999</v>
      </c>
      <c r="DU53" s="95">
        <f t="shared" si="274"/>
        <v>1443458.52</v>
      </c>
      <c r="DV53" s="355">
        <f t="shared" si="274"/>
        <v>1658872.6800000002</v>
      </c>
      <c r="DW53" s="355">
        <f t="shared" si="274"/>
        <v>1987382.36</v>
      </c>
      <c r="DX53" s="355">
        <f t="shared" si="274"/>
        <v>2612260.37</v>
      </c>
      <c r="DY53" s="355">
        <f t="shared" si="274"/>
        <v>3161596.83</v>
      </c>
      <c r="DZ53" s="355">
        <f t="shared" si="274"/>
        <v>3154413.64</v>
      </c>
      <c r="EA53" s="355">
        <f t="shared" si="274"/>
        <v>3455742.3600000003</v>
      </c>
      <c r="EB53" s="355">
        <f t="shared" si="274"/>
        <v>2698002.29</v>
      </c>
      <c r="EC53" s="355">
        <f t="shared" si="274"/>
        <v>1953734.8900000001</v>
      </c>
      <c r="ED53" s="355">
        <f t="shared" si="274"/>
        <v>1651217.12</v>
      </c>
      <c r="EE53" s="355">
        <f t="shared" si="274"/>
        <v>1928925.65</v>
      </c>
      <c r="EF53" s="355">
        <f t="shared" si="274"/>
        <v>1724090.25</v>
      </c>
      <c r="EG53" s="355">
        <f t="shared" si="274"/>
        <v>1400582.9100000001</v>
      </c>
      <c r="EH53" s="355">
        <f t="shared" si="274"/>
        <v>1502843.17</v>
      </c>
      <c r="EI53" s="355">
        <f t="shared" si="274"/>
        <v>1584959.83</v>
      </c>
      <c r="EJ53" s="355">
        <f t="shared" si="274"/>
        <v>2423540.04</v>
      </c>
      <c r="EK53" s="355">
        <f t="shared" si="274"/>
        <v>3340806.9</v>
      </c>
      <c r="EL53" s="355">
        <f t="shared" si="274"/>
        <v>3361177.54</v>
      </c>
      <c r="EM53" s="355">
        <f t="shared" si="274"/>
        <v>3409058.5</v>
      </c>
      <c r="EN53" s="355">
        <f t="shared" si="274"/>
        <v>2955278.66</v>
      </c>
      <c r="EO53" s="355">
        <f t="shared" si="274"/>
        <v>1890452.8</v>
      </c>
      <c r="EP53" s="355">
        <f t="shared" si="274"/>
        <v>1757290.9100000001</v>
      </c>
      <c r="EQ53" s="355">
        <f t="shared" si="274"/>
        <v>2255412.75</v>
      </c>
      <c r="ER53" s="355">
        <f t="shared" si="274"/>
        <v>1965584.31</v>
      </c>
      <c r="ES53" s="355">
        <f t="shared" si="274"/>
        <v>1763656.05</v>
      </c>
      <c r="ET53" s="355">
        <f t="shared" si="274"/>
        <v>1481646.73</v>
      </c>
      <c r="EU53" s="355">
        <f t="shared" si="274"/>
        <v>1767919.59</v>
      </c>
      <c r="EV53" s="355">
        <f t="shared" si="274"/>
        <v>2331013.5300000003</v>
      </c>
      <c r="EW53" s="355">
        <f t="shared" si="274"/>
        <v>3106853.17</v>
      </c>
      <c r="EX53" s="355">
        <f t="shared" si="274"/>
        <v>3290567.95</v>
      </c>
      <c r="EY53" s="355">
        <f t="shared" si="274"/>
        <v>3445691.6999999997</v>
      </c>
      <c r="EZ53" s="355">
        <f t="shared" si="274"/>
        <v>2752002.41</v>
      </c>
      <c r="FA53" s="355">
        <f t="shared" si="274"/>
        <v>1983938.2200000002</v>
      </c>
      <c r="FB53" s="355">
        <f t="shared" si="274"/>
        <v>1715609.83</v>
      </c>
      <c r="FC53" s="355">
        <f t="shared" si="274"/>
        <v>1987458.33</v>
      </c>
      <c r="FD53" s="355">
        <f t="shared" si="274"/>
        <v>1960696.13</v>
      </c>
      <c r="FE53" s="355">
        <f t="shared" si="274"/>
        <v>1720195.46</v>
      </c>
      <c r="FF53" s="355">
        <f t="shared" si="274"/>
        <v>1676868.34</v>
      </c>
      <c r="FG53" s="355">
        <f t="shared" si="274"/>
        <v>1911211.63</v>
      </c>
      <c r="FH53" s="355">
        <f t="shared" si="274"/>
        <v>2547786.9500000002</v>
      </c>
      <c r="FI53" s="355">
        <f t="shared" si="274"/>
        <v>3206547.0300000003</v>
      </c>
      <c r="FJ53" s="355">
        <f t="shared" si="274"/>
        <v>3785573.75</v>
      </c>
      <c r="FK53" s="355">
        <f t="shared" si="274"/>
        <v>3462530.29</v>
      </c>
      <c r="FL53" s="355">
        <f t="shared" si="274"/>
        <v>2819126.03</v>
      </c>
      <c r="FM53" s="355">
        <f t="shared" si="274"/>
        <v>2100381.17</v>
      </c>
      <c r="FN53" s="355">
        <f t="shared" si="274"/>
        <v>1731908.38</v>
      </c>
      <c r="FO53" s="355">
        <f t="shared" si="274"/>
        <v>2017652.46</v>
      </c>
      <c r="FP53" s="355">
        <f t="shared" si="274"/>
        <v>1795203.56</v>
      </c>
      <c r="FQ53" s="355">
        <f t="shared" si="274"/>
        <v>1520559.71</v>
      </c>
      <c r="FR53" s="355">
        <f t="shared" ref="FR53:FT53" si="275">SUM(FR51:FR52)</f>
        <v>1639753.8900000001</v>
      </c>
      <c r="FS53" s="355">
        <f t="shared" si="275"/>
        <v>1920451.21</v>
      </c>
      <c r="FT53" s="355">
        <f t="shared" si="275"/>
        <v>2503025.62</v>
      </c>
    </row>
    <row r="54" spans="2:176" ht="13.5" customHeight="1" x14ac:dyDescent="0.25">
      <c r="B54" s="3" t="s">
        <v>10</v>
      </c>
      <c r="C54" s="26">
        <f t="shared" ref="C54:H54" si="276">SUM(C51)/C53</f>
        <v>0.96580857869335557</v>
      </c>
      <c r="D54" s="26">
        <f t="shared" si="276"/>
        <v>0.96414416909302325</v>
      </c>
      <c r="E54" s="14">
        <f t="shared" si="276"/>
        <v>0.96390813017864685</v>
      </c>
      <c r="F54" s="14">
        <f t="shared" si="276"/>
        <v>0.96152792394768594</v>
      </c>
      <c r="G54" s="14">
        <f t="shared" si="276"/>
        <v>0.95655860394298542</v>
      </c>
      <c r="H54" s="14">
        <f t="shared" si="276"/>
        <v>0.94205180770459584</v>
      </c>
      <c r="I54" s="14">
        <f t="shared" ref="I54:Q54" si="277">SUM(I51)/I53</f>
        <v>0.93288398871487965</v>
      </c>
      <c r="J54" s="14">
        <f t="shared" si="277"/>
        <v>0.92508636129376387</v>
      </c>
      <c r="K54" s="36">
        <f t="shared" si="277"/>
        <v>0.91388348300820044</v>
      </c>
      <c r="L54" s="14">
        <f t="shared" si="277"/>
        <v>0.90745283292966961</v>
      </c>
      <c r="M54" s="14">
        <f t="shared" si="277"/>
        <v>0.90446129974586631</v>
      </c>
      <c r="N54" s="23">
        <f t="shared" si="277"/>
        <v>0.90183691613971773</v>
      </c>
      <c r="O54" s="36">
        <f t="shared" si="277"/>
        <v>0.8977918170157162</v>
      </c>
      <c r="P54" s="36">
        <f t="shared" si="277"/>
        <v>0.89475748569832225</v>
      </c>
      <c r="Q54" s="14">
        <f t="shared" si="277"/>
        <v>0.8913332554555814</v>
      </c>
      <c r="R54" s="14">
        <f>SUM(R51)/R53</f>
        <v>0.89222346195548308</v>
      </c>
      <c r="S54" s="14">
        <f>SUM(S51)/S53</f>
        <v>0.89204133469981073</v>
      </c>
      <c r="T54" s="14">
        <f>SUM(T51)/T53</f>
        <v>0.89145194288312601</v>
      </c>
      <c r="U54" s="14">
        <f t="shared" ref="U54:Z54" si="278">SUM(U51)/U53</f>
        <v>0.88852378348311301</v>
      </c>
      <c r="V54" s="14">
        <f t="shared" si="278"/>
        <v>0.88505489502129842</v>
      </c>
      <c r="W54" s="14">
        <f t="shared" si="278"/>
        <v>0.87939097120097875</v>
      </c>
      <c r="X54" s="14">
        <f t="shared" si="278"/>
        <v>0.87319718207434971</v>
      </c>
      <c r="Y54" s="14">
        <f t="shared" si="278"/>
        <v>0.86563444392774891</v>
      </c>
      <c r="Z54" s="23">
        <f t="shared" si="278"/>
        <v>0.8602193904449752</v>
      </c>
      <c r="AA54" s="14">
        <f t="shared" ref="AA54:AF54" si="279">SUM(AA51)/AA53</f>
        <v>0.86271447796009926</v>
      </c>
      <c r="AB54" s="14">
        <f t="shared" si="279"/>
        <v>0.85601751151489858</v>
      </c>
      <c r="AC54" s="14">
        <f t="shared" si="279"/>
        <v>0.85246038034187555</v>
      </c>
      <c r="AD54" s="14">
        <f t="shared" si="279"/>
        <v>0.8482342928480141</v>
      </c>
      <c r="AE54" s="14">
        <f t="shared" si="279"/>
        <v>0.8443895634319144</v>
      </c>
      <c r="AF54" s="14">
        <f t="shared" si="279"/>
        <v>0.83894329593305816</v>
      </c>
      <c r="AG54" s="14">
        <f t="shared" ref="AG54:AL54" si="280">SUM(AG51)/AG53</f>
        <v>0.83263639412151746</v>
      </c>
      <c r="AH54" s="14">
        <f t="shared" si="280"/>
        <v>0.8252716142053973</v>
      </c>
      <c r="AI54" s="14">
        <f t="shared" si="280"/>
        <v>0.81653683504948815</v>
      </c>
      <c r="AJ54" s="14">
        <f t="shared" si="280"/>
        <v>0.80940723693218453</v>
      </c>
      <c r="AK54" s="14">
        <f t="shared" si="280"/>
        <v>0.8027266545129309</v>
      </c>
      <c r="AL54" s="23">
        <f t="shared" si="280"/>
        <v>0.79586133515866242</v>
      </c>
      <c r="AM54" s="14">
        <f t="shared" ref="AM54:AR54" si="281">SUM(AM51)/AM53</f>
        <v>0.79006020674763322</v>
      </c>
      <c r="AN54" s="14">
        <f t="shared" si="281"/>
        <v>0.78332984526875926</v>
      </c>
      <c r="AO54" s="14">
        <f t="shared" si="281"/>
        <v>0.77737225763545004</v>
      </c>
      <c r="AP54" s="14">
        <f t="shared" si="281"/>
        <v>0.77135043217538801</v>
      </c>
      <c r="AQ54" s="14">
        <f t="shared" si="281"/>
        <v>0.76448423442633051</v>
      </c>
      <c r="AR54" s="14">
        <f t="shared" si="281"/>
        <v>0.75914122454526145</v>
      </c>
      <c r="AS54" s="14">
        <f t="shared" ref="AS54:AX54" si="282">SUM(AS51)/AS53</f>
        <v>0.75256894951523212</v>
      </c>
      <c r="AT54" s="14">
        <f t="shared" si="282"/>
        <v>0.74082856023402066</v>
      </c>
      <c r="AU54" s="14">
        <f t="shared" si="282"/>
        <v>0.72702165090634163</v>
      </c>
      <c r="AV54" s="14">
        <f t="shared" si="282"/>
        <v>0.71322825763423603</v>
      </c>
      <c r="AW54" s="14">
        <f t="shared" si="282"/>
        <v>0.70012501002551086</v>
      </c>
      <c r="AX54" s="23">
        <f t="shared" si="282"/>
        <v>0.69553137690925548</v>
      </c>
      <c r="AY54" s="14">
        <f t="shared" ref="AY54:BD54" si="283">SUM(AY51)/AY53</f>
        <v>0.69261354305126888</v>
      </c>
      <c r="AZ54" s="14">
        <f t="shared" si="283"/>
        <v>0.691943209418866</v>
      </c>
      <c r="BA54" s="14">
        <f t="shared" si="283"/>
        <v>0.68910079222446552</v>
      </c>
      <c r="BB54" s="14">
        <f t="shared" si="283"/>
        <v>0.68361606172315137</v>
      </c>
      <c r="BC54" s="14">
        <f t="shared" si="283"/>
        <v>0.67909291352166601</v>
      </c>
      <c r="BD54" s="14">
        <f t="shared" si="283"/>
        <v>0.67219059821507932</v>
      </c>
      <c r="BE54" s="14">
        <f t="shared" ref="BE54:BJ54" si="284">SUM(BE51)/BE53</f>
        <v>0.65927791648709133</v>
      </c>
      <c r="BF54" s="14">
        <f t="shared" si="284"/>
        <v>0.65082248571461765</v>
      </c>
      <c r="BG54" s="14">
        <f t="shared" si="284"/>
        <v>0.63956856560749697</v>
      </c>
      <c r="BH54" s="14">
        <f t="shared" si="284"/>
        <v>0.62945598312765516</v>
      </c>
      <c r="BI54" s="14">
        <f t="shared" si="284"/>
        <v>0.61972393447922103</v>
      </c>
      <c r="BJ54" s="23">
        <f t="shared" si="284"/>
        <v>0.6120111253009699</v>
      </c>
      <c r="BK54" s="14">
        <f t="shared" ref="BK54:BV54" si="285">SUM(BK51)/BK53</f>
        <v>0.60554919830664722</v>
      </c>
      <c r="BL54" s="14">
        <f t="shared" si="285"/>
        <v>0.60099599386461244</v>
      </c>
      <c r="BM54" s="14">
        <f t="shared" si="285"/>
        <v>0.59433688592491007</v>
      </c>
      <c r="BN54" s="14">
        <f t="shared" si="285"/>
        <v>0.58789900762224756</v>
      </c>
      <c r="BO54" s="14">
        <f t="shared" si="285"/>
        <v>0.58414623486879336</v>
      </c>
      <c r="BP54" s="14">
        <f t="shared" si="285"/>
        <v>0.58170666167513008</v>
      </c>
      <c r="BQ54" s="14">
        <f t="shared" si="285"/>
        <v>0.58019682730245026</v>
      </c>
      <c r="BR54" s="14">
        <f t="shared" si="285"/>
        <v>0.57836708896387823</v>
      </c>
      <c r="BS54" s="14">
        <f t="shared" si="285"/>
        <v>0.57285192808275021</v>
      </c>
      <c r="BT54" s="14">
        <f t="shared" si="285"/>
        <v>0.56609131170201188</v>
      </c>
      <c r="BU54" s="14">
        <f t="shared" si="285"/>
        <v>0.55881573907245763</v>
      </c>
      <c r="BV54" s="23">
        <f t="shared" si="285"/>
        <v>0.54840448846501844</v>
      </c>
      <c r="BW54" s="14">
        <f t="shared" ref="BW54:CB54" si="286">SUM(BW51)/BW53</f>
        <v>0.54509770762606857</v>
      </c>
      <c r="BX54" s="14">
        <f t="shared" si="286"/>
        <v>0.54079602306093866</v>
      </c>
      <c r="BY54" s="14">
        <f t="shared" si="286"/>
        <v>0.53556067773797256</v>
      </c>
      <c r="BZ54" s="14">
        <f t="shared" si="286"/>
        <v>0.52825708102211633</v>
      </c>
      <c r="CA54" s="14">
        <f t="shared" si="286"/>
        <v>0.52376843214233448</v>
      </c>
      <c r="CB54" s="14">
        <f t="shared" si="286"/>
        <v>0.52556009261902581</v>
      </c>
      <c r="CC54" s="14">
        <f t="shared" ref="CC54:CH54" si="287">SUM(CC51)/CC53</f>
        <v>0.53514902092596883</v>
      </c>
      <c r="CD54" s="14">
        <f t="shared" si="287"/>
        <v>0.53907448556678284</v>
      </c>
      <c r="CE54" s="14">
        <f t="shared" si="287"/>
        <v>0.53904491634281881</v>
      </c>
      <c r="CF54" s="14">
        <f t="shared" si="287"/>
        <v>0.52777233427931747</v>
      </c>
      <c r="CG54" s="14">
        <f t="shared" si="287"/>
        <v>0.52969024159038225</v>
      </c>
      <c r="CH54" s="14">
        <f t="shared" si="287"/>
        <v>0.5233809897868088</v>
      </c>
      <c r="CI54" s="248">
        <f>SUM(CI51)/CI53</f>
        <v>0.5197491799971502</v>
      </c>
      <c r="CJ54" s="240">
        <f>SUM(CJ51)/CJ53</f>
        <v>0.51665325395636508</v>
      </c>
      <c r="CK54" s="240">
        <f>SUM(CK51)/CK53</f>
        <v>0.51228789472585756</v>
      </c>
      <c r="CL54" s="240">
        <f t="shared" ref="CL54:CQ54" si="288">SUM(CL51)/CL53</f>
        <v>0.50702633316575885</v>
      </c>
      <c r="CM54" s="240">
        <f t="shared" si="288"/>
        <v>0.50234182931625138</v>
      </c>
      <c r="CN54" s="240">
        <f t="shared" si="288"/>
        <v>0.50159207922063986</v>
      </c>
      <c r="CO54" s="240">
        <f t="shared" si="288"/>
        <v>0.50132792586802977</v>
      </c>
      <c r="CP54" s="240">
        <f t="shared" si="288"/>
        <v>0.49699775841016414</v>
      </c>
      <c r="CQ54" s="240">
        <f t="shared" si="288"/>
        <v>0.4893350206439997</v>
      </c>
      <c r="CR54" s="240">
        <f t="shared" ref="CR54:DJ54" si="289">SUM(CR51)/CR53</f>
        <v>0.47976270602423482</v>
      </c>
      <c r="CS54" s="240">
        <f t="shared" si="289"/>
        <v>0.4713231046813659</v>
      </c>
      <c r="CT54" s="241">
        <f t="shared" si="289"/>
        <v>0.46366622398470769</v>
      </c>
      <c r="CU54" s="240">
        <f t="shared" si="289"/>
        <v>0.46108381999560988</v>
      </c>
      <c r="CV54" s="240">
        <f t="shared" si="289"/>
        <v>0.45817254557930975</v>
      </c>
      <c r="CW54" s="240">
        <f t="shared" si="289"/>
        <v>0.4554275934206764</v>
      </c>
      <c r="CX54" s="240">
        <f t="shared" si="289"/>
        <v>0.45248102155993924</v>
      </c>
      <c r="CY54" s="240">
        <f t="shared" si="289"/>
        <v>0.44967725376981893</v>
      </c>
      <c r="CZ54" s="240">
        <f t="shared" si="289"/>
        <v>0.45075196536853274</v>
      </c>
      <c r="DA54" s="240">
        <f t="shared" si="289"/>
        <v>0.45049899892949108</v>
      </c>
      <c r="DB54" s="240">
        <f t="shared" si="289"/>
        <v>0.44617122138731091</v>
      </c>
      <c r="DC54" s="240">
        <f t="shared" si="289"/>
        <v>0.44232295551781919</v>
      </c>
      <c r="DD54" s="240">
        <f t="shared" si="289"/>
        <v>0.43776357214371253</v>
      </c>
      <c r="DE54" s="240">
        <f t="shared" si="289"/>
        <v>0.43092636736048784</v>
      </c>
      <c r="DF54" s="241">
        <f t="shared" si="289"/>
        <v>0.42684003382136215</v>
      </c>
      <c r="DG54" s="314">
        <f t="shared" si="289"/>
        <v>0.42513636986004927</v>
      </c>
      <c r="DH54" s="314">
        <f t="shared" si="289"/>
        <v>0.42384291071695235</v>
      </c>
      <c r="DI54" s="314">
        <f t="shared" si="289"/>
        <v>0.42239906739154243</v>
      </c>
      <c r="DJ54" s="314">
        <f t="shared" si="289"/>
        <v>0.42101073296877983</v>
      </c>
      <c r="DK54" s="314">
        <f t="shared" ref="DK54:FQ54" si="290">SUM(DK51)/DK53</f>
        <v>0.42092243742215252</v>
      </c>
      <c r="DL54" s="314">
        <f t="shared" si="290"/>
        <v>0.42366303705942099</v>
      </c>
      <c r="DM54" s="314">
        <f t="shared" si="290"/>
        <v>0.42661416408118596</v>
      </c>
      <c r="DN54" s="314">
        <f t="shared" si="290"/>
        <v>0.42614596052009424</v>
      </c>
      <c r="DO54" s="314">
        <f t="shared" si="290"/>
        <v>0.42505001145597515</v>
      </c>
      <c r="DP54" s="314">
        <f t="shared" si="290"/>
        <v>0.42433731423571475</v>
      </c>
      <c r="DQ54" s="314">
        <f t="shared" si="290"/>
        <v>0.41842910708205538</v>
      </c>
      <c r="DR54" s="314">
        <f t="shared" si="290"/>
        <v>0.41312055160438171</v>
      </c>
      <c r="DS54" s="314">
        <f t="shared" si="290"/>
        <v>0.41244539394036517</v>
      </c>
      <c r="DT54" s="314">
        <f t="shared" si="290"/>
        <v>0.41183363085490976</v>
      </c>
      <c r="DU54" s="314">
        <f t="shared" si="290"/>
        <v>0.40829090121689121</v>
      </c>
      <c r="DV54" s="356">
        <f t="shared" si="290"/>
        <v>0.4050348095430687</v>
      </c>
      <c r="DW54" s="356">
        <f t="shared" si="290"/>
        <v>0.40417312549760176</v>
      </c>
      <c r="DX54" s="356">
        <f t="shared" si="290"/>
        <v>0.4047472266326958</v>
      </c>
      <c r="DY54" s="356">
        <f t="shared" si="290"/>
        <v>0.40436727980904513</v>
      </c>
      <c r="DZ54" s="356">
        <f t="shared" si="290"/>
        <v>0.40357088996102614</v>
      </c>
      <c r="EA54" s="356">
        <f t="shared" si="290"/>
        <v>0.40409322644064238</v>
      </c>
      <c r="EB54" s="356">
        <f t="shared" si="290"/>
        <v>0.40043546812556635</v>
      </c>
      <c r="EC54" s="356">
        <f t="shared" si="290"/>
        <v>0.39457607782189935</v>
      </c>
      <c r="ED54" s="356">
        <f t="shared" si="290"/>
        <v>0.38933090761558958</v>
      </c>
      <c r="EE54" s="356">
        <f t="shared" si="290"/>
        <v>0.38650512009107246</v>
      </c>
      <c r="EF54" s="356">
        <f t="shared" si="290"/>
        <v>0.38597015440462007</v>
      </c>
      <c r="EG54" s="356">
        <f t="shared" si="290"/>
        <v>0.38346899434893145</v>
      </c>
      <c r="EH54" s="356">
        <f t="shared" si="290"/>
        <v>0.37957162888792984</v>
      </c>
      <c r="EI54" s="356">
        <f t="shared" si="290"/>
        <v>0.3772520531324759</v>
      </c>
      <c r="EJ54" s="356">
        <f t="shared" si="290"/>
        <v>0.37878638885619564</v>
      </c>
      <c r="EK54" s="356">
        <f t="shared" si="290"/>
        <v>0.38212226213972439</v>
      </c>
      <c r="EL54" s="356">
        <f t="shared" si="290"/>
        <v>0.38220128354183874</v>
      </c>
      <c r="EM54" s="356">
        <f t="shared" si="290"/>
        <v>0.3813434706385942</v>
      </c>
      <c r="EN54" s="356">
        <f t="shared" si="290"/>
        <v>0.37874697406707497</v>
      </c>
      <c r="EO54" s="356">
        <f t="shared" si="290"/>
        <v>0.37327237686124726</v>
      </c>
      <c r="EP54" s="356">
        <f t="shared" si="290"/>
        <v>0.36768858606341964</v>
      </c>
      <c r="EQ54" s="356">
        <f t="shared" si="290"/>
        <v>0.36772952533854392</v>
      </c>
      <c r="ER54" s="356">
        <f t="shared" si="290"/>
        <v>0.36705004019898796</v>
      </c>
      <c r="ES54" s="356">
        <f t="shared" si="290"/>
        <v>0.36488863007047206</v>
      </c>
      <c r="ET54" s="356">
        <f t="shared" si="290"/>
        <v>0.36386706701671051</v>
      </c>
      <c r="EU54" s="356">
        <f t="shared" si="290"/>
        <v>0.36156540354869876</v>
      </c>
      <c r="EV54" s="356">
        <f t="shared" si="290"/>
        <v>0.36417910452883556</v>
      </c>
      <c r="EW54" s="356">
        <f t="shared" si="290"/>
        <v>0.366005133741161</v>
      </c>
      <c r="EX54" s="356">
        <f t="shared" si="290"/>
        <v>0.36625362500111869</v>
      </c>
      <c r="EY54" s="282">
        <f t="shared" si="290"/>
        <v>0.36483012975304785</v>
      </c>
      <c r="EZ54" s="282">
        <f t="shared" si="290"/>
        <v>0.36187179792476998</v>
      </c>
      <c r="FA54" s="282">
        <f t="shared" si="290"/>
        <v>0.35633183678471597</v>
      </c>
      <c r="FB54" s="282">
        <f t="shared" si="290"/>
        <v>0.35101637299431887</v>
      </c>
      <c r="FC54" s="282">
        <f t="shared" si="290"/>
        <v>0.34954986452470682</v>
      </c>
      <c r="FD54" s="282">
        <f t="shared" si="290"/>
        <v>0.34827703260678139</v>
      </c>
      <c r="FE54" s="282">
        <f t="shared" si="290"/>
        <v>0.3453350702367276</v>
      </c>
      <c r="FF54" s="282">
        <f t="shared" si="290"/>
        <v>0.34422308313126121</v>
      </c>
      <c r="FG54" s="282">
        <f t="shared" si="290"/>
        <v>0.34377214939823281</v>
      </c>
      <c r="FH54" s="282">
        <f t="shared" si="290"/>
        <v>0.34593548334172919</v>
      </c>
      <c r="FI54" s="282">
        <f t="shared" si="290"/>
        <v>0.34844964678406726</v>
      </c>
      <c r="FJ54" s="282">
        <f t="shared" si="290"/>
        <v>0.34997887704604885</v>
      </c>
      <c r="FK54" s="282">
        <f t="shared" si="290"/>
        <v>0.34766731816806723</v>
      </c>
      <c r="FL54" s="282">
        <f t="shared" si="290"/>
        <v>0.34320890222846834</v>
      </c>
      <c r="FM54" s="282">
        <f t="shared" si="290"/>
        <v>0.33878779726443653</v>
      </c>
      <c r="FN54" s="282">
        <f t="shared" si="290"/>
        <v>0.33470511298063005</v>
      </c>
      <c r="FO54" s="282">
        <f t="shared" si="290"/>
        <v>0.33380435102287143</v>
      </c>
      <c r="FP54" s="282">
        <f t="shared" si="290"/>
        <v>0.33460065665199551</v>
      </c>
      <c r="FQ54" s="282">
        <f t="shared" si="290"/>
        <v>0.33205058418916017</v>
      </c>
      <c r="FR54" s="282">
        <f t="shared" ref="FR54:FT54" si="291">SUM(FR51)/FR53</f>
        <v>0.33082747557927733</v>
      </c>
      <c r="FS54" s="282">
        <f t="shared" si="291"/>
        <v>0.33039257998124305</v>
      </c>
      <c r="FT54" s="282">
        <f t="shared" si="291"/>
        <v>0.33320193901970524</v>
      </c>
    </row>
    <row r="55" spans="2:176" ht="13.5" customHeight="1" thickBot="1" x14ac:dyDescent="0.3">
      <c r="B55" s="4" t="s">
        <v>11</v>
      </c>
      <c r="C55" s="27">
        <f t="shared" ref="C55:H55" si="292">SUM(C52/C53)</f>
        <v>3.4191421306644459E-2</v>
      </c>
      <c r="D55" s="27">
        <f t="shared" si="292"/>
        <v>3.5855830906976839E-2</v>
      </c>
      <c r="E55" s="15">
        <f t="shared" si="292"/>
        <v>3.6091869821353172E-2</v>
      </c>
      <c r="F55" s="15">
        <f t="shared" si="292"/>
        <v>3.8472076052314071E-2</v>
      </c>
      <c r="G55" s="15">
        <f t="shared" si="292"/>
        <v>4.3441396057014608E-2</v>
      </c>
      <c r="H55" s="15">
        <f t="shared" si="292"/>
        <v>5.7948192295404155E-2</v>
      </c>
      <c r="I55" s="15">
        <f t="shared" ref="I55:Q55" si="293">SUM(I52/I53)</f>
        <v>6.7116011285120389E-2</v>
      </c>
      <c r="J55" s="15">
        <f t="shared" si="293"/>
        <v>7.491363870623613E-2</v>
      </c>
      <c r="K55" s="37">
        <f t="shared" si="293"/>
        <v>8.6116516991799549E-2</v>
      </c>
      <c r="L55" s="15">
        <f t="shared" si="293"/>
        <v>9.2547167070330408E-2</v>
      </c>
      <c r="M55" s="15">
        <f t="shared" si="293"/>
        <v>9.5538700254133663E-2</v>
      </c>
      <c r="N55" s="24">
        <f t="shared" si="293"/>
        <v>9.8163083860282274E-2</v>
      </c>
      <c r="O55" s="37">
        <f t="shared" si="293"/>
        <v>0.10220818298428377</v>
      </c>
      <c r="P55" s="37">
        <f t="shared" si="293"/>
        <v>0.10524251430167779</v>
      </c>
      <c r="Q55" s="15">
        <f t="shared" si="293"/>
        <v>0.10866674454441864</v>
      </c>
      <c r="R55" s="15">
        <f>SUM(R52/R53)</f>
        <v>0.10777653804451696</v>
      </c>
      <c r="S55" s="15">
        <f>SUM(S52/S53)</f>
        <v>0.10795866530018938</v>
      </c>
      <c r="T55" s="15">
        <f>SUM(T52/T53)</f>
        <v>0.10854805711687394</v>
      </c>
      <c r="U55" s="15">
        <f t="shared" ref="U55:Z55" si="294">SUM(U52/U53)</f>
        <v>0.11147621651688691</v>
      </c>
      <c r="V55" s="15">
        <f t="shared" si="294"/>
        <v>0.11494510497870161</v>
      </c>
      <c r="W55" s="15">
        <f t="shared" si="294"/>
        <v>0.12060902879902112</v>
      </c>
      <c r="X55" s="15">
        <f t="shared" si="294"/>
        <v>0.12680281792565032</v>
      </c>
      <c r="Y55" s="15">
        <f t="shared" si="294"/>
        <v>0.13436555607225109</v>
      </c>
      <c r="Z55" s="24">
        <f t="shared" si="294"/>
        <v>0.13978060955502472</v>
      </c>
      <c r="AA55" s="15">
        <f t="shared" ref="AA55:AF55" si="295">SUM(AA52/AA53)</f>
        <v>0.13728552203990069</v>
      </c>
      <c r="AB55" s="15">
        <f t="shared" si="295"/>
        <v>0.1439824884851014</v>
      </c>
      <c r="AC55" s="15">
        <f t="shared" si="295"/>
        <v>0.14753961965812454</v>
      </c>
      <c r="AD55" s="15">
        <f t="shared" si="295"/>
        <v>0.15176570715198584</v>
      </c>
      <c r="AE55" s="15">
        <f t="shared" si="295"/>
        <v>0.15561043656808557</v>
      </c>
      <c r="AF55" s="15">
        <f t="shared" si="295"/>
        <v>0.16105670406694184</v>
      </c>
      <c r="AG55" s="15">
        <f t="shared" ref="AG55:AL55" si="296">SUM(AG52/AG53)</f>
        <v>0.16736360587848256</v>
      </c>
      <c r="AH55" s="15">
        <f t="shared" si="296"/>
        <v>0.17472838579460268</v>
      </c>
      <c r="AI55" s="15">
        <f t="shared" si="296"/>
        <v>0.1834631649505119</v>
      </c>
      <c r="AJ55" s="15">
        <f t="shared" si="296"/>
        <v>0.19059276306781545</v>
      </c>
      <c r="AK55" s="15">
        <f t="shared" si="296"/>
        <v>0.19727334548706907</v>
      </c>
      <c r="AL55" s="24">
        <f t="shared" si="296"/>
        <v>0.20413866484133758</v>
      </c>
      <c r="AM55" s="15">
        <f t="shared" ref="AM55:AR55" si="297">SUM(AM52/AM53)</f>
        <v>0.2099397932523667</v>
      </c>
      <c r="AN55" s="15">
        <f t="shared" si="297"/>
        <v>0.21667015473124074</v>
      </c>
      <c r="AO55" s="15">
        <f t="shared" si="297"/>
        <v>0.22262774236454988</v>
      </c>
      <c r="AP55" s="15">
        <f t="shared" si="297"/>
        <v>0.22864956782461199</v>
      </c>
      <c r="AQ55" s="15">
        <f t="shared" si="297"/>
        <v>0.23551576557366957</v>
      </c>
      <c r="AR55" s="15">
        <f t="shared" si="297"/>
        <v>0.24085877545473858</v>
      </c>
      <c r="AS55" s="15">
        <f t="shared" ref="AS55:AX55" si="298">SUM(AS52/AS53)</f>
        <v>0.24743105048476799</v>
      </c>
      <c r="AT55" s="15">
        <f t="shared" si="298"/>
        <v>0.25917143976597939</v>
      </c>
      <c r="AU55" s="15">
        <f t="shared" si="298"/>
        <v>0.27297834909365831</v>
      </c>
      <c r="AV55" s="15">
        <f t="shared" si="298"/>
        <v>0.28677174236576397</v>
      </c>
      <c r="AW55" s="15">
        <f t="shared" si="298"/>
        <v>0.29987498997448919</v>
      </c>
      <c r="AX55" s="24">
        <f t="shared" si="298"/>
        <v>0.30446862309074441</v>
      </c>
      <c r="AY55" s="15">
        <f t="shared" ref="AY55:BD55" si="299">SUM(AY52/AY53)</f>
        <v>0.30738645694873112</v>
      </c>
      <c r="AZ55" s="15">
        <f t="shared" si="299"/>
        <v>0.30805679058113405</v>
      </c>
      <c r="BA55" s="15">
        <f t="shared" si="299"/>
        <v>0.31089920777553454</v>
      </c>
      <c r="BB55" s="15">
        <f t="shared" si="299"/>
        <v>0.31638393827684858</v>
      </c>
      <c r="BC55" s="15">
        <f t="shared" si="299"/>
        <v>0.32090708647833399</v>
      </c>
      <c r="BD55" s="15">
        <f t="shared" si="299"/>
        <v>0.32780940178492068</v>
      </c>
      <c r="BE55" s="15">
        <f t="shared" ref="BE55:BP55" si="300">SUM(BE52/BE53)</f>
        <v>0.34072208351290878</v>
      </c>
      <c r="BF55" s="15">
        <f t="shared" si="300"/>
        <v>0.34917751428538246</v>
      </c>
      <c r="BG55" s="15">
        <f t="shared" si="300"/>
        <v>0.36043143439250303</v>
      </c>
      <c r="BH55" s="15">
        <f t="shared" si="300"/>
        <v>0.37054401687234484</v>
      </c>
      <c r="BI55" s="15">
        <f t="shared" si="300"/>
        <v>0.38027606552077897</v>
      </c>
      <c r="BJ55" s="24">
        <f t="shared" si="300"/>
        <v>0.38798887469903015</v>
      </c>
      <c r="BK55" s="15">
        <f t="shared" si="300"/>
        <v>0.39445080169335278</v>
      </c>
      <c r="BL55" s="15">
        <f t="shared" si="300"/>
        <v>0.39900400613538756</v>
      </c>
      <c r="BM55" s="15">
        <f t="shared" si="300"/>
        <v>0.40566311407508981</v>
      </c>
      <c r="BN55" s="15">
        <f t="shared" si="300"/>
        <v>0.4121009923777525</v>
      </c>
      <c r="BO55" s="15">
        <f t="shared" si="300"/>
        <v>0.4158537651312067</v>
      </c>
      <c r="BP55" s="15">
        <f t="shared" si="300"/>
        <v>0.41829333832486992</v>
      </c>
      <c r="BQ55" s="15">
        <f t="shared" ref="BQ55:CB55" si="301">SUM(BQ52/BQ53)</f>
        <v>0.41980317269754969</v>
      </c>
      <c r="BR55" s="15">
        <f t="shared" si="301"/>
        <v>0.42163291103612183</v>
      </c>
      <c r="BS55" s="15">
        <f t="shared" si="301"/>
        <v>0.42714807191724985</v>
      </c>
      <c r="BT55" s="15">
        <f t="shared" si="301"/>
        <v>0.43390868829798807</v>
      </c>
      <c r="BU55" s="15">
        <f t="shared" si="301"/>
        <v>0.44118426092754232</v>
      </c>
      <c r="BV55" s="24">
        <f t="shared" si="301"/>
        <v>0.45159551153498151</v>
      </c>
      <c r="BW55" s="15">
        <f t="shared" si="301"/>
        <v>0.45490229237393137</v>
      </c>
      <c r="BX55" s="15">
        <f t="shared" si="301"/>
        <v>0.45920397693906129</v>
      </c>
      <c r="BY55" s="15">
        <f t="shared" si="301"/>
        <v>0.46443932226202733</v>
      </c>
      <c r="BZ55" s="15">
        <f t="shared" si="301"/>
        <v>0.47174291897788373</v>
      </c>
      <c r="CA55" s="15">
        <f t="shared" si="301"/>
        <v>0.47623156785766563</v>
      </c>
      <c r="CB55" s="15">
        <f t="shared" si="301"/>
        <v>0.47443990738097419</v>
      </c>
      <c r="CC55" s="15">
        <f t="shared" ref="CC55:CH55" si="302">SUM(CC52/CC53)</f>
        <v>0.46485097907403106</v>
      </c>
      <c r="CD55" s="15">
        <f t="shared" si="302"/>
        <v>0.46092551443321722</v>
      </c>
      <c r="CE55" s="15">
        <f t="shared" si="302"/>
        <v>0.46095508365718113</v>
      </c>
      <c r="CF55" s="15">
        <f t="shared" si="302"/>
        <v>0.47222766572068253</v>
      </c>
      <c r="CG55" s="15">
        <f t="shared" si="302"/>
        <v>0.47030975840961775</v>
      </c>
      <c r="CH55" s="15">
        <f t="shared" si="302"/>
        <v>0.4766190102131912</v>
      </c>
      <c r="CI55" s="250">
        <f>SUM(CI52/CI53)</f>
        <v>0.4802508200028498</v>
      </c>
      <c r="CJ55" s="245">
        <f>SUM(CJ52/CJ53)</f>
        <v>0.48334674604363487</v>
      </c>
      <c r="CK55" s="245">
        <f>SUM(CK52/CK53)</f>
        <v>0.48771210527414255</v>
      </c>
      <c r="CL55" s="245">
        <f t="shared" ref="CL55:CQ55" si="303">SUM(CL52/CL53)</f>
        <v>0.49297366683424121</v>
      </c>
      <c r="CM55" s="245">
        <f t="shared" si="303"/>
        <v>0.49765817068374862</v>
      </c>
      <c r="CN55" s="245">
        <f t="shared" si="303"/>
        <v>0.49840792077936008</v>
      </c>
      <c r="CO55" s="245">
        <f t="shared" si="303"/>
        <v>0.49867207413197018</v>
      </c>
      <c r="CP55" s="245">
        <f t="shared" si="303"/>
        <v>0.50300224158983586</v>
      </c>
      <c r="CQ55" s="245">
        <f t="shared" si="303"/>
        <v>0.51066497935600041</v>
      </c>
      <c r="CR55" s="245">
        <f t="shared" ref="CR55:DJ55" si="304">SUM(CR52/CR53)</f>
        <v>0.52023729397576524</v>
      </c>
      <c r="CS55" s="245">
        <f t="shared" si="304"/>
        <v>0.52867689531863415</v>
      </c>
      <c r="CT55" s="246">
        <f t="shared" si="304"/>
        <v>0.53633377601529231</v>
      </c>
      <c r="CU55" s="245">
        <f t="shared" si="304"/>
        <v>0.53891618000439012</v>
      </c>
      <c r="CV55" s="245">
        <f t="shared" si="304"/>
        <v>0.54182745442069025</v>
      </c>
      <c r="CW55" s="245">
        <f t="shared" si="304"/>
        <v>0.5445724065793236</v>
      </c>
      <c r="CX55" s="245">
        <f t="shared" si="304"/>
        <v>0.5475189784400607</v>
      </c>
      <c r="CY55" s="245">
        <f t="shared" si="304"/>
        <v>0.55032274623018107</v>
      </c>
      <c r="CZ55" s="245">
        <f t="shared" si="304"/>
        <v>0.54924803463146721</v>
      </c>
      <c r="DA55" s="245">
        <f t="shared" si="304"/>
        <v>0.54950100107050892</v>
      </c>
      <c r="DB55" s="245">
        <f t="shared" si="304"/>
        <v>0.55382877861268909</v>
      </c>
      <c r="DC55" s="245">
        <f t="shared" si="304"/>
        <v>0.55767704448218092</v>
      </c>
      <c r="DD55" s="245">
        <f t="shared" si="304"/>
        <v>0.56223642785628758</v>
      </c>
      <c r="DE55" s="245">
        <f t="shared" si="304"/>
        <v>0.56907363263951216</v>
      </c>
      <c r="DF55" s="246">
        <f t="shared" si="304"/>
        <v>0.57315996617863785</v>
      </c>
      <c r="DG55" s="315">
        <f t="shared" si="304"/>
        <v>0.57486363013995079</v>
      </c>
      <c r="DH55" s="315">
        <f t="shared" si="304"/>
        <v>0.57615708928304776</v>
      </c>
      <c r="DI55" s="315">
        <f t="shared" si="304"/>
        <v>0.57760093260845746</v>
      </c>
      <c r="DJ55" s="315">
        <f t="shared" si="304"/>
        <v>0.57898926703122022</v>
      </c>
      <c r="DK55" s="315">
        <f t="shared" ref="DK55:FQ55" si="305">SUM(DK52/DK53)</f>
        <v>0.57907756257784748</v>
      </c>
      <c r="DL55" s="315">
        <f t="shared" si="305"/>
        <v>0.57633696294057901</v>
      </c>
      <c r="DM55" s="315">
        <f t="shared" si="305"/>
        <v>0.57338583591881409</v>
      </c>
      <c r="DN55" s="315">
        <f t="shared" si="305"/>
        <v>0.57385403947990576</v>
      </c>
      <c r="DO55" s="315">
        <f t="shared" si="305"/>
        <v>0.57494998854402479</v>
      </c>
      <c r="DP55" s="315">
        <f t="shared" si="305"/>
        <v>0.57566268576428525</v>
      </c>
      <c r="DQ55" s="315">
        <f t="shared" si="305"/>
        <v>0.58157089291794473</v>
      </c>
      <c r="DR55" s="315">
        <f t="shared" si="305"/>
        <v>0.58687944839561834</v>
      </c>
      <c r="DS55" s="315">
        <f t="shared" si="305"/>
        <v>0.58755460605963483</v>
      </c>
      <c r="DT55" s="315">
        <f t="shared" si="305"/>
        <v>0.58816636914509035</v>
      </c>
      <c r="DU55" s="315">
        <f t="shared" si="305"/>
        <v>0.59170909878310884</v>
      </c>
      <c r="DV55" s="357">
        <f t="shared" si="305"/>
        <v>0.59496519045693119</v>
      </c>
      <c r="DW55" s="357">
        <f t="shared" si="305"/>
        <v>0.59582687450239824</v>
      </c>
      <c r="DX55" s="357">
        <f t="shared" si="305"/>
        <v>0.59525277336730409</v>
      </c>
      <c r="DY55" s="357">
        <f t="shared" si="305"/>
        <v>0.59563272019095492</v>
      </c>
      <c r="DZ55" s="357">
        <f t="shared" si="305"/>
        <v>0.59642911003897381</v>
      </c>
      <c r="EA55" s="357">
        <f t="shared" si="305"/>
        <v>0.59590677355935751</v>
      </c>
      <c r="EB55" s="357">
        <f t="shared" si="305"/>
        <v>0.59956453187443359</v>
      </c>
      <c r="EC55" s="357">
        <f t="shared" si="305"/>
        <v>0.60542392217810059</v>
      </c>
      <c r="ED55" s="357">
        <f t="shared" si="305"/>
        <v>0.61066909238441036</v>
      </c>
      <c r="EE55" s="357">
        <f t="shared" si="305"/>
        <v>0.61349487990892759</v>
      </c>
      <c r="EF55" s="357">
        <f t="shared" si="305"/>
        <v>0.61402984559537999</v>
      </c>
      <c r="EG55" s="357">
        <f t="shared" si="305"/>
        <v>0.61653100565106844</v>
      </c>
      <c r="EH55" s="357">
        <f t="shared" si="305"/>
        <v>0.62042837111207028</v>
      </c>
      <c r="EI55" s="357">
        <f t="shared" si="305"/>
        <v>0.62274794686752399</v>
      </c>
      <c r="EJ55" s="357">
        <f t="shared" si="305"/>
        <v>0.62121361114380436</v>
      </c>
      <c r="EK55" s="357">
        <f t="shared" si="305"/>
        <v>0.61787773786027567</v>
      </c>
      <c r="EL55" s="357">
        <f t="shared" si="305"/>
        <v>0.6177987164581612</v>
      </c>
      <c r="EM55" s="357">
        <f t="shared" si="305"/>
        <v>0.61865652936140569</v>
      </c>
      <c r="EN55" s="357">
        <f t="shared" si="305"/>
        <v>0.62125302593292508</v>
      </c>
      <c r="EO55" s="357">
        <f t="shared" si="305"/>
        <v>0.62672762313875274</v>
      </c>
      <c r="EP55" s="357">
        <f t="shared" si="305"/>
        <v>0.63231141393658041</v>
      </c>
      <c r="EQ55" s="357">
        <f t="shared" si="305"/>
        <v>0.63227047466145603</v>
      </c>
      <c r="ER55" s="357">
        <f t="shared" si="305"/>
        <v>0.63294995980101199</v>
      </c>
      <c r="ES55" s="357">
        <f t="shared" si="305"/>
        <v>0.63511136992952788</v>
      </c>
      <c r="ET55" s="357">
        <f t="shared" si="305"/>
        <v>0.63613293298328955</v>
      </c>
      <c r="EU55" s="357">
        <f t="shared" si="305"/>
        <v>0.63843459645130129</v>
      </c>
      <c r="EV55" s="357">
        <f t="shared" si="305"/>
        <v>0.63582089547116438</v>
      </c>
      <c r="EW55" s="357">
        <f t="shared" si="305"/>
        <v>0.63399486625883905</v>
      </c>
      <c r="EX55" s="357">
        <f t="shared" si="305"/>
        <v>0.6337463749988812</v>
      </c>
      <c r="EY55" s="354">
        <f t="shared" si="305"/>
        <v>0.63516987024695215</v>
      </c>
      <c r="EZ55" s="354">
        <f t="shared" si="305"/>
        <v>0.63812820207523002</v>
      </c>
      <c r="FA55" s="354">
        <f t="shared" si="305"/>
        <v>0.64366816321528397</v>
      </c>
      <c r="FB55" s="354">
        <f t="shared" si="305"/>
        <v>0.64898362700568102</v>
      </c>
      <c r="FC55" s="354">
        <f t="shared" si="305"/>
        <v>0.65045013547529318</v>
      </c>
      <c r="FD55" s="354">
        <f t="shared" si="305"/>
        <v>0.65172296739321867</v>
      </c>
      <c r="FE55" s="354">
        <f t="shared" si="305"/>
        <v>0.65466492976327229</v>
      </c>
      <c r="FF55" s="354">
        <f t="shared" si="305"/>
        <v>0.65577691686873874</v>
      </c>
      <c r="FG55" s="354">
        <f t="shared" si="305"/>
        <v>0.65622785060176725</v>
      </c>
      <c r="FH55" s="354">
        <f t="shared" si="305"/>
        <v>0.65406451665827081</v>
      </c>
      <c r="FI55" s="354">
        <f t="shared" si="305"/>
        <v>0.65155035321593269</v>
      </c>
      <c r="FJ55" s="354">
        <f t="shared" si="305"/>
        <v>0.65002112295395109</v>
      </c>
      <c r="FK55" s="354">
        <f t="shared" si="305"/>
        <v>0.65233268183193271</v>
      </c>
      <c r="FL55" s="354">
        <f t="shared" si="305"/>
        <v>0.65679109777153166</v>
      </c>
      <c r="FM55" s="354">
        <f t="shared" si="305"/>
        <v>0.66121220273556347</v>
      </c>
      <c r="FN55" s="354">
        <f t="shared" si="305"/>
        <v>0.66529488701937001</v>
      </c>
      <c r="FO55" s="354">
        <f t="shared" si="305"/>
        <v>0.66619564897712857</v>
      </c>
      <c r="FP55" s="354">
        <f t="shared" si="305"/>
        <v>0.66539934334800455</v>
      </c>
      <c r="FQ55" s="354">
        <f t="shared" si="305"/>
        <v>0.66794941581083977</v>
      </c>
      <c r="FR55" s="354">
        <f t="shared" ref="FR55:FT55" si="306">SUM(FR52/FR53)</f>
        <v>0.66917252442072261</v>
      </c>
      <c r="FS55" s="354">
        <f t="shared" si="306"/>
        <v>0.66960742001875695</v>
      </c>
      <c r="FT55" s="354">
        <f t="shared" si="306"/>
        <v>0.66679806098029459</v>
      </c>
    </row>
    <row r="56" spans="2:176" ht="13.5" customHeight="1" x14ac:dyDescent="0.25">
      <c r="B56" s="3"/>
      <c r="C56" s="28"/>
      <c r="D56" s="28"/>
      <c r="K56" s="38"/>
      <c r="N56" s="20"/>
      <c r="O56" s="38"/>
      <c r="P56" s="38"/>
      <c r="Z56" s="20"/>
      <c r="AL56" s="20"/>
      <c r="AX56" s="20"/>
      <c r="BJ56" s="20"/>
      <c r="BV56" s="20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224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316"/>
      <c r="DH56" s="302"/>
      <c r="DI56" s="302"/>
      <c r="DJ56" s="302"/>
      <c r="DK56" s="302"/>
      <c r="DL56" s="302"/>
      <c r="DS56" s="302"/>
      <c r="DT56" s="302"/>
      <c r="DU56" s="302"/>
      <c r="DV56" s="302"/>
      <c r="DW56" s="302"/>
      <c r="DX56" s="302"/>
    </row>
    <row r="57" spans="2:176" ht="13.5" customHeight="1" x14ac:dyDescent="0.25">
      <c r="B57" s="3" t="s">
        <v>21</v>
      </c>
      <c r="C57" s="31">
        <f>SUM(1000*(C51))/C8</f>
        <v>1132.4457265945532</v>
      </c>
      <c r="D57" s="31">
        <f t="shared" ref="D57:N57" si="307">SUM(1000*(D51))/D8</f>
        <v>1132.4457265945532</v>
      </c>
      <c r="E57" s="32">
        <f t="shared" si="307"/>
        <v>879.16801092530943</v>
      </c>
      <c r="F57" s="32">
        <f t="shared" si="307"/>
        <v>846.53704929736375</v>
      </c>
      <c r="G57" s="32">
        <f t="shared" si="307"/>
        <v>1154.025400272772</v>
      </c>
      <c r="H57" s="32">
        <f t="shared" si="307"/>
        <v>1350.9398463210621</v>
      </c>
      <c r="I57" s="32">
        <f t="shared" si="307"/>
        <v>1601.5436919134399</v>
      </c>
      <c r="J57" s="32">
        <f t="shared" si="307"/>
        <v>1805.8257595817681</v>
      </c>
      <c r="K57" s="41">
        <f t="shared" si="307"/>
        <v>1778.3236209638026</v>
      </c>
      <c r="L57" s="32">
        <f t="shared" si="307"/>
        <v>1522.403424943531</v>
      </c>
      <c r="M57" s="32">
        <f t="shared" si="307"/>
        <v>1026.776015820911</v>
      </c>
      <c r="N57" s="54">
        <f t="shared" si="307"/>
        <v>852.2773746266688</v>
      </c>
      <c r="O57" s="41">
        <f t="shared" ref="O57:Y57" si="308">SUM(1000*(O51))/O8</f>
        <v>1060.4522537996386</v>
      </c>
      <c r="P57" s="41">
        <f t="shared" si="308"/>
        <v>1013.8667100038156</v>
      </c>
      <c r="Q57" s="32">
        <f t="shared" si="308"/>
        <v>899.30031631856571</v>
      </c>
      <c r="R57" s="32">
        <f t="shared" si="308"/>
        <v>773.75861009216987</v>
      </c>
      <c r="S57" s="32">
        <f t="shared" si="308"/>
        <v>1013.7385293666507</v>
      </c>
      <c r="T57" s="32">
        <f t="shared" si="308"/>
        <v>1534.8950949228149</v>
      </c>
      <c r="U57" s="32">
        <f t="shared" si="308"/>
        <v>1707.1192841575223</v>
      </c>
      <c r="V57" s="32">
        <f t="shared" si="308"/>
        <v>1726.9276213326598</v>
      </c>
      <c r="W57" s="32">
        <f t="shared" si="308"/>
        <v>1754.4530142398557</v>
      </c>
      <c r="X57" s="32">
        <f t="shared" si="308"/>
        <v>1310.3390852888076</v>
      </c>
      <c r="Y57" s="32">
        <f t="shared" si="308"/>
        <v>997.9381715263944</v>
      </c>
      <c r="Z57" s="54">
        <f t="shared" ref="Z57:AW57" si="309">SUM(1000*(Z53))/Z10</f>
        <v>923.099426951753</v>
      </c>
      <c r="AA57" s="32">
        <f t="shared" si="309"/>
        <v>1000.9917482423738</v>
      </c>
      <c r="AB57" s="32">
        <f t="shared" si="309"/>
        <v>920.54619284848263</v>
      </c>
      <c r="AC57" s="32">
        <f t="shared" si="309"/>
        <v>859.53223482360784</v>
      </c>
      <c r="AD57" s="32">
        <f t="shared" si="309"/>
        <v>777.59920499105249</v>
      </c>
      <c r="AE57" s="32">
        <f t="shared" si="309"/>
        <v>906.85411724415724</v>
      </c>
      <c r="AF57" s="32">
        <f t="shared" si="309"/>
        <v>1260.2740944308766</v>
      </c>
      <c r="AG57" s="32">
        <f t="shared" si="309"/>
        <v>1560.8880608093166</v>
      </c>
      <c r="AH57" s="32">
        <f t="shared" si="309"/>
        <v>1745.8706249747015</v>
      </c>
      <c r="AI57" s="32">
        <f t="shared" si="309"/>
        <v>1636.106568787083</v>
      </c>
      <c r="AJ57" s="32">
        <f t="shared" si="309"/>
        <v>1547.2681750822148</v>
      </c>
      <c r="AK57" s="32">
        <f t="shared" si="309"/>
        <v>1181.0031564485723</v>
      </c>
      <c r="AL57" s="54">
        <f t="shared" si="309"/>
        <v>892.60227945911913</v>
      </c>
      <c r="AM57" s="32">
        <f t="shared" si="309"/>
        <v>1025.1233950972508</v>
      </c>
      <c r="AN57" s="32">
        <f t="shared" si="309"/>
        <v>938.34505935514255</v>
      </c>
      <c r="AO57" s="32">
        <f t="shared" si="309"/>
        <v>787.34475000819452</v>
      </c>
      <c r="AP57" s="32">
        <f t="shared" si="309"/>
        <v>798.86114468809478</v>
      </c>
      <c r="AQ57" s="32">
        <f t="shared" si="309"/>
        <v>843.9575386471555</v>
      </c>
      <c r="AR57" s="32">
        <f t="shared" si="309"/>
        <v>1300.1446749727704</v>
      </c>
      <c r="AS57" s="32">
        <f t="shared" si="309"/>
        <v>1793.6168978860583</v>
      </c>
      <c r="AT57" s="32">
        <f t="shared" si="309"/>
        <v>1714.6744717739855</v>
      </c>
      <c r="AU57" s="32">
        <f t="shared" si="309"/>
        <v>1708.995663140088</v>
      </c>
      <c r="AV57" s="32">
        <f t="shared" si="309"/>
        <v>1704.67921206183</v>
      </c>
      <c r="AW57" s="32">
        <f t="shared" si="309"/>
        <v>1067.9044079520017</v>
      </c>
      <c r="AX57" s="54">
        <f t="shared" ref="AX57:BD57" si="310">SUM(1000*(AX53))/AX10</f>
        <v>927.56917100476437</v>
      </c>
      <c r="AY57" s="32">
        <f t="shared" si="310"/>
        <v>993.57990653042964</v>
      </c>
      <c r="AZ57" s="32">
        <f t="shared" si="310"/>
        <v>764.0107394187346</v>
      </c>
      <c r="BA57" s="32">
        <f t="shared" si="310"/>
        <v>795.76761284184124</v>
      </c>
      <c r="BB57" s="32">
        <f t="shared" si="310"/>
        <v>814.04396609233743</v>
      </c>
      <c r="BC57" s="32">
        <f t="shared" si="310"/>
        <v>1103.4823335224635</v>
      </c>
      <c r="BD57" s="32">
        <f t="shared" si="310"/>
        <v>1300.7072306709149</v>
      </c>
      <c r="BE57" s="32">
        <f t="shared" ref="BE57:BP57" si="311">SUM(1000*(BE53))/BE10</f>
        <v>1544.9968527687665</v>
      </c>
      <c r="BF57" s="32">
        <f t="shared" si="311"/>
        <v>1630.5039597527916</v>
      </c>
      <c r="BG57" s="32">
        <f t="shared" si="311"/>
        <v>1673.0591159822682</v>
      </c>
      <c r="BH57" s="32">
        <f t="shared" si="311"/>
        <v>1380.0738184845659</v>
      </c>
      <c r="BI57" s="32">
        <f t="shared" si="311"/>
        <v>952.09441128902051</v>
      </c>
      <c r="BJ57" s="54">
        <f t="shared" si="311"/>
        <v>835.23733629701849</v>
      </c>
      <c r="BK57" s="32">
        <f t="shared" si="311"/>
        <v>966.74661031291782</v>
      </c>
      <c r="BL57" s="32">
        <f t="shared" si="311"/>
        <v>977.62040201386844</v>
      </c>
      <c r="BM57" s="32">
        <f t="shared" si="311"/>
        <v>802.93095090902</v>
      </c>
      <c r="BN57" s="32">
        <f t="shared" si="311"/>
        <v>761.0731421949971</v>
      </c>
      <c r="BO57" s="32">
        <f t="shared" si="311"/>
        <v>852.71749211649046</v>
      </c>
      <c r="BP57" s="32">
        <f t="shared" si="311"/>
        <v>1156.6992107283797</v>
      </c>
      <c r="BQ57" s="32">
        <f t="shared" ref="BQ57:CB57" si="312">SUM(1000*(BQ53))/BQ10</f>
        <v>1462.4889825434523</v>
      </c>
      <c r="BR57" s="32">
        <f t="shared" si="312"/>
        <v>1449.6035989394495</v>
      </c>
      <c r="BS57" s="32">
        <f t="shared" si="312"/>
        <v>1649.5137593625318</v>
      </c>
      <c r="BT57" s="32">
        <f t="shared" si="312"/>
        <v>1431.3823714585519</v>
      </c>
      <c r="BU57" s="32">
        <f t="shared" si="312"/>
        <v>1020.1570724574296</v>
      </c>
      <c r="BV57" s="54">
        <f t="shared" si="312"/>
        <v>841.15859379645883</v>
      </c>
      <c r="BW57" s="32">
        <f t="shared" si="312"/>
        <v>955.1098548131838</v>
      </c>
      <c r="BX57" s="32">
        <f t="shared" si="312"/>
        <v>872.13132918697534</v>
      </c>
      <c r="BY57" s="32">
        <f t="shared" si="312"/>
        <v>725.28080556249915</v>
      </c>
      <c r="BZ57" s="32">
        <f t="shared" si="312"/>
        <v>794.28631736922648</v>
      </c>
      <c r="CA57" s="32">
        <f t="shared" si="312"/>
        <v>853.77938250320449</v>
      </c>
      <c r="CB57" s="32">
        <f t="shared" si="312"/>
        <v>1295.2223007949017</v>
      </c>
      <c r="CC57" s="32">
        <f t="shared" ref="CC57:CH57" si="313">SUM(1000*(CC53))/CC10</f>
        <v>1595.3851208948222</v>
      </c>
      <c r="CD57" s="32">
        <f t="shared" si="313"/>
        <v>1621.6062812158382</v>
      </c>
      <c r="CE57" s="32">
        <f t="shared" si="313"/>
        <v>1563.1427444858939</v>
      </c>
      <c r="CF57" s="32">
        <f t="shared" si="313"/>
        <v>712.98454714174773</v>
      </c>
      <c r="CG57" s="32">
        <f t="shared" si="313"/>
        <v>1245.6191542608881</v>
      </c>
      <c r="CH57" s="32">
        <f t="shared" si="313"/>
        <v>812.88513430789192</v>
      </c>
      <c r="CI57" s="201">
        <f>SUM(1000*(CI53))/CI10</f>
        <v>954.87332844357149</v>
      </c>
      <c r="CJ57" s="69">
        <f>SUM(1000*(CJ53))/CJ10</f>
        <v>793.61067515826983</v>
      </c>
      <c r="CK57" s="69">
        <f>SUM(1000*(CK53))/CK10</f>
        <v>699.09492414235035</v>
      </c>
      <c r="CL57" s="69">
        <f t="shared" ref="CL57:DC57" si="314">SUM(1000*(CL53))/CL10</f>
        <v>750.62079153663581</v>
      </c>
      <c r="CM57" s="69">
        <f t="shared" si="314"/>
        <v>864.98325497883332</v>
      </c>
      <c r="CN57" s="69">
        <f t="shared" si="314"/>
        <v>1239.0570128873358</v>
      </c>
      <c r="CO57" s="69">
        <f t="shared" si="314"/>
        <v>1719.6340341069638</v>
      </c>
      <c r="CP57" s="69">
        <f t="shared" si="314"/>
        <v>1775.2936518551635</v>
      </c>
      <c r="CQ57" s="69">
        <f t="shared" si="314"/>
        <v>1666.9021211576487</v>
      </c>
      <c r="CR57" s="69">
        <f t="shared" si="314"/>
        <v>1245.9460132727486</v>
      </c>
      <c r="CS57" s="69">
        <f t="shared" si="314"/>
        <v>925.30296758877239</v>
      </c>
      <c r="CT57" s="89">
        <f t="shared" si="314"/>
        <v>773.08874201302763</v>
      </c>
      <c r="CU57" s="69">
        <f t="shared" si="314"/>
        <v>1071.0192027637522</v>
      </c>
      <c r="CV57" s="69">
        <f t="shared" si="314"/>
        <v>941.78220255653889</v>
      </c>
      <c r="CW57" s="69">
        <f t="shared" si="314"/>
        <v>899.93538312964881</v>
      </c>
      <c r="CX57" s="69">
        <f t="shared" si="314"/>
        <v>722.79734206636283</v>
      </c>
      <c r="CY57" s="69">
        <f t="shared" si="314"/>
        <v>803.03256397078451</v>
      </c>
      <c r="CZ57" s="69">
        <f t="shared" si="314"/>
        <v>1326.0588869646158</v>
      </c>
      <c r="DA57" s="69">
        <f t="shared" si="314"/>
        <v>1624.1663281234419</v>
      </c>
      <c r="DB57" s="69">
        <f t="shared" si="314"/>
        <v>1616.444872758296</v>
      </c>
      <c r="DC57" s="69">
        <f t="shared" si="314"/>
        <v>1743.7837490640554</v>
      </c>
      <c r="DD57" s="69">
        <f t="shared" ref="DD57:DJ57" si="315">SUM(1000*(DD53))/DD10</f>
        <v>1379.3706538551651</v>
      </c>
      <c r="DE57" s="69">
        <f t="shared" si="315"/>
        <v>955.55704117593962</v>
      </c>
      <c r="DF57" s="89">
        <f t="shared" si="315"/>
        <v>830.65306246565922</v>
      </c>
      <c r="DG57" s="275">
        <f t="shared" si="315"/>
        <v>960.81443211069302</v>
      </c>
      <c r="DH57" s="275">
        <f t="shared" si="315"/>
        <v>994.02063850303398</v>
      </c>
      <c r="DI57" s="275">
        <f t="shared" si="315"/>
        <v>830.04731102153073</v>
      </c>
      <c r="DJ57" s="275">
        <f t="shared" si="315"/>
        <v>747.15165409200188</v>
      </c>
      <c r="DK57" s="275">
        <f t="shared" ref="DK57:FQ57" si="316">SUM(1000*(DK53))/DK10</f>
        <v>1035.5399437518608</v>
      </c>
      <c r="DL57" s="275">
        <f t="shared" si="316"/>
        <v>1343.8403811995645</v>
      </c>
      <c r="DM57" s="275">
        <f t="shared" si="316"/>
        <v>1788.8619467196352</v>
      </c>
      <c r="DN57" s="275">
        <f t="shared" si="316"/>
        <v>1822.9921714743673</v>
      </c>
      <c r="DO57" s="275">
        <f t="shared" si="316"/>
        <v>1911.126711020368</v>
      </c>
      <c r="DP57" s="275">
        <f t="shared" si="316"/>
        <v>1472.2433346123719</v>
      </c>
      <c r="DQ57" s="275">
        <f t="shared" si="316"/>
        <v>972.58050080024236</v>
      </c>
      <c r="DR57" s="275">
        <f t="shared" si="316"/>
        <v>842.52189190467277</v>
      </c>
      <c r="DS57" s="275">
        <f t="shared" si="316"/>
        <v>956.80136662254063</v>
      </c>
      <c r="DT57" s="275">
        <f t="shared" si="316"/>
        <v>789.6426434624118</v>
      </c>
      <c r="DU57" s="275">
        <f t="shared" si="316"/>
        <v>738.95012314482869</v>
      </c>
      <c r="DV57" s="359">
        <f t="shared" si="316"/>
        <v>847.74119168138031</v>
      </c>
      <c r="DW57" s="359">
        <f t="shared" si="316"/>
        <v>1012.4849251812137</v>
      </c>
      <c r="DX57" s="359">
        <f t="shared" si="316"/>
        <v>1326.4083153246838</v>
      </c>
      <c r="DY57" s="359">
        <f t="shared" si="316"/>
        <v>1597.81756883444</v>
      </c>
      <c r="DZ57" s="359">
        <f t="shared" si="316"/>
        <v>1587.0289421227981</v>
      </c>
      <c r="EA57" s="359">
        <f t="shared" si="316"/>
        <v>1740.0243802840946</v>
      </c>
      <c r="EB57" s="359">
        <f t="shared" si="316"/>
        <v>1363.4882072015162</v>
      </c>
      <c r="EC57" s="359">
        <f t="shared" si="316"/>
        <v>987.73200316885595</v>
      </c>
      <c r="ED57" s="359">
        <f t="shared" si="316"/>
        <v>834.484554968927</v>
      </c>
      <c r="EE57" s="359">
        <f t="shared" si="316"/>
        <v>971.96150803448609</v>
      </c>
      <c r="EF57" s="359">
        <f t="shared" si="316"/>
        <v>869.07770176266342</v>
      </c>
      <c r="EG57" s="359">
        <f t="shared" si="316"/>
        <v>703.96792750137604</v>
      </c>
      <c r="EH57" s="359">
        <f t="shared" si="316"/>
        <v>752.86218679443118</v>
      </c>
      <c r="EI57" s="359">
        <f t="shared" si="316"/>
        <v>793.07551471154841</v>
      </c>
      <c r="EJ57" s="359">
        <f t="shared" si="316"/>
        <v>1206.8034205228382</v>
      </c>
      <c r="EK57" s="359">
        <f t="shared" si="316"/>
        <v>1655.2094548095754</v>
      </c>
      <c r="EL57" s="359">
        <f t="shared" si="316"/>
        <v>1661.0506615930121</v>
      </c>
      <c r="EM57" s="359">
        <f t="shared" si="316"/>
        <v>1685.2966446907888</v>
      </c>
      <c r="EN57" s="359">
        <f t="shared" si="316"/>
        <v>1462.7355178090436</v>
      </c>
      <c r="EO57" s="359">
        <f t="shared" si="316"/>
        <v>934.9859662051382</v>
      </c>
      <c r="EP57" s="359">
        <f t="shared" si="316"/>
        <v>870.35359628816275</v>
      </c>
      <c r="EQ57" s="359">
        <f t="shared" si="316"/>
        <v>1116.5470455532184</v>
      </c>
      <c r="ER57" s="359">
        <f t="shared" si="316"/>
        <v>970.60763209055131</v>
      </c>
      <c r="ES57" s="359">
        <f t="shared" si="316"/>
        <v>867.36983718398028</v>
      </c>
      <c r="ET57" s="359">
        <f t="shared" si="316"/>
        <v>725.38215506512859</v>
      </c>
      <c r="EU57" s="359">
        <f t="shared" si="316"/>
        <v>864.68890570304904</v>
      </c>
      <c r="EV57" s="359">
        <f t="shared" si="316"/>
        <v>1133.2405727912028</v>
      </c>
      <c r="EW57" s="359">
        <f t="shared" si="316"/>
        <v>1502.359870637172</v>
      </c>
      <c r="EX57" s="359">
        <f t="shared" si="316"/>
        <v>1592.8428111291935</v>
      </c>
      <c r="EY57" s="359">
        <f t="shared" si="316"/>
        <v>1667.283623255026</v>
      </c>
      <c r="EZ57" s="359">
        <f t="shared" si="316"/>
        <v>1329.9760536861374</v>
      </c>
      <c r="FA57" s="359">
        <f t="shared" si="316"/>
        <v>960.01082949163822</v>
      </c>
      <c r="FB57" s="359">
        <f t="shared" si="316"/>
        <v>829.47382187688413</v>
      </c>
      <c r="FC57" s="359">
        <f t="shared" si="316"/>
        <v>959.37074096833067</v>
      </c>
      <c r="FD57" s="359">
        <f t="shared" si="316"/>
        <v>944.28942886920072</v>
      </c>
      <c r="FE57" s="359">
        <f t="shared" si="316"/>
        <v>825.13550111452582</v>
      </c>
      <c r="FF57" s="359">
        <f t="shared" si="316"/>
        <v>802.32896539283956</v>
      </c>
      <c r="FG57" s="359">
        <f t="shared" si="316"/>
        <v>913.10358254335449</v>
      </c>
      <c r="FH57" s="359">
        <f t="shared" si="316"/>
        <v>1211.2154955369538</v>
      </c>
      <c r="FI57" s="359">
        <f t="shared" si="316"/>
        <v>1518.7188433940373</v>
      </c>
      <c r="FJ57" s="359">
        <f t="shared" si="316"/>
        <v>1790.0293454119542</v>
      </c>
      <c r="FK57" s="359">
        <f t="shared" si="316"/>
        <v>1636.4585550705431</v>
      </c>
      <c r="FL57" s="359">
        <f t="shared" si="316"/>
        <v>1333.2718655796659</v>
      </c>
      <c r="FM57" s="359">
        <f t="shared" si="316"/>
        <v>994.48688817603954</v>
      </c>
      <c r="FN57" s="359">
        <f t="shared" si="316"/>
        <v>818.29891602731709</v>
      </c>
      <c r="FO57" s="359">
        <f t="shared" si="316"/>
        <v>951.46659083803377</v>
      </c>
      <c r="FP57" s="359">
        <f t="shared" si="316"/>
        <v>844.56877303482429</v>
      </c>
      <c r="FQ57" s="359">
        <f t="shared" si="316"/>
        <v>712.91051577906035</v>
      </c>
      <c r="FR57" s="359">
        <f t="shared" ref="FR57:FT57" si="317">SUM(1000*(FR53))/FR10</f>
        <v>766.14776816626795</v>
      </c>
      <c r="FS57" s="359">
        <f t="shared" si="317"/>
        <v>895.00981949283505</v>
      </c>
      <c r="FT57" s="359">
        <f t="shared" si="317"/>
        <v>1162.2864070997653</v>
      </c>
    </row>
    <row r="58" spans="2:176" ht="13.5" customHeight="1" x14ac:dyDescent="0.25">
      <c r="B58" s="3"/>
      <c r="K58" s="38"/>
      <c r="N58" s="20"/>
      <c r="O58" s="38"/>
      <c r="P58" s="38"/>
      <c r="Z58" s="20"/>
      <c r="AL58" s="20"/>
      <c r="AX58" s="20"/>
      <c r="BJ58" s="20"/>
      <c r="BV58" s="20"/>
      <c r="CH58" s="20"/>
      <c r="CI58" s="201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302"/>
      <c r="DH58" s="302"/>
      <c r="DI58" s="302"/>
      <c r="DJ58" s="302"/>
      <c r="DS58" s="302"/>
      <c r="DT58" s="302"/>
      <c r="DU58" s="302"/>
      <c r="DV58" s="302"/>
      <c r="DW58" s="302"/>
      <c r="DX58" s="302"/>
    </row>
    <row r="59" spans="2:176" ht="13.5" customHeight="1" x14ac:dyDescent="0.25">
      <c r="B59" s="55" t="s">
        <v>32</v>
      </c>
      <c r="K59" s="38"/>
      <c r="N59" s="20"/>
      <c r="O59" s="38"/>
      <c r="P59" s="38"/>
      <c r="Z59" s="20"/>
      <c r="AL59" s="20"/>
      <c r="AX59" s="20"/>
      <c r="BJ59" s="20"/>
      <c r="BV59" s="20"/>
      <c r="CH59" s="20"/>
      <c r="CI59" s="201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302"/>
      <c r="DH59" s="302"/>
      <c r="DI59" s="302"/>
      <c r="DJ59" s="302"/>
      <c r="DS59" s="302"/>
      <c r="DT59" s="302"/>
      <c r="DU59" s="302"/>
      <c r="DV59" s="302"/>
      <c r="DW59" s="302"/>
      <c r="DX59" s="302"/>
    </row>
    <row r="60" spans="2:176" ht="13.5" customHeight="1" x14ac:dyDescent="0.25">
      <c r="B60" s="3"/>
      <c r="K60" s="38"/>
      <c r="N60" s="20"/>
      <c r="O60" s="38"/>
      <c r="P60" s="38"/>
      <c r="Z60" s="20"/>
      <c r="AL60" s="20"/>
      <c r="AX60" s="20"/>
      <c r="BJ60" s="20"/>
      <c r="BV60" s="20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302"/>
      <c r="DH60" s="302"/>
      <c r="DI60" s="302"/>
      <c r="DJ60" s="302"/>
      <c r="DS60" s="302"/>
      <c r="DT60" s="302"/>
      <c r="DU60" s="302"/>
      <c r="DV60" s="302"/>
      <c r="DW60" s="302"/>
      <c r="DX60" s="302"/>
    </row>
    <row r="61" spans="2:176" s="68" customFormat="1" ht="13.5" customHeight="1" x14ac:dyDescent="0.25">
      <c r="B61" s="87" t="s">
        <v>1</v>
      </c>
      <c r="C61" s="103">
        <v>1438233.97</v>
      </c>
      <c r="D61" s="103">
        <v>1438233.97</v>
      </c>
      <c r="E61" s="69">
        <v>1438233.97</v>
      </c>
      <c r="F61" s="69">
        <v>1501168</v>
      </c>
      <c r="G61" s="69">
        <v>1634894.48</v>
      </c>
      <c r="H61" s="69">
        <v>1717947.58</v>
      </c>
      <c r="I61" s="69">
        <v>1769219.2</v>
      </c>
      <c r="J61" s="69">
        <v>1827023.91</v>
      </c>
      <c r="K61" s="71">
        <v>1815417.74</v>
      </c>
      <c r="L61" s="69">
        <v>1680582.5</v>
      </c>
      <c r="M61" s="69">
        <v>1436114.801</v>
      </c>
      <c r="N61" s="89">
        <v>1336871.3040000002</v>
      </c>
      <c r="O61" s="71">
        <v>1392767</v>
      </c>
      <c r="P61" s="71">
        <v>1350244</v>
      </c>
      <c r="Q61" s="69">
        <v>1301568</v>
      </c>
      <c r="R61" s="68">
        <v>1253043.92</v>
      </c>
      <c r="S61" s="68">
        <v>1425357.11</v>
      </c>
      <c r="T61" s="68">
        <v>1593592.4849999996</v>
      </c>
      <c r="U61" s="68">
        <v>1639232.16</v>
      </c>
      <c r="V61" s="68">
        <v>1624578.38</v>
      </c>
      <c r="W61" s="68">
        <v>1659276.8</v>
      </c>
      <c r="X61" s="68">
        <v>1473836.2</v>
      </c>
      <c r="Y61" s="68">
        <v>1351820.34</v>
      </c>
      <c r="Z61" s="89">
        <v>1254656.44</v>
      </c>
      <c r="AA61" s="68">
        <v>1226931.51</v>
      </c>
      <c r="AB61" s="68">
        <v>1197788.6599999999</v>
      </c>
      <c r="AC61" s="68">
        <v>1162178.08</v>
      </c>
      <c r="AD61" s="68">
        <v>1186716.81</v>
      </c>
      <c r="AE61" s="68">
        <v>1196346.8500000001</v>
      </c>
      <c r="AF61" s="68">
        <v>1275198.5</v>
      </c>
      <c r="AG61" s="68">
        <v>1365569.55</v>
      </c>
      <c r="AH61" s="68">
        <v>1364606.24</v>
      </c>
      <c r="AI61" s="68">
        <v>1347444.96</v>
      </c>
      <c r="AJ61" s="68">
        <v>1295206.5419999999</v>
      </c>
      <c r="AK61" s="68">
        <v>1172291.547</v>
      </c>
      <c r="AL61" s="89">
        <v>1070240.24</v>
      </c>
      <c r="AM61" s="68">
        <f>68235.85+1022226.27</f>
        <v>1090462.1200000001</v>
      </c>
      <c r="AN61" s="68">
        <f>63976.21+922085.1</f>
        <v>986061.30999999994</v>
      </c>
      <c r="AO61" s="68">
        <f>58471.37+848908.79</f>
        <v>907380.16</v>
      </c>
      <c r="AP61" s="68">
        <f>56985.68+893227.33</f>
        <v>950213.01</v>
      </c>
      <c r="AQ61" s="68">
        <f>884979.71+56111.27</f>
        <v>941090.98</v>
      </c>
      <c r="AR61" s="68">
        <f>986900.89+62280.1</f>
        <v>1049180.99</v>
      </c>
      <c r="AS61" s="68">
        <f>71613.15+1107796.67</f>
        <v>1179409.8199999998</v>
      </c>
      <c r="AT61" s="68">
        <f>69235.67+1028873.05</f>
        <v>1098108.72</v>
      </c>
      <c r="AU61" s="68">
        <f>65706.72+1032702.19</f>
        <v>1098408.9099999999</v>
      </c>
      <c r="AV61" s="68">
        <f>66697+0.59+1019265.2</f>
        <v>1085962.79</v>
      </c>
      <c r="AW61" s="68">
        <f>53931.72+867343</f>
        <v>921274.72</v>
      </c>
      <c r="AX61" s="89">
        <f>64990.39+854571.43</f>
        <v>919561.82000000007</v>
      </c>
      <c r="AY61" s="68">
        <f>50866.29+849788.99</f>
        <v>900655.28</v>
      </c>
      <c r="AZ61" s="68">
        <f>51452.31+801453.77</f>
        <v>852906.08000000007</v>
      </c>
      <c r="BA61" s="68">
        <f>51859.89+812887.74</f>
        <v>864747.63</v>
      </c>
      <c r="BB61" s="68">
        <f>50763+860991</f>
        <v>911754</v>
      </c>
      <c r="BC61" s="68">
        <f>55089.84+936073.05</f>
        <v>991162.89</v>
      </c>
      <c r="BD61" s="68">
        <f>57043.06+1008791.88</f>
        <v>1065834.94</v>
      </c>
      <c r="BE61" s="68">
        <f>61737.83+1030461.08</f>
        <v>1092198.9099999999</v>
      </c>
      <c r="BF61" s="68">
        <f>62600.48+1069741.13</f>
        <v>1132341.6099999999</v>
      </c>
      <c r="BG61" s="68">
        <f>62521.17+1098451.26</f>
        <v>1160972.43</v>
      </c>
      <c r="BH61" s="68">
        <f>59294.07+1003587.59</f>
        <v>1062881.6599999999</v>
      </c>
      <c r="BI61" s="68">
        <f>50774.39+883026.65</f>
        <v>933801.04</v>
      </c>
      <c r="BJ61" s="89">
        <f>49946.96+837790.4</f>
        <v>887737.36</v>
      </c>
      <c r="BK61" s="68">
        <f>55327.75+831579.86</f>
        <v>886907.61</v>
      </c>
      <c r="BL61" s="68">
        <f>55453.51+846222.75</f>
        <v>901676.26</v>
      </c>
      <c r="BM61" s="68">
        <f>48733.12+797321.64</f>
        <v>846054.76</v>
      </c>
      <c r="BN61" s="68">
        <f>45953+821062</f>
        <v>867015</v>
      </c>
      <c r="BO61" s="68">
        <f>46617+857855</f>
        <v>904472</v>
      </c>
      <c r="BP61" s="68">
        <f>49749+957843</f>
        <v>1007592</v>
      </c>
      <c r="BQ61" s="68">
        <f>56194.48+1045211.03</f>
        <v>1101405.51</v>
      </c>
      <c r="BR61" s="68">
        <f>54033.97+1042546.03</f>
        <v>1096580</v>
      </c>
      <c r="BS61" s="68">
        <f>58176.51+1103815.08</f>
        <v>1161991.5900000001</v>
      </c>
      <c r="BT61" s="68">
        <f>59661.97+1055171.51</f>
        <v>1114833.48</v>
      </c>
      <c r="BU61" s="68">
        <f>43981.14+949560.63</f>
        <v>993541.77</v>
      </c>
      <c r="BV61" s="89">
        <f>46844.38+890847.39</f>
        <v>937691.77</v>
      </c>
      <c r="BW61" s="68">
        <f>50384.42+872209.87</f>
        <v>922594.29</v>
      </c>
      <c r="BX61" s="68">
        <f>854255.29+47510.92</f>
        <v>901766.21000000008</v>
      </c>
      <c r="BY61" s="68">
        <f>42879.61+811724.31</f>
        <v>854603.92</v>
      </c>
      <c r="BZ61" s="68">
        <f>43816.1+859451.28</f>
        <v>903267.38</v>
      </c>
      <c r="CA61" s="68">
        <f>42207+0.1+888274.47</f>
        <v>930481.57</v>
      </c>
      <c r="CB61" s="68">
        <f>1007957.08+48291.64</f>
        <v>1056248.72</v>
      </c>
      <c r="CC61" s="68">
        <f>53202.02+1062740.35</f>
        <v>1115942.3700000001</v>
      </c>
      <c r="CD61" s="68">
        <f>52574.13+1085149.52</f>
        <v>1137723.6499999999</v>
      </c>
      <c r="CE61" s="68">
        <f>1060969.99+49857.55</f>
        <v>1110827.54</v>
      </c>
      <c r="CF61" s="68">
        <f>23470.92+632734.69</f>
        <v>656205.61</v>
      </c>
      <c r="CG61" s="68">
        <f>51860.43+974369.77</f>
        <v>1026230.2000000001</v>
      </c>
      <c r="CH61" s="89">
        <f>43003.6+869603.53</f>
        <v>912607.13</v>
      </c>
      <c r="CI61" s="201">
        <f>47089.61+922843.21</f>
        <v>969932.82</v>
      </c>
      <c r="CJ61" s="69">
        <f>39403.19+780799.48</f>
        <v>820202.66999999993</v>
      </c>
      <c r="CK61" s="69">
        <f>35752.67+752208.73</f>
        <v>787961.4</v>
      </c>
      <c r="CL61" s="69">
        <f>36830.59+760439.88</f>
        <v>797270.47</v>
      </c>
      <c r="CM61" s="69">
        <f>37704.45+800578.33</f>
        <v>838282.77999999991</v>
      </c>
      <c r="CN61" s="69">
        <f>42366.73+859647.66</f>
        <v>902014.39</v>
      </c>
      <c r="CO61" s="69">
        <f>48466.61+887202.69</f>
        <v>935669.29999999993</v>
      </c>
      <c r="CP61" s="275">
        <f>49683.81+881564.06</f>
        <v>931247.87000000011</v>
      </c>
      <c r="CQ61" s="69">
        <f>48044.22+833737.29</f>
        <v>881781.51</v>
      </c>
      <c r="CR61" s="69">
        <f>40803.14+738400.83</f>
        <v>779203.97</v>
      </c>
      <c r="CS61" s="69">
        <f>36410.39+653820.82</f>
        <v>690231.21</v>
      </c>
      <c r="CT61" s="89">
        <f>35491.76+610708.18</f>
        <v>646199.94000000006</v>
      </c>
      <c r="CU61" s="69">
        <f>43351.55+654980.64</f>
        <v>698332.19000000006</v>
      </c>
      <c r="CV61" s="69">
        <f>39468.04+583983.12</f>
        <v>623451.16</v>
      </c>
      <c r="CW61" s="69">
        <f>37150.37+575245.2</f>
        <v>612395.56999999995</v>
      </c>
      <c r="CX61" s="275">
        <f>32734.41+589615.97</f>
        <v>622350.38</v>
      </c>
      <c r="CY61" s="69">
        <f>30805.21+590214.9</f>
        <v>621020.11</v>
      </c>
      <c r="CZ61" s="69">
        <f>37271.04+695379.09</f>
        <v>732650.13</v>
      </c>
      <c r="DA61" s="69">
        <f>40139.32+737596.68</f>
        <v>777736</v>
      </c>
      <c r="DB61" s="69">
        <f>39502.83+722708.21</f>
        <v>762211.03999999992</v>
      </c>
      <c r="DC61" s="69">
        <f>40190.48+756660.97</f>
        <v>796851.45</v>
      </c>
      <c r="DD61" s="69">
        <f>36847.62+689185.58</f>
        <v>726033.2</v>
      </c>
      <c r="DE61" s="69">
        <f>30816.26+591483.01</f>
        <v>622299.27</v>
      </c>
      <c r="DF61" s="89">
        <f>29982.74+563414.11</f>
        <v>593396.85</v>
      </c>
      <c r="DG61" s="297">
        <f>32930.26+579646.19</f>
        <v>612576.44999999995</v>
      </c>
      <c r="DH61" s="297">
        <f>31531.82+538093.13</f>
        <v>569624.94999999995</v>
      </c>
      <c r="DI61" s="297">
        <f>28606.95+528829.36</f>
        <v>557436.30999999994</v>
      </c>
      <c r="DJ61" s="297">
        <f>25459.17+549445.59</f>
        <v>574904.76</v>
      </c>
      <c r="DK61" s="297">
        <f>27728.97+581544.52</f>
        <v>609273.49</v>
      </c>
      <c r="DL61" s="297">
        <f>29881.21+616072.01</f>
        <v>645953.22</v>
      </c>
      <c r="DM61" s="297">
        <f>33681.31+702450.5</f>
        <v>736131.81</v>
      </c>
      <c r="DN61" s="297">
        <f>34133.35+692392.57</f>
        <v>726525.91999999993</v>
      </c>
      <c r="DO61" s="297">
        <f>35119.63+736558.98</f>
        <v>771678.61</v>
      </c>
      <c r="DP61" s="297">
        <f>30985.98+676427.34</f>
        <v>707413.32</v>
      </c>
      <c r="DQ61" s="297">
        <f>26451.95+577060.04</f>
        <v>603511.99</v>
      </c>
      <c r="DR61" s="297">
        <f>25853.45+557950.86</f>
        <v>583804.30999999994</v>
      </c>
      <c r="DS61" s="297">
        <f>28121.99+568226.3</f>
        <v>596348.29</v>
      </c>
      <c r="DT61" s="297">
        <f>24894.77+536760.06</f>
        <v>561654.83000000007</v>
      </c>
      <c r="DU61" s="297">
        <f>24021.94+535593.95</f>
        <v>559615.8899999999</v>
      </c>
      <c r="DV61" s="351">
        <f>24369.69+580915.84</f>
        <v>605285.52999999991</v>
      </c>
      <c r="DW61" s="351">
        <f>25772.04+601944.96</f>
        <v>627717</v>
      </c>
      <c r="DX61" s="351">
        <f>28284.59+668488.7</f>
        <v>696773.28999999992</v>
      </c>
      <c r="DY61" s="351">
        <f>29040.74+693859.13</f>
        <v>722899.87</v>
      </c>
      <c r="DZ61" s="351">
        <f>31283.97+692212.75</f>
        <v>723496.72</v>
      </c>
      <c r="EA61" s="351">
        <f>33438.32+767849.41</f>
        <v>801287.73</v>
      </c>
      <c r="EB61" s="351">
        <f>31416.43+700742.11</f>
        <v>732158.54</v>
      </c>
      <c r="EC61" s="351">
        <f>28490.49+662885.01</f>
        <v>691375.5</v>
      </c>
      <c r="ED61" s="351">
        <f>29117+623762.18</f>
        <v>652879.18000000005</v>
      </c>
      <c r="EE61" s="351">
        <f>30841.41+609835.35</f>
        <v>640676.76</v>
      </c>
      <c r="EF61" s="351">
        <f>28470.48+567287.65</f>
        <v>595758.13</v>
      </c>
      <c r="EG61" s="351">
        <f>26592.96+526201.94</f>
        <v>552794.89999999991</v>
      </c>
      <c r="EH61" s="351">
        <f>27636.26+549099.9</f>
        <v>576736.16</v>
      </c>
      <c r="EI61" s="351">
        <f>27245.71+578276.7</f>
        <v>605522.40999999992</v>
      </c>
      <c r="EJ61" s="351">
        <f>30337.11+635712.51</f>
        <v>666049.62</v>
      </c>
      <c r="EK61" s="351">
        <f>33384.46+673086.44</f>
        <v>706470.89999999991</v>
      </c>
      <c r="EL61" s="351">
        <f>33502.11+678014.23</f>
        <v>711516.34</v>
      </c>
      <c r="EM61" s="351">
        <f>33856.33+689267.02</f>
        <v>723123.35</v>
      </c>
      <c r="EN61" s="351">
        <f>33460.4+654026.1</f>
        <v>687486.5</v>
      </c>
      <c r="EO61" s="351">
        <f>29099.87+574268.12</f>
        <v>603367.99</v>
      </c>
      <c r="EP61" s="351">
        <f>29491.31+538967.8</f>
        <v>568459.1100000001</v>
      </c>
      <c r="EQ61" s="351">
        <f>33300.24+579973.09</f>
        <v>613273.32999999996</v>
      </c>
      <c r="ER61" s="351">
        <f>27159.65+521292.36</f>
        <v>548452.01</v>
      </c>
      <c r="ES61" s="351">
        <f>24346.99+483984.81</f>
        <v>508331.8</v>
      </c>
      <c r="ET61" s="351">
        <f>22853.6+456378.7</f>
        <v>479232.3</v>
      </c>
      <c r="EU61" s="351">
        <f>24456.55+513579.24</f>
        <v>538035.79</v>
      </c>
      <c r="EV61" s="351">
        <f>25759.87+545572.91</f>
        <v>571332.78</v>
      </c>
      <c r="EW61" s="351">
        <f>27815.49+596643.03</f>
        <v>624458.52</v>
      </c>
      <c r="EX61" s="351">
        <f>28671.96+628867.38</f>
        <v>657539.34</v>
      </c>
      <c r="EY61" s="351">
        <f>29552.9+638227.56</f>
        <v>667780.46000000008</v>
      </c>
      <c r="EZ61" s="351">
        <f>28193.3+593406.2</f>
        <v>621599.5</v>
      </c>
      <c r="FA61" s="351">
        <f>25985.91+545196.93</f>
        <v>571182.84000000008</v>
      </c>
      <c r="FB61" s="351">
        <f>26583.11+483778.62</f>
        <v>510361.73</v>
      </c>
      <c r="FC61" s="351">
        <f>28938.15+511483.68</f>
        <v>540421.82999999996</v>
      </c>
      <c r="FD61" s="351">
        <f>27165.88+494711.37</f>
        <v>521877.25</v>
      </c>
      <c r="FE61" s="351">
        <f>25533.74+472726.82</f>
        <v>498260.56</v>
      </c>
      <c r="FF61" s="351">
        <f>25264.69+481252.99</f>
        <v>506517.68</v>
      </c>
      <c r="FG61" s="351">
        <f>25257.88+499975.24</f>
        <v>525233.12</v>
      </c>
      <c r="FH61" s="351">
        <f>26843.86+537335.64</f>
        <v>564179.5</v>
      </c>
      <c r="FI61" s="351">
        <f>26860.26+578503.98</f>
        <v>605364.24</v>
      </c>
      <c r="FJ61" s="351">
        <f>26586.7+626786.72</f>
        <v>653373.41999999993</v>
      </c>
      <c r="FK61" s="351">
        <f>26208.9+568747.03</f>
        <v>594955.93000000005</v>
      </c>
      <c r="FL61" s="351">
        <f>25143.67+518074.25</f>
        <v>543217.92000000004</v>
      </c>
      <c r="FM61" s="351">
        <f>23338.4+459354</f>
        <v>482692.4</v>
      </c>
      <c r="FN61" s="351">
        <f>23241.48+430987.26</f>
        <v>454228.74</v>
      </c>
      <c r="FO61" s="351">
        <f>24613.25+450600.34</f>
        <v>475213.59</v>
      </c>
      <c r="FP61" s="351">
        <f>22425.52+413741.58</f>
        <v>436167.10000000003</v>
      </c>
      <c r="FQ61" s="351">
        <f>20849.24+404300.62</f>
        <v>425149.86</v>
      </c>
      <c r="FR61" s="351">
        <f>21708.92+426265.42</f>
        <v>447974.33999999997</v>
      </c>
      <c r="FS61" s="351">
        <f>21282.4+424790.09</f>
        <v>446072.49000000005</v>
      </c>
      <c r="FT61" s="351">
        <f>23346.05+485605.6</f>
        <v>508951.64999999997</v>
      </c>
    </row>
    <row r="62" spans="2:176" s="68" customFormat="1" ht="13.5" customHeight="1" thickBot="1" x14ac:dyDescent="0.3">
      <c r="B62" s="90" t="s">
        <v>8</v>
      </c>
      <c r="C62" s="104">
        <v>135195.85</v>
      </c>
      <c r="D62" s="104">
        <v>272787.23</v>
      </c>
      <c r="E62" s="92">
        <v>514454.21</v>
      </c>
      <c r="F62" s="92">
        <v>517017.9</v>
      </c>
      <c r="G62" s="92">
        <v>600493.93999999994</v>
      </c>
      <c r="H62" s="92">
        <v>653060.42000000004</v>
      </c>
      <c r="I62" s="92">
        <v>716934.8</v>
      </c>
      <c r="J62" s="92">
        <v>755676.65</v>
      </c>
      <c r="K62" s="72">
        <v>793675.19</v>
      </c>
      <c r="L62" s="92">
        <v>813137.82799999975</v>
      </c>
      <c r="M62" s="92">
        <v>710162.13199999975</v>
      </c>
      <c r="N62" s="93">
        <v>698641.44699999946</v>
      </c>
      <c r="O62" s="72">
        <v>739866</v>
      </c>
      <c r="P62" s="72">
        <v>766511</v>
      </c>
      <c r="Q62" s="92">
        <v>774330</v>
      </c>
      <c r="R62" s="92">
        <v>714085.31</v>
      </c>
      <c r="S62" s="92">
        <v>800343.11</v>
      </c>
      <c r="T62" s="92">
        <v>904926.3</v>
      </c>
      <c r="U62" s="92">
        <v>938482.25</v>
      </c>
      <c r="V62" s="92">
        <v>969363.72</v>
      </c>
      <c r="W62" s="92">
        <v>1001122.03</v>
      </c>
      <c r="X62" s="92">
        <v>923203.39</v>
      </c>
      <c r="Y62" s="92">
        <v>923882.95</v>
      </c>
      <c r="Z62" s="93">
        <v>870316.27</v>
      </c>
      <c r="AA62" s="92">
        <v>885288.28</v>
      </c>
      <c r="AB62" s="92">
        <v>865967.13</v>
      </c>
      <c r="AC62" s="92">
        <v>859793.26</v>
      </c>
      <c r="AD62" s="92">
        <v>936816.48</v>
      </c>
      <c r="AE62" s="92">
        <v>941711.9</v>
      </c>
      <c r="AF62" s="92">
        <v>1111449.03</v>
      </c>
      <c r="AG62" s="92">
        <v>1213272.8700000001</v>
      </c>
      <c r="AH62" s="92">
        <v>1265158.1399999999</v>
      </c>
      <c r="AI62" s="92">
        <v>1318348.04</v>
      </c>
      <c r="AJ62" s="92">
        <v>1309475.7719999999</v>
      </c>
      <c r="AK62" s="92">
        <v>1214735.24</v>
      </c>
      <c r="AL62" s="93">
        <v>1107364.3020000001</v>
      </c>
      <c r="AM62" s="92">
        <f>23885+1121205.72</f>
        <v>1145090.72</v>
      </c>
      <c r="AN62" s="92">
        <f>23056.08+1071371.79</f>
        <v>1094427.8700000001</v>
      </c>
      <c r="AO62" s="92">
        <f>21921.09+1084144.45</f>
        <v>1106065.54</v>
      </c>
      <c r="AP62" s="68">
        <f>22201.38+1173061.08</f>
        <v>1195262.46</v>
      </c>
      <c r="AQ62" s="68">
        <f>21986.53+1214336.74</f>
        <v>1236323.27</v>
      </c>
      <c r="AR62" s="68">
        <f>24340.93+1390773.25</f>
        <v>1415114.18</v>
      </c>
      <c r="AS62" s="68">
        <f>28400+1582831.33</f>
        <v>1611231.33</v>
      </c>
      <c r="AT62" s="68">
        <f>28898.74+1577510.1</f>
        <v>1606408.84</v>
      </c>
      <c r="AU62" s="68">
        <f>30951.22+1665707.16</f>
        <v>1696658.38</v>
      </c>
      <c r="AV62" s="68">
        <f>31659.96+1622379.57</f>
        <v>1654039.53</v>
      </c>
      <c r="AW62" s="68">
        <f>27545.8+1390689.97</f>
        <v>1418235.77</v>
      </c>
      <c r="AX62" s="89">
        <f>28850.47+1343725.24</f>
        <v>1372575.71</v>
      </c>
      <c r="AY62" s="68">
        <f>30732+1294872</f>
        <v>1325604</v>
      </c>
      <c r="AZ62" s="68">
        <f>26755+1220865</f>
        <v>1247620</v>
      </c>
      <c r="BA62" s="68">
        <f>26586+1238504</f>
        <v>1265090</v>
      </c>
      <c r="BB62" s="68">
        <f>27695+1299140</f>
        <v>1326835</v>
      </c>
      <c r="BC62" s="68">
        <f>29569+1397378</f>
        <v>1426947</v>
      </c>
      <c r="BD62" s="68">
        <f>31328+1522034</f>
        <v>1553362</v>
      </c>
      <c r="BE62" s="68">
        <f>33756+1579019</f>
        <v>1612775</v>
      </c>
      <c r="BF62" s="68">
        <f>34806+1585518</f>
        <v>1620324</v>
      </c>
      <c r="BG62" s="68">
        <f>35799+1673743</f>
        <v>1709542</v>
      </c>
      <c r="BH62" s="68">
        <f>35911.75+1551056.88</f>
        <v>1586968.63</v>
      </c>
      <c r="BI62" s="68">
        <f>33598.74+1399032.67</f>
        <v>1432631.41</v>
      </c>
      <c r="BJ62" s="89">
        <f>34839.85+1361913.06</f>
        <v>1396752.9100000001</v>
      </c>
      <c r="BK62" s="68">
        <f>38406+1329344</f>
        <v>1367750</v>
      </c>
      <c r="BL62" s="68">
        <f>37918+1344764</f>
        <v>1382682</v>
      </c>
      <c r="BM62" s="68">
        <f>34302+1290918</f>
        <v>1325220</v>
      </c>
      <c r="BN62" s="68">
        <f>34542+1330794</f>
        <v>1365336</v>
      </c>
      <c r="BO62" s="68">
        <f>1391801+34411</f>
        <v>1426212</v>
      </c>
      <c r="BP62" s="68">
        <f>37331+1512515</f>
        <v>1549846</v>
      </c>
      <c r="BQ62" s="68">
        <f>41668.62+1621337.27</f>
        <v>1663005.8900000001</v>
      </c>
      <c r="BR62" s="68">
        <f>41270.81+1591584.998</f>
        <v>1632855.808</v>
      </c>
      <c r="BS62" s="68">
        <f>1676460.9+45233.78</f>
        <v>1721694.68</v>
      </c>
      <c r="BT62" s="68">
        <f>44598+1625809.09</f>
        <v>1670407.09</v>
      </c>
      <c r="BU62" s="68">
        <f>40671.26+1469229.82</f>
        <v>1509901.08</v>
      </c>
      <c r="BV62" s="89">
        <f>42016.84+1386936.62</f>
        <v>1428953.4600000002</v>
      </c>
      <c r="BW62" s="68">
        <f>45465.65+1359513.5</f>
        <v>1404979.15</v>
      </c>
      <c r="BX62" s="68">
        <f>42330.82+1315400.93</f>
        <v>1357731.75</v>
      </c>
      <c r="BY62" s="68">
        <f>1286629.81+38978.05</f>
        <v>1325607.8600000001</v>
      </c>
      <c r="BZ62" s="68">
        <f>41478.12+1373448.08</f>
        <v>1414926.2000000002</v>
      </c>
      <c r="CA62" s="68">
        <f>1411918.51+39684.2</f>
        <v>1451602.71</v>
      </c>
      <c r="CB62" s="68">
        <f>44431.85+1611280.41</f>
        <v>1655712.26</v>
      </c>
      <c r="CC62" s="68">
        <f>47172.45+1693656.02</f>
        <v>1740828.47</v>
      </c>
      <c r="CD62" s="68">
        <f>49452.48+1723505.03</f>
        <v>1772957.51</v>
      </c>
      <c r="CE62" s="68">
        <f>1696859.4+50245.37</f>
        <v>1747104.77</v>
      </c>
      <c r="CF62" s="68">
        <f>23008.72+960896.31</f>
        <v>983905.03</v>
      </c>
      <c r="CG62" s="68">
        <f>55892.09+1588427.37</f>
        <v>1644319.4600000002</v>
      </c>
      <c r="CH62" s="89">
        <f>48793.68+1417179.96</f>
        <v>1465973.64</v>
      </c>
      <c r="CI62" s="210">
        <f>52793.75+1510233.19</f>
        <v>1563026.94</v>
      </c>
      <c r="CJ62" s="92">
        <f>44564.92+1301397.61</f>
        <v>1345962.53</v>
      </c>
      <c r="CK62" s="92">
        <f>43607.97+1314452.65</f>
        <v>1358060.6199999999</v>
      </c>
      <c r="CL62" s="92">
        <f>46262.6+1353367.57</f>
        <v>1399630.1700000002</v>
      </c>
      <c r="CM62" s="92">
        <f>1478616.62+48054.01</f>
        <v>1526670.6300000001</v>
      </c>
      <c r="CN62" s="92">
        <f>50790.52+1664156.8</f>
        <v>1714947.32</v>
      </c>
      <c r="CO62" s="276">
        <f>58018.21+1847351.7</f>
        <v>1905369.91</v>
      </c>
      <c r="CP62" s="92">
        <f>61914.6+1956941.64</f>
        <v>2018856.24</v>
      </c>
      <c r="CQ62" s="92">
        <f>60830.03+1975897.81</f>
        <v>2036727.84</v>
      </c>
      <c r="CR62" s="92">
        <f>55237.05+1838222.06</f>
        <v>1893459.11</v>
      </c>
      <c r="CS62" s="92">
        <f>50797.66+1651475.19</f>
        <v>1702272.8499999999</v>
      </c>
      <c r="CT62" s="93">
        <f>53979.42+1559462.33</f>
        <v>1613441.75</v>
      </c>
      <c r="CU62" s="91">
        <f>61941.37+1631466.8</f>
        <v>1693408.1700000002</v>
      </c>
      <c r="CV62" s="92">
        <f>56182.12+1528781.24</f>
        <v>1584963.36</v>
      </c>
      <c r="CW62" s="92">
        <f>55199.54+1559814.26</f>
        <v>1615013.8</v>
      </c>
      <c r="CX62" s="92">
        <f>51224.62+1593996.94</f>
        <v>1645221.56</v>
      </c>
      <c r="CY62" s="92">
        <f>49965.44+1619074.62</f>
        <v>1669040.06</v>
      </c>
      <c r="CZ62" s="92">
        <f>57930.11+1912737.96</f>
        <v>1970668.07</v>
      </c>
      <c r="DA62" s="92">
        <f>59871.13+2038896.24</f>
        <v>2098767.37</v>
      </c>
      <c r="DB62" s="92">
        <f>60190.03+2025670.51</f>
        <v>2085860.54</v>
      </c>
      <c r="DC62" s="92">
        <f>62139.25+2137997.39</f>
        <v>2200136.64</v>
      </c>
      <c r="DD62" s="92">
        <f>59288.7+1986640.45</f>
        <v>2045929.15</v>
      </c>
      <c r="DE62" s="92">
        <f>54180.87+1746766.25</f>
        <v>1800947.12</v>
      </c>
      <c r="DF62" s="93">
        <f>54577.42+1676940.26</f>
        <v>1731517.68</v>
      </c>
      <c r="DG62" s="297">
        <f>59915.22+1681124.54</f>
        <v>1741039.76</v>
      </c>
      <c r="DH62" s="297">
        <f>57297.64+1627529.83</f>
        <v>1684827.47</v>
      </c>
      <c r="DI62" s="297">
        <f>52067.32+1650762.56</f>
        <v>1702829.8800000001</v>
      </c>
      <c r="DJ62" s="297">
        <f>49156.45+1728699.86</f>
        <v>1777856.31</v>
      </c>
      <c r="DK62" s="297">
        <f>52849.9+1884741.51</f>
        <v>1937591.41</v>
      </c>
      <c r="DL62" s="297">
        <f>54380.7+2059279.86</f>
        <v>2113660.56</v>
      </c>
      <c r="DM62" s="297">
        <f>58292.15+2249612.91</f>
        <v>2307905.06</v>
      </c>
      <c r="DN62" s="297">
        <f>56977.11+2187421.11</f>
        <v>2244398.2199999997</v>
      </c>
      <c r="DO62" s="297">
        <f>58803.69+2333198.35</f>
        <v>2392002.04</v>
      </c>
      <c r="DP62" s="297">
        <f>54635.35+2134526.99</f>
        <v>2189162.3400000003</v>
      </c>
      <c r="DQ62" s="297">
        <f>49745.3+1832957.85</f>
        <v>1882703.1500000001</v>
      </c>
      <c r="DR62" s="297">
        <f>50597.26+1766992.73</f>
        <v>1817589.99</v>
      </c>
      <c r="DS62" s="297">
        <f>54708.77+1760803.74</f>
        <v>1815512.51</v>
      </c>
      <c r="DT62" s="297">
        <f>46563.08+1653388.14</f>
        <v>1699951.22</v>
      </c>
      <c r="DU62" s="297">
        <f>43947.57+1656667.93</f>
        <v>1700615.5</v>
      </c>
      <c r="DV62" s="351">
        <f>43885.35+1799443.84</f>
        <v>1843329.1900000002</v>
      </c>
      <c r="DW62" s="351">
        <f>43673.56+1858503.81</f>
        <v>1902177.37</v>
      </c>
      <c r="DX62" s="351">
        <f>45072.13+2083631.78</f>
        <v>2128703.91</v>
      </c>
      <c r="DY62" s="351">
        <f>45939.7+2168283.08</f>
        <v>2214222.7800000003</v>
      </c>
      <c r="DZ62" s="351">
        <f>42809.65+2146003.61</f>
        <v>2188813.2599999998</v>
      </c>
      <c r="EA62" s="351">
        <f>44383.05+2270031.47</f>
        <v>2314414.52</v>
      </c>
      <c r="EB62" s="351">
        <f>43208.59+2013739.56</f>
        <v>2056948.1500000001</v>
      </c>
      <c r="EC62" s="351">
        <f>40653+1867786.07</f>
        <v>1908439.07</v>
      </c>
      <c r="ED62" s="351">
        <f>42344.7+1756268.19</f>
        <v>1798612.89</v>
      </c>
      <c r="EE62" s="351">
        <f>44617.97+1738247.95</f>
        <v>1782865.9199999999</v>
      </c>
      <c r="EF62" s="351">
        <f>40413.16+1741199.31</f>
        <v>1781612.47</v>
      </c>
      <c r="EG62" s="351">
        <f>37372.08+1623862.73</f>
        <v>1661234.81</v>
      </c>
      <c r="EH62" s="351">
        <f>37794.76+1714571.33</f>
        <v>1752366.09</v>
      </c>
      <c r="EI62" s="351">
        <f>36513.68+1811534.9</f>
        <v>1848048.5799999998</v>
      </c>
      <c r="EJ62" s="351">
        <f>40213.01+2046868.37</f>
        <v>2087081.3800000001</v>
      </c>
      <c r="EK62" s="351">
        <f>41968.77+2257395.61</f>
        <v>2299364.38</v>
      </c>
      <c r="EL62" s="351">
        <f>42204.47+2291092.19</f>
        <v>2333296.66</v>
      </c>
      <c r="EM62" s="351">
        <f>43935.94+2328964.94</f>
        <v>2372900.88</v>
      </c>
      <c r="EN62" s="352">
        <f>43629+2220326.63</f>
        <v>2263955.63</v>
      </c>
      <c r="EO62" s="352">
        <f>40428.63+1923653</f>
        <v>1964081.63</v>
      </c>
      <c r="EP62" s="352">
        <f>41744.02+1830778.07</f>
        <v>1872522.09</v>
      </c>
      <c r="EQ62" s="352">
        <f>46214.43+1936650.24</f>
        <v>1982864.67</v>
      </c>
      <c r="ER62" s="352">
        <f>43368.34+1881387.73</f>
        <v>1924756.07</v>
      </c>
      <c r="ES62" s="352">
        <f>42840.34+1831346.13</f>
        <v>1874186.47</v>
      </c>
      <c r="ET62" s="352">
        <f>40619.76+1789520.62</f>
        <v>1830140.3800000001</v>
      </c>
      <c r="EU62" s="352">
        <f>42204.17+1965134.92</f>
        <v>2007339.0899999999</v>
      </c>
      <c r="EV62" s="352">
        <f>42629.07+2116375.98</f>
        <v>2159005.0499999998</v>
      </c>
      <c r="EW62" s="352">
        <f>44821.07+2295544.56</f>
        <v>2340365.63</v>
      </c>
      <c r="EX62" s="352">
        <f>45856.84+2369366.06</f>
        <v>2415222.9</v>
      </c>
      <c r="EY62" s="352">
        <f>47480.49+2426478.61</f>
        <v>2473959.1</v>
      </c>
      <c r="EZ62" s="352">
        <f>46133.77+2243814.44</f>
        <v>2289948.21</v>
      </c>
      <c r="FA62" s="352">
        <f>43391.33+2067020.58</f>
        <v>2110411.91</v>
      </c>
      <c r="FB62" s="352">
        <f>44987.09+1857447.76</f>
        <v>1902434.85</v>
      </c>
      <c r="FC62" s="352">
        <f>49288.91+1950103.01</f>
        <v>1999391.92</v>
      </c>
      <c r="FD62" s="352">
        <f>45123.48+1921187.27</f>
        <v>1966310.75</v>
      </c>
      <c r="FE62" s="352">
        <f>42550.05+1863739.22</f>
        <v>1906289.27</v>
      </c>
      <c r="FF62" s="352">
        <f>42328.53+1989506.27</f>
        <v>2031834.8</v>
      </c>
      <c r="FG62" s="352">
        <f>42017.87+2010681.35</f>
        <v>2052699.2200000002</v>
      </c>
      <c r="FH62" s="352">
        <f>44807+2189165.21</f>
        <v>2233972.21</v>
      </c>
      <c r="FI62" s="352">
        <f>47593.19+2356872.69</f>
        <v>2404465.88</v>
      </c>
      <c r="FJ62" s="352">
        <f>50799.88+2512985.4</f>
        <v>2563785.2799999998</v>
      </c>
      <c r="FK62" s="352">
        <f>50829.42+2456772.9</f>
        <v>2507602.3199999998</v>
      </c>
      <c r="FL62" s="352">
        <f>50024.05+2378886.79</f>
        <v>2428910.84</v>
      </c>
      <c r="FM62" s="352">
        <f>47636.47+2123480.05</f>
        <v>2171116.52</v>
      </c>
      <c r="FN62" s="352">
        <f>49372.61+1971232.32</f>
        <v>2020604.9300000002</v>
      </c>
      <c r="FO62" s="352">
        <f>52959.99+2003487.15</f>
        <v>2056447.14</v>
      </c>
      <c r="FP62" s="352">
        <f>47666.62+1835488.4</f>
        <v>1883155.02</v>
      </c>
      <c r="FQ62" s="352">
        <f>45756.33+1844799.35</f>
        <v>1890555.6800000002</v>
      </c>
      <c r="FR62" s="352">
        <f>47828.13+1971812.53</f>
        <v>2019640.66</v>
      </c>
      <c r="FS62" s="352">
        <f>47025.21+2004733.2</f>
        <v>2051758.41</v>
      </c>
      <c r="FT62" s="352">
        <f>49789.29+2251315.7</f>
        <v>2301104.9900000002</v>
      </c>
    </row>
    <row r="63" spans="2:176" s="68" customFormat="1" ht="13.5" customHeight="1" thickTop="1" x14ac:dyDescent="0.25">
      <c r="B63" s="87" t="s">
        <v>9</v>
      </c>
      <c r="C63" s="105">
        <f t="shared" ref="C63:H63" si="318">SUM(C61:C62)</f>
        <v>1573429.82</v>
      </c>
      <c r="D63" s="105">
        <f t="shared" si="318"/>
        <v>1711021.2</v>
      </c>
      <c r="E63" s="94">
        <f t="shared" si="318"/>
        <v>1952688.18</v>
      </c>
      <c r="F63" s="94">
        <f t="shared" si="318"/>
        <v>2018185.9</v>
      </c>
      <c r="G63" s="94">
        <f t="shared" si="318"/>
        <v>2235388.42</v>
      </c>
      <c r="H63" s="94">
        <f t="shared" si="318"/>
        <v>2371008</v>
      </c>
      <c r="I63" s="94">
        <f t="shared" ref="I63:Q63" si="319">SUM(I61:I62)</f>
        <v>2486154</v>
      </c>
      <c r="J63" s="94">
        <f t="shared" si="319"/>
        <v>2582700.56</v>
      </c>
      <c r="K63" s="106">
        <f t="shared" si="319"/>
        <v>2609092.9299999997</v>
      </c>
      <c r="L63" s="94">
        <f t="shared" si="319"/>
        <v>2493720.3279999997</v>
      </c>
      <c r="M63" s="94">
        <f t="shared" si="319"/>
        <v>2146276.9329999997</v>
      </c>
      <c r="N63" s="107">
        <f t="shared" si="319"/>
        <v>2035512.7509999997</v>
      </c>
      <c r="O63" s="106">
        <f t="shared" si="319"/>
        <v>2132633</v>
      </c>
      <c r="P63" s="106">
        <f t="shared" si="319"/>
        <v>2116755</v>
      </c>
      <c r="Q63" s="94">
        <f t="shared" si="319"/>
        <v>2075898</v>
      </c>
      <c r="R63" s="68">
        <f>87054.7+1880074.53</f>
        <v>1967129.23</v>
      </c>
      <c r="S63" s="68">
        <f>92668.71+2133031.51</f>
        <v>2225700.2199999997</v>
      </c>
      <c r="T63" s="68">
        <f>96514.78+2402004.005</f>
        <v>2498518.7849999997</v>
      </c>
      <c r="U63" s="68">
        <f>SUM(U61:U62)</f>
        <v>2577714.41</v>
      </c>
      <c r="V63" s="68">
        <f>SUM(V61:V62)</f>
        <v>2593942.0999999996</v>
      </c>
      <c r="W63" s="68">
        <f>SUM(W61:W62)</f>
        <v>2660398.83</v>
      </c>
      <c r="X63" s="68">
        <f>93232.79+2303806.8</f>
        <v>2397039.59</v>
      </c>
      <c r="Y63" s="68">
        <f>83628.69+2192074.6</f>
        <v>2275703.29</v>
      </c>
      <c r="Z63" s="89">
        <f>85290.99+2039681.72</f>
        <v>2124972.71</v>
      </c>
      <c r="AA63" s="68">
        <f t="shared" ref="AA63:AF63" si="320">SUM(AA61:AA62)</f>
        <v>2112219.79</v>
      </c>
      <c r="AB63" s="68">
        <f t="shared" si="320"/>
        <v>2063755.79</v>
      </c>
      <c r="AC63" s="68">
        <f t="shared" si="320"/>
        <v>2021971.34</v>
      </c>
      <c r="AD63" s="68">
        <f t="shared" si="320"/>
        <v>2123533.29</v>
      </c>
      <c r="AE63" s="68">
        <f t="shared" si="320"/>
        <v>2138058.75</v>
      </c>
      <c r="AF63" s="68">
        <f t="shared" si="320"/>
        <v>2386647.5300000003</v>
      </c>
      <c r="AG63" s="68">
        <f t="shared" ref="AG63:AL63" si="321">SUM(AG61:AG62)</f>
        <v>2578842.42</v>
      </c>
      <c r="AH63" s="68">
        <f t="shared" si="321"/>
        <v>2629764.38</v>
      </c>
      <c r="AI63" s="68">
        <f t="shared" si="321"/>
        <v>2665793</v>
      </c>
      <c r="AJ63" s="68">
        <f t="shared" si="321"/>
        <v>2604682.3139999998</v>
      </c>
      <c r="AK63" s="68">
        <f t="shared" si="321"/>
        <v>2387026.787</v>
      </c>
      <c r="AL63" s="89">
        <f t="shared" si="321"/>
        <v>2177604.5420000004</v>
      </c>
      <c r="AM63" s="68">
        <f t="shared" ref="AM63:AR63" si="322">SUM(AM61:AM62)</f>
        <v>2235552.84</v>
      </c>
      <c r="AN63" s="68">
        <f t="shared" si="322"/>
        <v>2080489.1800000002</v>
      </c>
      <c r="AO63" s="68">
        <f t="shared" si="322"/>
        <v>2013445.7000000002</v>
      </c>
      <c r="AP63" s="191">
        <f t="shared" si="322"/>
        <v>2145475.4699999997</v>
      </c>
      <c r="AQ63" s="191">
        <f t="shared" si="322"/>
        <v>2177414.25</v>
      </c>
      <c r="AR63" s="191">
        <f t="shared" si="322"/>
        <v>2464295.17</v>
      </c>
      <c r="AS63" s="191">
        <f t="shared" ref="AS63:AX63" si="323">SUM(AS61:AS62)</f>
        <v>2790641.15</v>
      </c>
      <c r="AT63" s="191">
        <f t="shared" si="323"/>
        <v>2704517.56</v>
      </c>
      <c r="AU63" s="191">
        <f t="shared" si="323"/>
        <v>2795067.29</v>
      </c>
      <c r="AV63" s="191">
        <f t="shared" si="323"/>
        <v>2740002.3200000003</v>
      </c>
      <c r="AW63" s="191">
        <f t="shared" si="323"/>
        <v>2339510.4900000002</v>
      </c>
      <c r="AX63" s="192">
        <f t="shared" si="323"/>
        <v>2292137.5300000003</v>
      </c>
      <c r="AY63" s="191">
        <f t="shared" ref="AY63:BD63" si="324">SUM(AY61:AY62)</f>
        <v>2226259.2800000003</v>
      </c>
      <c r="AZ63" s="191">
        <f t="shared" si="324"/>
        <v>2100526.0800000001</v>
      </c>
      <c r="BA63" s="191">
        <f t="shared" si="324"/>
        <v>2129837.63</v>
      </c>
      <c r="BB63" s="191">
        <f t="shared" si="324"/>
        <v>2238589</v>
      </c>
      <c r="BC63" s="191">
        <f t="shared" si="324"/>
        <v>2418109.89</v>
      </c>
      <c r="BD63" s="191">
        <f t="shared" si="324"/>
        <v>2619196.94</v>
      </c>
      <c r="BE63" s="191">
        <f t="shared" ref="BE63:BJ63" si="325">SUM(BE61:BE62)</f>
        <v>2704973.91</v>
      </c>
      <c r="BF63" s="191">
        <f t="shared" si="325"/>
        <v>2752665.61</v>
      </c>
      <c r="BG63" s="191">
        <f t="shared" si="325"/>
        <v>2870514.4299999997</v>
      </c>
      <c r="BH63" s="191">
        <f t="shared" si="325"/>
        <v>2649850.29</v>
      </c>
      <c r="BI63" s="191">
        <f t="shared" si="325"/>
        <v>2366432.4500000002</v>
      </c>
      <c r="BJ63" s="192">
        <f t="shared" si="325"/>
        <v>2284490.27</v>
      </c>
      <c r="BK63" s="191">
        <f t="shared" ref="BK63:BV63" si="326">SUM(BK61:BK62)</f>
        <v>2254657.61</v>
      </c>
      <c r="BL63" s="191">
        <f t="shared" si="326"/>
        <v>2284358.2599999998</v>
      </c>
      <c r="BM63" s="191">
        <f t="shared" si="326"/>
        <v>2171274.7599999998</v>
      </c>
      <c r="BN63" s="191">
        <f t="shared" si="326"/>
        <v>2232351</v>
      </c>
      <c r="BO63" s="191">
        <f t="shared" si="326"/>
        <v>2330684</v>
      </c>
      <c r="BP63" s="191">
        <f t="shared" si="326"/>
        <v>2557438</v>
      </c>
      <c r="BQ63" s="191">
        <f t="shared" si="326"/>
        <v>2764411.4000000004</v>
      </c>
      <c r="BR63" s="191">
        <f t="shared" si="326"/>
        <v>2729435.8080000002</v>
      </c>
      <c r="BS63" s="191">
        <f t="shared" si="326"/>
        <v>2883686.27</v>
      </c>
      <c r="BT63" s="191">
        <f t="shared" si="326"/>
        <v>2785240.5700000003</v>
      </c>
      <c r="BU63" s="191">
        <f t="shared" si="326"/>
        <v>2503442.85</v>
      </c>
      <c r="BV63" s="192">
        <f t="shared" si="326"/>
        <v>2366645.2300000004</v>
      </c>
      <c r="BW63" s="191">
        <f t="shared" ref="BW63:CB63" si="327">SUM(BW61:BW62)</f>
        <v>2327573.44</v>
      </c>
      <c r="BX63" s="191">
        <f t="shared" si="327"/>
        <v>2259497.96</v>
      </c>
      <c r="BY63" s="191">
        <f t="shared" si="327"/>
        <v>2180211.7800000003</v>
      </c>
      <c r="BZ63" s="191">
        <f t="shared" si="327"/>
        <v>2318193.58</v>
      </c>
      <c r="CA63" s="191">
        <f t="shared" si="327"/>
        <v>2382084.2799999998</v>
      </c>
      <c r="CB63" s="191">
        <f t="shared" si="327"/>
        <v>2711960.98</v>
      </c>
      <c r="CC63" s="191">
        <f t="shared" ref="CC63:CH63" si="328">SUM(CC61:CC62)</f>
        <v>2856770.84</v>
      </c>
      <c r="CD63" s="191">
        <f t="shared" si="328"/>
        <v>2910681.16</v>
      </c>
      <c r="CE63" s="191">
        <f t="shared" si="328"/>
        <v>2857932.31</v>
      </c>
      <c r="CF63" s="191">
        <f t="shared" si="328"/>
        <v>1640110.6400000001</v>
      </c>
      <c r="CG63" s="191">
        <f t="shared" si="328"/>
        <v>2670549.66</v>
      </c>
      <c r="CH63" s="191">
        <f t="shared" si="328"/>
        <v>2378580.77</v>
      </c>
      <c r="CI63" s="115">
        <f t="shared" ref="CI63:CN63" si="329">SUM(CI61:CI62)</f>
        <v>2532959.7599999998</v>
      </c>
      <c r="CJ63" s="94">
        <f t="shared" si="329"/>
        <v>2166165.2000000002</v>
      </c>
      <c r="CK63" s="94">
        <f t="shared" si="329"/>
        <v>2146022.02</v>
      </c>
      <c r="CL63" s="94">
        <f t="shared" si="329"/>
        <v>2196900.64</v>
      </c>
      <c r="CM63" s="94">
        <f t="shared" si="329"/>
        <v>2364953.41</v>
      </c>
      <c r="CN63" s="94">
        <f t="shared" si="329"/>
        <v>2616961.71</v>
      </c>
      <c r="CO63" s="94">
        <f t="shared" ref="CO63:CT63" si="330">SUM(CO61:CO62)</f>
        <v>2841039.21</v>
      </c>
      <c r="CP63" s="94">
        <f t="shared" si="330"/>
        <v>2950104.1100000003</v>
      </c>
      <c r="CQ63" s="94">
        <f t="shared" si="330"/>
        <v>2918509.35</v>
      </c>
      <c r="CR63" s="94">
        <f t="shared" si="330"/>
        <v>2672663.08</v>
      </c>
      <c r="CS63" s="94">
        <f t="shared" si="330"/>
        <v>2392504.0599999996</v>
      </c>
      <c r="CT63" s="107">
        <f t="shared" si="330"/>
        <v>2259641.69</v>
      </c>
      <c r="CU63" s="95">
        <f t="shared" ref="CU63:DJ63" si="331">SUM(CU61:CU62)</f>
        <v>2391740.3600000003</v>
      </c>
      <c r="CV63" s="95">
        <f t="shared" si="331"/>
        <v>2208414.52</v>
      </c>
      <c r="CW63" s="95">
        <f t="shared" si="331"/>
        <v>2227409.37</v>
      </c>
      <c r="CX63" s="95">
        <f t="shared" si="331"/>
        <v>2267571.94</v>
      </c>
      <c r="CY63" s="95">
        <f t="shared" si="331"/>
        <v>2290060.17</v>
      </c>
      <c r="CZ63" s="95">
        <f t="shared" si="331"/>
        <v>2703318.2</v>
      </c>
      <c r="DA63" s="95">
        <f t="shared" si="331"/>
        <v>2876503.37</v>
      </c>
      <c r="DB63" s="95">
        <f t="shared" si="331"/>
        <v>2848071.58</v>
      </c>
      <c r="DC63" s="95">
        <f t="shared" si="331"/>
        <v>2996988.09</v>
      </c>
      <c r="DD63" s="95">
        <f t="shared" si="331"/>
        <v>2771962.3499999996</v>
      </c>
      <c r="DE63" s="95">
        <f t="shared" si="331"/>
        <v>2423246.39</v>
      </c>
      <c r="DF63" s="107">
        <f t="shared" si="331"/>
        <v>2324914.5299999998</v>
      </c>
      <c r="DG63" s="95">
        <f t="shared" si="331"/>
        <v>2353616.21</v>
      </c>
      <c r="DH63" s="95">
        <f t="shared" si="331"/>
        <v>2254452.42</v>
      </c>
      <c r="DI63" s="95">
        <f t="shared" si="331"/>
        <v>2260266.19</v>
      </c>
      <c r="DJ63" s="95">
        <f t="shared" si="331"/>
        <v>2352761.0700000003</v>
      </c>
      <c r="DK63" s="95">
        <f t="shared" ref="DK63:FQ63" si="332">SUM(DK61:DK62)</f>
        <v>2546864.9</v>
      </c>
      <c r="DL63" s="95">
        <f t="shared" si="332"/>
        <v>2759613.7800000003</v>
      </c>
      <c r="DM63" s="95">
        <f t="shared" si="332"/>
        <v>3044036.87</v>
      </c>
      <c r="DN63" s="95">
        <f t="shared" si="332"/>
        <v>2970924.1399999997</v>
      </c>
      <c r="DO63" s="95">
        <f t="shared" si="332"/>
        <v>3163680.65</v>
      </c>
      <c r="DP63" s="95">
        <f t="shared" si="332"/>
        <v>2896575.66</v>
      </c>
      <c r="DQ63" s="95">
        <f t="shared" si="332"/>
        <v>2486215.14</v>
      </c>
      <c r="DR63" s="95">
        <f t="shared" si="332"/>
        <v>2401394.2999999998</v>
      </c>
      <c r="DS63" s="95">
        <f t="shared" si="332"/>
        <v>2411860.7999999998</v>
      </c>
      <c r="DT63" s="95">
        <f t="shared" si="332"/>
        <v>2261606.0499999998</v>
      </c>
      <c r="DU63" s="95">
        <f t="shared" si="332"/>
        <v>2260231.3899999997</v>
      </c>
      <c r="DV63" s="355">
        <f t="shared" si="332"/>
        <v>2448614.7200000002</v>
      </c>
      <c r="DW63" s="355">
        <f t="shared" si="332"/>
        <v>2529894.37</v>
      </c>
      <c r="DX63" s="355">
        <f t="shared" si="332"/>
        <v>2825477.2</v>
      </c>
      <c r="DY63" s="355">
        <f t="shared" si="332"/>
        <v>2937122.6500000004</v>
      </c>
      <c r="DZ63" s="355">
        <f t="shared" si="332"/>
        <v>2912309.9799999995</v>
      </c>
      <c r="EA63" s="355">
        <f t="shared" si="332"/>
        <v>3115702.25</v>
      </c>
      <c r="EB63" s="355">
        <f t="shared" si="332"/>
        <v>2789106.6900000004</v>
      </c>
      <c r="EC63" s="355">
        <f t="shared" si="332"/>
        <v>2599814.5700000003</v>
      </c>
      <c r="ED63" s="355">
        <f t="shared" si="332"/>
        <v>2451492.0699999998</v>
      </c>
      <c r="EE63" s="355">
        <f t="shared" si="332"/>
        <v>2423542.6799999997</v>
      </c>
      <c r="EF63" s="355">
        <f t="shared" si="332"/>
        <v>2377370.6</v>
      </c>
      <c r="EG63" s="355">
        <f t="shared" si="332"/>
        <v>2214029.71</v>
      </c>
      <c r="EH63" s="355">
        <f t="shared" si="332"/>
        <v>2329102.25</v>
      </c>
      <c r="EI63" s="355">
        <f t="shared" si="332"/>
        <v>2453570.9899999998</v>
      </c>
      <c r="EJ63" s="355">
        <f t="shared" si="332"/>
        <v>2753131</v>
      </c>
      <c r="EK63" s="355">
        <f t="shared" si="332"/>
        <v>3005835.28</v>
      </c>
      <c r="EL63" s="355">
        <f t="shared" si="332"/>
        <v>3044813</v>
      </c>
      <c r="EM63" s="355">
        <f t="shared" si="332"/>
        <v>3096024.23</v>
      </c>
      <c r="EN63" s="355">
        <f t="shared" si="332"/>
        <v>2951442.13</v>
      </c>
      <c r="EO63" s="355">
        <f t="shared" si="332"/>
        <v>2567449.62</v>
      </c>
      <c r="EP63" s="355">
        <f t="shared" si="332"/>
        <v>2440981.2000000002</v>
      </c>
      <c r="EQ63" s="355">
        <f t="shared" si="332"/>
        <v>2596138</v>
      </c>
      <c r="ER63" s="355">
        <f t="shared" si="332"/>
        <v>2473208.08</v>
      </c>
      <c r="ES63" s="355">
        <f t="shared" si="332"/>
        <v>2382518.27</v>
      </c>
      <c r="ET63" s="355">
        <f t="shared" si="332"/>
        <v>2309372.6800000002</v>
      </c>
      <c r="EU63" s="355">
        <f t="shared" si="332"/>
        <v>2545374.88</v>
      </c>
      <c r="EV63" s="355">
        <f t="shared" si="332"/>
        <v>2730337.83</v>
      </c>
      <c r="EW63" s="355">
        <f t="shared" si="332"/>
        <v>2964824.15</v>
      </c>
      <c r="EX63" s="355">
        <f t="shared" si="332"/>
        <v>3072762.2399999998</v>
      </c>
      <c r="EY63" s="355">
        <f t="shared" si="332"/>
        <v>3141739.56</v>
      </c>
      <c r="EZ63" s="355">
        <f t="shared" si="332"/>
        <v>2911547.71</v>
      </c>
      <c r="FA63" s="355">
        <f t="shared" si="332"/>
        <v>2681594.75</v>
      </c>
      <c r="FB63" s="355">
        <f t="shared" si="332"/>
        <v>2412796.58</v>
      </c>
      <c r="FC63" s="355">
        <f t="shared" si="332"/>
        <v>2539813.75</v>
      </c>
      <c r="FD63" s="355">
        <f t="shared" si="332"/>
        <v>2488188</v>
      </c>
      <c r="FE63" s="355">
        <f t="shared" si="332"/>
        <v>2404549.83</v>
      </c>
      <c r="FF63" s="355">
        <f t="shared" si="332"/>
        <v>2538352.48</v>
      </c>
      <c r="FG63" s="355">
        <f t="shared" si="332"/>
        <v>2577932.3400000003</v>
      </c>
      <c r="FH63" s="355">
        <f t="shared" si="332"/>
        <v>2798151.71</v>
      </c>
      <c r="FI63" s="355">
        <f t="shared" si="332"/>
        <v>3009830.12</v>
      </c>
      <c r="FJ63" s="355">
        <f t="shared" si="332"/>
        <v>3217158.6999999997</v>
      </c>
      <c r="FK63" s="355">
        <f t="shared" si="332"/>
        <v>3102558.25</v>
      </c>
      <c r="FL63" s="355">
        <f t="shared" si="332"/>
        <v>2972128.76</v>
      </c>
      <c r="FM63" s="355">
        <f t="shared" si="332"/>
        <v>2653808.92</v>
      </c>
      <c r="FN63" s="355">
        <f t="shared" si="332"/>
        <v>2474833.67</v>
      </c>
      <c r="FO63" s="355">
        <f t="shared" si="332"/>
        <v>2531660.73</v>
      </c>
      <c r="FP63" s="355">
        <f t="shared" si="332"/>
        <v>2319322.12</v>
      </c>
      <c r="FQ63" s="355">
        <f t="shared" si="332"/>
        <v>2315705.54</v>
      </c>
      <c r="FR63" s="355">
        <f t="shared" ref="FR63:FT63" si="333">SUM(FR61:FR62)</f>
        <v>2467615</v>
      </c>
      <c r="FS63" s="355">
        <f t="shared" si="333"/>
        <v>2497830.9</v>
      </c>
      <c r="FT63" s="355">
        <f t="shared" si="333"/>
        <v>2810056.64</v>
      </c>
    </row>
    <row r="64" spans="2:176" ht="13.5" customHeight="1" x14ac:dyDescent="0.25">
      <c r="B64" s="3" t="s">
        <v>10</v>
      </c>
      <c r="C64" s="26">
        <f t="shared" ref="C64:H64" si="334">SUM(C61)/C63</f>
        <v>0.91407570373872782</v>
      </c>
      <c r="D64" s="26">
        <f t="shared" si="334"/>
        <v>0.8405705142636456</v>
      </c>
      <c r="E64" s="14">
        <f t="shared" si="334"/>
        <v>0.73654052128281944</v>
      </c>
      <c r="F64" s="14">
        <f t="shared" si="334"/>
        <v>0.74382047758831338</v>
      </c>
      <c r="G64" s="14">
        <f t="shared" si="334"/>
        <v>0.73136930717391835</v>
      </c>
      <c r="H64" s="14">
        <f t="shared" si="334"/>
        <v>0.72456422753529304</v>
      </c>
      <c r="I64" s="14">
        <f t="shared" ref="I64:Q64" si="335">SUM(I61)/I63</f>
        <v>0.71162896586454416</v>
      </c>
      <c r="J64" s="14">
        <f t="shared" si="335"/>
        <v>0.70740833772847433</v>
      </c>
      <c r="K64" s="36">
        <f t="shared" si="335"/>
        <v>0.69580416976562054</v>
      </c>
      <c r="L64" s="14">
        <f t="shared" si="335"/>
        <v>0.67392581322375145</v>
      </c>
      <c r="M64" s="14">
        <f t="shared" si="335"/>
        <v>0.66911905864479615</v>
      </c>
      <c r="N64" s="23">
        <f t="shared" si="335"/>
        <v>0.65677373101358694</v>
      </c>
      <c r="O64" s="36">
        <f t="shared" si="335"/>
        <v>0.65307392317384194</v>
      </c>
      <c r="P64" s="36">
        <f t="shared" si="335"/>
        <v>0.63788393082808359</v>
      </c>
      <c r="Q64" s="14">
        <f t="shared" si="335"/>
        <v>0.62699034345618132</v>
      </c>
      <c r="R64" s="14">
        <f>SUM(R61)/R63</f>
        <v>0.63699115487191449</v>
      </c>
      <c r="S64" s="14">
        <f>SUM(S61)/S63</f>
        <v>0.64040839695832907</v>
      </c>
      <c r="T64" s="14">
        <f>SUM(T61)/T63</f>
        <v>0.63781489039314943</v>
      </c>
      <c r="U64" s="14">
        <f t="shared" ref="U64:Z64" si="336">SUM(U61)/U63</f>
        <v>0.63592466009452142</v>
      </c>
      <c r="V64" s="14">
        <f t="shared" si="336"/>
        <v>0.62629708658493188</v>
      </c>
      <c r="W64" s="14">
        <f t="shared" si="336"/>
        <v>0.62369475632343441</v>
      </c>
      <c r="X64" s="14">
        <f t="shared" si="336"/>
        <v>0.61485684514705907</v>
      </c>
      <c r="Y64" s="14">
        <f t="shared" si="336"/>
        <v>0.59402310746758202</v>
      </c>
      <c r="Z64" s="23">
        <f t="shared" si="336"/>
        <v>0.59043414256364735</v>
      </c>
      <c r="AA64" s="14">
        <f t="shared" ref="AA64:AF64" si="337">SUM(AA61)/AA63</f>
        <v>0.58087303026357873</v>
      </c>
      <c r="AB64" s="14">
        <f t="shared" si="337"/>
        <v>0.58039263453744194</v>
      </c>
      <c r="AC64" s="14">
        <f t="shared" si="337"/>
        <v>0.57477475422574487</v>
      </c>
      <c r="AD64" s="14">
        <f t="shared" si="337"/>
        <v>0.55884069046075568</v>
      </c>
      <c r="AE64" s="14">
        <f t="shared" si="337"/>
        <v>0.55954816489490766</v>
      </c>
      <c r="AF64" s="14">
        <f t="shared" si="337"/>
        <v>0.5343053316297609</v>
      </c>
      <c r="AG64" s="14">
        <f t="shared" ref="AG64:AL64" si="338">SUM(AG61)/AG63</f>
        <v>0.5295281089722419</v>
      </c>
      <c r="AH64" s="14">
        <f t="shared" si="338"/>
        <v>0.51890817686107682</v>
      </c>
      <c r="AI64" s="14">
        <f t="shared" si="338"/>
        <v>0.50545746050049645</v>
      </c>
      <c r="AJ64" s="14">
        <f t="shared" si="338"/>
        <v>0.49726085021514838</v>
      </c>
      <c r="AK64" s="14">
        <f t="shared" si="338"/>
        <v>0.49110950634673378</v>
      </c>
      <c r="AL64" s="23">
        <f t="shared" si="338"/>
        <v>0.49147594035464676</v>
      </c>
      <c r="AM64" s="14">
        <f t="shared" ref="AM64:AR64" si="339">SUM(AM61)/AM63</f>
        <v>0.48778185891593606</v>
      </c>
      <c r="AN64" s="14">
        <f t="shared" si="339"/>
        <v>0.4739564711410803</v>
      </c>
      <c r="AO64" s="14">
        <f t="shared" si="339"/>
        <v>0.45066035801213805</v>
      </c>
      <c r="AP64" s="14">
        <f t="shared" si="339"/>
        <v>0.44289157498500792</v>
      </c>
      <c r="AQ64" s="14">
        <f t="shared" si="339"/>
        <v>0.43220575965276242</v>
      </c>
      <c r="AR64" s="14">
        <f t="shared" si="339"/>
        <v>0.42575297098033921</v>
      </c>
      <c r="AS64" s="14">
        <f t="shared" ref="AS64:AX64" si="340">SUM(AS61)/AS63</f>
        <v>0.42263041236957316</v>
      </c>
      <c r="AT64" s="14">
        <f t="shared" si="340"/>
        <v>0.40602758001689587</v>
      </c>
      <c r="AU64" s="14">
        <f t="shared" si="340"/>
        <v>0.39298120439883932</v>
      </c>
      <c r="AV64" s="14">
        <f t="shared" si="340"/>
        <v>0.39633644908738613</v>
      </c>
      <c r="AW64" s="14">
        <f t="shared" si="340"/>
        <v>0.39378952303821468</v>
      </c>
      <c r="AX64" s="23">
        <f t="shared" si="340"/>
        <v>0.4011809099430434</v>
      </c>
      <c r="AY64" s="14">
        <f t="shared" ref="AY64:BD64" si="341">SUM(AY61)/AY63</f>
        <v>0.40455992169968624</v>
      </c>
      <c r="AZ64" s="14">
        <f t="shared" si="341"/>
        <v>0.40604403255016958</v>
      </c>
      <c r="BA64" s="14">
        <f t="shared" si="341"/>
        <v>0.40601575341684615</v>
      </c>
      <c r="BB64" s="14">
        <f t="shared" si="341"/>
        <v>0.40728959179197255</v>
      </c>
      <c r="BC64" s="14">
        <f t="shared" si="341"/>
        <v>0.40989158271876552</v>
      </c>
      <c r="BD64" s="14">
        <f t="shared" si="341"/>
        <v>0.40693195831238255</v>
      </c>
      <c r="BE64" s="14">
        <f t="shared" ref="BE64:BJ64" si="342">SUM(BE61)/BE63</f>
        <v>0.40377428631095369</v>
      </c>
      <c r="BF64" s="14">
        <f t="shared" si="342"/>
        <v>0.4113618471805589</v>
      </c>
      <c r="BG64" s="14">
        <f t="shared" si="342"/>
        <v>0.40444751570191551</v>
      </c>
      <c r="BH64" s="14">
        <f t="shared" si="342"/>
        <v>0.40111007931697151</v>
      </c>
      <c r="BI64" s="14">
        <f t="shared" si="342"/>
        <v>0.39460287150812184</v>
      </c>
      <c r="BJ64" s="23">
        <f t="shared" si="342"/>
        <v>0.38859318932446141</v>
      </c>
      <c r="BK64" s="14">
        <f t="shared" ref="BK64:BV64" si="343">SUM(BK61)/BK63</f>
        <v>0.3933668713450465</v>
      </c>
      <c r="BL64" s="14">
        <f t="shared" si="343"/>
        <v>0.39471753436783602</v>
      </c>
      <c r="BM64" s="14">
        <f t="shared" si="343"/>
        <v>0.38965808270161079</v>
      </c>
      <c r="BN64" s="14">
        <f t="shared" si="343"/>
        <v>0.3883865037352997</v>
      </c>
      <c r="BO64" s="14">
        <f t="shared" si="343"/>
        <v>0.38807148459422214</v>
      </c>
      <c r="BP64" s="14">
        <f t="shared" si="343"/>
        <v>0.39398491771843541</v>
      </c>
      <c r="BQ64" s="14">
        <f t="shared" si="343"/>
        <v>0.39842315438288234</v>
      </c>
      <c r="BR64" s="14">
        <f t="shared" si="343"/>
        <v>0.40176068504191031</v>
      </c>
      <c r="BS64" s="14">
        <f t="shared" si="343"/>
        <v>0.40295353974133952</v>
      </c>
      <c r="BT64" s="14">
        <f t="shared" si="343"/>
        <v>0.40026469957674066</v>
      </c>
      <c r="BU64" s="14">
        <f t="shared" si="343"/>
        <v>0.39687016222479377</v>
      </c>
      <c r="BV64" s="23">
        <f t="shared" si="343"/>
        <v>0.39621137892306735</v>
      </c>
      <c r="BW64" s="14">
        <f t="shared" ref="BW64:CB64" si="344">SUM(BW61)/BW63</f>
        <v>0.39637601724824634</v>
      </c>
      <c r="BX64" s="14">
        <f t="shared" si="344"/>
        <v>0.399100254111316</v>
      </c>
      <c r="BY64" s="14">
        <f t="shared" si="344"/>
        <v>0.39198206698984073</v>
      </c>
      <c r="BZ64" s="14">
        <f t="shared" si="344"/>
        <v>0.38964277521638208</v>
      </c>
      <c r="CA64" s="14">
        <f t="shared" si="344"/>
        <v>0.39061656122427374</v>
      </c>
      <c r="CB64" s="14">
        <f t="shared" si="344"/>
        <v>0.38947784565838406</v>
      </c>
      <c r="CC64" s="14">
        <f t="shared" ref="CC64:CH64" si="345">SUM(CC61)/CC63</f>
        <v>0.39063069195987737</v>
      </c>
      <c r="CD64" s="14">
        <f t="shared" si="345"/>
        <v>0.39087883126298856</v>
      </c>
      <c r="CE64" s="14">
        <f t="shared" si="345"/>
        <v>0.3886822427925174</v>
      </c>
      <c r="CF64" s="14">
        <f t="shared" si="345"/>
        <v>0.40009837994831859</v>
      </c>
      <c r="CG64" s="14">
        <f t="shared" si="345"/>
        <v>0.38427677094759588</v>
      </c>
      <c r="CH64" s="14">
        <f t="shared" si="345"/>
        <v>0.38367716644745259</v>
      </c>
      <c r="CI64" s="248">
        <f t="shared" ref="CI64:DJ64" si="346">SUM(CI61)/CI63</f>
        <v>0.38292468570444249</v>
      </c>
      <c r="CJ64" s="240">
        <f t="shared" si="346"/>
        <v>0.37864271386134346</v>
      </c>
      <c r="CK64" s="240">
        <f t="shared" si="346"/>
        <v>0.36717302649112615</v>
      </c>
      <c r="CL64" s="240">
        <f t="shared" si="346"/>
        <v>0.3629069314668687</v>
      </c>
      <c r="CM64" s="240">
        <f t="shared" si="346"/>
        <v>0.35446058956400323</v>
      </c>
      <c r="CN64" s="240">
        <f t="shared" si="346"/>
        <v>0.34468001062193609</v>
      </c>
      <c r="CO64" s="240">
        <f t="shared" si="346"/>
        <v>0.32934050917234609</v>
      </c>
      <c r="CP64" s="240">
        <f t="shared" si="346"/>
        <v>0.31566610372947146</v>
      </c>
      <c r="CQ64" s="240">
        <f t="shared" si="346"/>
        <v>0.3021342076563846</v>
      </c>
      <c r="CR64" s="240">
        <f t="shared" si="346"/>
        <v>0.29154590259839258</v>
      </c>
      <c r="CS64" s="240">
        <f t="shared" si="346"/>
        <v>0.28849740384557593</v>
      </c>
      <c r="CT64" s="241">
        <f t="shared" si="346"/>
        <v>0.28597451660577217</v>
      </c>
      <c r="CU64" s="240">
        <f t="shared" si="346"/>
        <v>0.29197658812765109</v>
      </c>
      <c r="CV64" s="240">
        <f t="shared" si="346"/>
        <v>0.28230712773976874</v>
      </c>
      <c r="CW64" s="240">
        <f t="shared" si="346"/>
        <v>0.27493624577865539</v>
      </c>
      <c r="CX64" s="240">
        <f t="shared" si="346"/>
        <v>0.27445673013575922</v>
      </c>
      <c r="CY64" s="240">
        <f t="shared" si="346"/>
        <v>0.27118069565831537</v>
      </c>
      <c r="CZ64" s="240">
        <f t="shared" si="346"/>
        <v>0.27101882789824738</v>
      </c>
      <c r="DA64" s="240">
        <f t="shared" si="346"/>
        <v>0.27037548716655946</v>
      </c>
      <c r="DB64" s="240">
        <f t="shared" si="346"/>
        <v>0.26762355460181231</v>
      </c>
      <c r="DC64" s="240">
        <f t="shared" si="346"/>
        <v>0.2658840896494854</v>
      </c>
      <c r="DD64" s="240">
        <f t="shared" si="346"/>
        <v>0.26192029628396651</v>
      </c>
      <c r="DE64" s="240">
        <f t="shared" si="346"/>
        <v>0.25680396040949016</v>
      </c>
      <c r="DF64" s="241">
        <f t="shared" si="346"/>
        <v>0.25523383433798746</v>
      </c>
      <c r="DG64" s="240">
        <f t="shared" si="346"/>
        <v>0.26027032249238291</v>
      </c>
      <c r="DH64" s="240">
        <f t="shared" si="346"/>
        <v>0.25266665419357132</v>
      </c>
      <c r="DI64" s="240">
        <f t="shared" si="346"/>
        <v>0.24662418633090288</v>
      </c>
      <c r="DJ64" s="240">
        <f t="shared" si="346"/>
        <v>0.24435322707885504</v>
      </c>
      <c r="DK64" s="240">
        <f t="shared" ref="DK64:FQ64" si="347">SUM(DK61)/DK63</f>
        <v>0.23922489567467831</v>
      </c>
      <c r="DL64" s="240">
        <f t="shared" si="347"/>
        <v>0.23407377680220162</v>
      </c>
      <c r="DM64" s="240">
        <f t="shared" si="347"/>
        <v>0.24182749468471451</v>
      </c>
      <c r="DN64" s="240">
        <f t="shared" si="347"/>
        <v>0.24454542955782102</v>
      </c>
      <c r="DO64" s="240">
        <f t="shared" si="347"/>
        <v>0.24391798521130759</v>
      </c>
      <c r="DP64" s="240">
        <f t="shared" si="347"/>
        <v>0.24422400898031432</v>
      </c>
      <c r="DQ64" s="240">
        <f t="shared" si="347"/>
        <v>0.24274326879048769</v>
      </c>
      <c r="DR64" s="240">
        <f t="shared" si="347"/>
        <v>0.2431105587283188</v>
      </c>
      <c r="DS64" s="240">
        <f t="shared" si="347"/>
        <v>0.24725651248198074</v>
      </c>
      <c r="DT64" s="240">
        <f t="shared" si="347"/>
        <v>0.24834335316710004</v>
      </c>
      <c r="DU64" s="240">
        <f t="shared" si="347"/>
        <v>0.24759230071572449</v>
      </c>
      <c r="DV64" s="356">
        <f t="shared" si="347"/>
        <v>0.24719508751462535</v>
      </c>
      <c r="DW64" s="356">
        <f t="shared" si="347"/>
        <v>0.24811984541473167</v>
      </c>
      <c r="DX64" s="356">
        <f t="shared" si="347"/>
        <v>0.24660375599562434</v>
      </c>
      <c r="DY64" s="356">
        <f t="shared" si="347"/>
        <v>0.24612518990311824</v>
      </c>
      <c r="DZ64" s="356">
        <f t="shared" si="347"/>
        <v>0.24842709909609281</v>
      </c>
      <c r="EA64" s="356">
        <f t="shared" si="347"/>
        <v>0.25717724792219793</v>
      </c>
      <c r="EB64" s="356">
        <f t="shared" si="347"/>
        <v>0.26250646582472609</v>
      </c>
      <c r="EC64" s="356">
        <f t="shared" si="347"/>
        <v>0.2659326199560455</v>
      </c>
      <c r="ED64" s="356">
        <f t="shared" si="347"/>
        <v>0.2663191074487139</v>
      </c>
      <c r="EE64" s="356">
        <f t="shared" si="347"/>
        <v>0.26435546825195588</v>
      </c>
      <c r="EF64" s="356">
        <f t="shared" si="347"/>
        <v>0.25059539728471447</v>
      </c>
      <c r="EG64" s="356">
        <f t="shared" si="347"/>
        <v>0.24967817617948765</v>
      </c>
      <c r="EH64" s="356">
        <f t="shared" si="347"/>
        <v>0.24762165765800967</v>
      </c>
      <c r="EI64" s="356">
        <f t="shared" si="347"/>
        <v>0.24679229273084941</v>
      </c>
      <c r="EJ64" s="356">
        <f t="shared" si="347"/>
        <v>0.24192441986959573</v>
      </c>
      <c r="EK64" s="356">
        <f t="shared" si="347"/>
        <v>0.23503313860897926</v>
      </c>
      <c r="EL64" s="356">
        <f t="shared" si="347"/>
        <v>0.23368145761332468</v>
      </c>
      <c r="EM64" s="356">
        <f t="shared" si="347"/>
        <v>0.23356514558027214</v>
      </c>
      <c r="EN64" s="356">
        <f t="shared" si="347"/>
        <v>0.23293240040589921</v>
      </c>
      <c r="EO64" s="356">
        <f t="shared" si="347"/>
        <v>0.2350067496163761</v>
      </c>
      <c r="EP64" s="356">
        <f t="shared" si="347"/>
        <v>0.23288139621886481</v>
      </c>
      <c r="EQ64" s="356">
        <f t="shared" si="347"/>
        <v>0.23622524303407599</v>
      </c>
      <c r="ER64" s="356">
        <f t="shared" si="347"/>
        <v>0.22175732581303875</v>
      </c>
      <c r="ES64" s="356">
        <f t="shared" si="347"/>
        <v>0.21335903543774293</v>
      </c>
      <c r="ET64" s="356">
        <f t="shared" si="347"/>
        <v>0.20751622470912748</v>
      </c>
      <c r="EU64" s="356">
        <f t="shared" si="347"/>
        <v>0.21137781873607556</v>
      </c>
      <c r="EV64" s="356">
        <f t="shared" si="347"/>
        <v>0.20925351204616316</v>
      </c>
      <c r="EW64" s="356">
        <f t="shared" si="347"/>
        <v>0.21062244787772658</v>
      </c>
      <c r="EX64" s="356">
        <f t="shared" si="347"/>
        <v>0.21398965772242762</v>
      </c>
      <c r="EY64" s="356">
        <f t="shared" si="347"/>
        <v>0.212551182950378</v>
      </c>
      <c r="EZ64" s="356">
        <f t="shared" si="347"/>
        <v>0.21349452659321183</v>
      </c>
      <c r="FA64" s="356">
        <f t="shared" si="347"/>
        <v>0.21300117775066502</v>
      </c>
      <c r="FB64" s="356">
        <f t="shared" si="347"/>
        <v>0.21152290011949534</v>
      </c>
      <c r="FC64" s="356">
        <f t="shared" si="347"/>
        <v>0.21278010247798682</v>
      </c>
      <c r="FD64" s="356">
        <f t="shared" si="347"/>
        <v>0.2097418884746651</v>
      </c>
      <c r="FE64" s="356">
        <f t="shared" si="347"/>
        <v>0.20721573484713351</v>
      </c>
      <c r="FF64" s="356">
        <f t="shared" si="347"/>
        <v>0.19954584085185836</v>
      </c>
      <c r="FG64" s="356">
        <f t="shared" si="347"/>
        <v>0.20374201132059189</v>
      </c>
      <c r="FH64" s="356">
        <f t="shared" si="347"/>
        <v>0.20162577246392405</v>
      </c>
      <c r="FI64" s="356">
        <f t="shared" si="347"/>
        <v>0.20112903913660082</v>
      </c>
      <c r="FJ64" s="356">
        <f t="shared" si="347"/>
        <v>0.20309020503091749</v>
      </c>
      <c r="FK64" s="356">
        <f t="shared" si="347"/>
        <v>0.19176301685874875</v>
      </c>
      <c r="FL64" s="356">
        <f t="shared" si="347"/>
        <v>0.18277065492949912</v>
      </c>
      <c r="FM64" s="356">
        <f t="shared" si="347"/>
        <v>0.18188664464960802</v>
      </c>
      <c r="FN64" s="356">
        <f t="shared" si="347"/>
        <v>0.18353909820533515</v>
      </c>
      <c r="FO64" s="356">
        <f t="shared" si="347"/>
        <v>0.18770824398733713</v>
      </c>
      <c r="FP64" s="356">
        <f t="shared" si="347"/>
        <v>0.188058008949615</v>
      </c>
      <c r="FQ64" s="356">
        <f t="shared" si="347"/>
        <v>0.18359409374647864</v>
      </c>
      <c r="FR64" s="356">
        <f t="shared" ref="FR64:FT64" si="348">SUM(FR61)/FR63</f>
        <v>0.18154142360133163</v>
      </c>
      <c r="FS64" s="356">
        <f t="shared" si="348"/>
        <v>0.17858394257193314</v>
      </c>
      <c r="FT64" s="356">
        <f t="shared" si="348"/>
        <v>0.18111793291113162</v>
      </c>
    </row>
    <row r="65" spans="2:176" ht="13.5" customHeight="1" thickBot="1" x14ac:dyDescent="0.3">
      <c r="B65" s="4" t="s">
        <v>11</v>
      </c>
      <c r="C65" s="27">
        <f t="shared" ref="C65:H65" si="349">SUM(C62/C63)</f>
        <v>8.5924296261272085E-2</v>
      </c>
      <c r="D65" s="27">
        <f t="shared" si="349"/>
        <v>0.1594294857363544</v>
      </c>
      <c r="E65" s="15">
        <f t="shared" si="349"/>
        <v>0.26345947871718056</v>
      </c>
      <c r="F65" s="15">
        <f t="shared" si="349"/>
        <v>0.25617952241168668</v>
      </c>
      <c r="G65" s="15">
        <f t="shared" si="349"/>
        <v>0.26863069282608165</v>
      </c>
      <c r="H65" s="15">
        <f t="shared" si="349"/>
        <v>0.27543577246470702</v>
      </c>
      <c r="I65" s="15">
        <f t="shared" ref="I65:Q65" si="350">SUM(I62/I63)</f>
        <v>0.28837103413545584</v>
      </c>
      <c r="J65" s="15">
        <f t="shared" si="350"/>
        <v>0.29259166227152561</v>
      </c>
      <c r="K65" s="37">
        <f t="shared" si="350"/>
        <v>0.30419583023437957</v>
      </c>
      <c r="L65" s="15">
        <f t="shared" si="350"/>
        <v>0.32607418677624855</v>
      </c>
      <c r="M65" s="15">
        <f t="shared" si="350"/>
        <v>0.33088094135520385</v>
      </c>
      <c r="N65" s="24">
        <f t="shared" si="350"/>
        <v>0.34322626898641301</v>
      </c>
      <c r="O65" s="37">
        <f t="shared" si="350"/>
        <v>0.34692607682615811</v>
      </c>
      <c r="P65" s="37">
        <f t="shared" si="350"/>
        <v>0.36211606917191647</v>
      </c>
      <c r="Q65" s="15">
        <f t="shared" si="350"/>
        <v>0.37300965654381862</v>
      </c>
      <c r="R65" s="15">
        <f>SUM(R62/R63)</f>
        <v>0.36300884512808551</v>
      </c>
      <c r="S65" s="15">
        <f>SUM(S62/S63)</f>
        <v>0.35959160304167109</v>
      </c>
      <c r="T65" s="15">
        <f>SUM(T62/T63)</f>
        <v>0.36218510960685057</v>
      </c>
      <c r="U65" s="15">
        <f t="shared" ref="U65:Z65" si="351">SUM(U62/U63)</f>
        <v>0.36407533990547847</v>
      </c>
      <c r="V65" s="15">
        <f t="shared" si="351"/>
        <v>0.37370291341506817</v>
      </c>
      <c r="W65" s="15">
        <f t="shared" si="351"/>
        <v>0.37630524367656559</v>
      </c>
      <c r="X65" s="15">
        <f t="shared" si="351"/>
        <v>0.38514315485294093</v>
      </c>
      <c r="Y65" s="15">
        <f t="shared" si="351"/>
        <v>0.40597689253241792</v>
      </c>
      <c r="Z65" s="24">
        <f t="shared" si="351"/>
        <v>0.40956585743635271</v>
      </c>
      <c r="AA65" s="15">
        <f t="shared" ref="AA65:AF65" si="352">SUM(AA62/AA63)</f>
        <v>0.41912696973642122</v>
      </c>
      <c r="AB65" s="15">
        <f t="shared" si="352"/>
        <v>0.41960736546255795</v>
      </c>
      <c r="AC65" s="15">
        <f t="shared" si="352"/>
        <v>0.42522524577425513</v>
      </c>
      <c r="AD65" s="15">
        <f t="shared" si="352"/>
        <v>0.44115930953924437</v>
      </c>
      <c r="AE65" s="15">
        <f t="shared" si="352"/>
        <v>0.44045183510509245</v>
      </c>
      <c r="AF65" s="15">
        <f t="shared" si="352"/>
        <v>0.46569466837023893</v>
      </c>
      <c r="AG65" s="15">
        <f t="shared" ref="AG65:AL65" si="353">SUM(AG62/AG63)</f>
        <v>0.47047189102775816</v>
      </c>
      <c r="AH65" s="15">
        <f t="shared" si="353"/>
        <v>0.48109182313892318</v>
      </c>
      <c r="AI65" s="15">
        <f t="shared" si="353"/>
        <v>0.49454253949950355</v>
      </c>
      <c r="AJ65" s="15">
        <f t="shared" si="353"/>
        <v>0.50273914978485168</v>
      </c>
      <c r="AK65" s="15">
        <f t="shared" si="353"/>
        <v>0.50889049365326622</v>
      </c>
      <c r="AL65" s="24">
        <f t="shared" si="353"/>
        <v>0.50852405964535319</v>
      </c>
      <c r="AM65" s="15">
        <f t="shared" ref="AM65:AR65" si="354">SUM(AM62/AM63)</f>
        <v>0.51221814108406405</v>
      </c>
      <c r="AN65" s="15">
        <f t="shared" si="354"/>
        <v>0.52604352885891958</v>
      </c>
      <c r="AO65" s="15">
        <f t="shared" si="354"/>
        <v>0.54933964198786189</v>
      </c>
      <c r="AP65" s="15">
        <f t="shared" si="354"/>
        <v>0.55710842501499214</v>
      </c>
      <c r="AQ65" s="15">
        <f t="shared" si="354"/>
        <v>0.56779424034723758</v>
      </c>
      <c r="AR65" s="15">
        <f t="shared" si="354"/>
        <v>0.57424702901966085</v>
      </c>
      <c r="AS65" s="15">
        <f t="shared" ref="AS65:AX65" si="355">SUM(AS62/AS63)</f>
        <v>0.57736958763042678</v>
      </c>
      <c r="AT65" s="15">
        <f t="shared" si="355"/>
        <v>0.59397241998310413</v>
      </c>
      <c r="AU65" s="15">
        <f t="shared" si="355"/>
        <v>0.60701879560116057</v>
      </c>
      <c r="AV65" s="15">
        <f t="shared" si="355"/>
        <v>0.60366355091261381</v>
      </c>
      <c r="AW65" s="15">
        <f t="shared" si="355"/>
        <v>0.60621047696178521</v>
      </c>
      <c r="AX65" s="24">
        <f t="shared" si="355"/>
        <v>0.59881909005695644</v>
      </c>
      <c r="AY65" s="15">
        <f t="shared" ref="AY65:BD65" si="356">SUM(AY62/AY63)</f>
        <v>0.59544007830031365</v>
      </c>
      <c r="AZ65" s="15">
        <f t="shared" si="356"/>
        <v>0.59395596744983048</v>
      </c>
      <c r="BA65" s="15">
        <f t="shared" si="356"/>
        <v>0.59398424658315385</v>
      </c>
      <c r="BB65" s="15">
        <f t="shared" si="356"/>
        <v>0.59271040820802745</v>
      </c>
      <c r="BC65" s="15">
        <f t="shared" si="356"/>
        <v>0.59010841728123442</v>
      </c>
      <c r="BD65" s="15">
        <f t="shared" si="356"/>
        <v>0.5930680416876174</v>
      </c>
      <c r="BE65" s="15">
        <f t="shared" ref="BE65:BP65" si="357">SUM(BE62/BE63)</f>
        <v>0.5962257136890462</v>
      </c>
      <c r="BF65" s="15">
        <f t="shared" si="357"/>
        <v>0.5886381528194411</v>
      </c>
      <c r="BG65" s="15">
        <f t="shared" si="357"/>
        <v>0.59555248429808461</v>
      </c>
      <c r="BH65" s="15">
        <f t="shared" si="357"/>
        <v>0.59888992068302838</v>
      </c>
      <c r="BI65" s="15">
        <f t="shared" si="357"/>
        <v>0.6053971284918781</v>
      </c>
      <c r="BJ65" s="24">
        <f t="shared" si="357"/>
        <v>0.61140681067553859</v>
      </c>
      <c r="BK65" s="15">
        <f t="shared" si="357"/>
        <v>0.60663312865495356</v>
      </c>
      <c r="BL65" s="15">
        <f t="shared" si="357"/>
        <v>0.60528246563216404</v>
      </c>
      <c r="BM65" s="15">
        <f t="shared" si="357"/>
        <v>0.61034191729838938</v>
      </c>
      <c r="BN65" s="15">
        <f t="shared" si="357"/>
        <v>0.6116134962647003</v>
      </c>
      <c r="BO65" s="15">
        <f t="shared" si="357"/>
        <v>0.61192851540577786</v>
      </c>
      <c r="BP65" s="15">
        <f t="shared" si="357"/>
        <v>0.60601508228156464</v>
      </c>
      <c r="BQ65" s="15">
        <f t="shared" ref="BQ65:CB65" si="358">SUM(BQ62/BQ63)</f>
        <v>0.60157684561711755</v>
      </c>
      <c r="BR65" s="15">
        <f t="shared" si="358"/>
        <v>0.59823931495808957</v>
      </c>
      <c r="BS65" s="15">
        <f t="shared" si="358"/>
        <v>0.59704646025866048</v>
      </c>
      <c r="BT65" s="15">
        <f t="shared" si="358"/>
        <v>0.59973530042325929</v>
      </c>
      <c r="BU65" s="15">
        <f t="shared" si="358"/>
        <v>0.60312983777520623</v>
      </c>
      <c r="BV65" s="24">
        <f t="shared" si="358"/>
        <v>0.60378862107693254</v>
      </c>
      <c r="BW65" s="15">
        <f t="shared" si="358"/>
        <v>0.60362398275175366</v>
      </c>
      <c r="BX65" s="15">
        <f t="shared" si="358"/>
        <v>0.60089974588868411</v>
      </c>
      <c r="BY65" s="15">
        <f t="shared" si="358"/>
        <v>0.60801793301015916</v>
      </c>
      <c r="BZ65" s="15">
        <f t="shared" si="358"/>
        <v>0.61035722478361798</v>
      </c>
      <c r="CA65" s="15">
        <f t="shared" si="358"/>
        <v>0.60938343877572632</v>
      </c>
      <c r="CB65" s="15">
        <f t="shared" si="358"/>
        <v>0.61052215434161594</v>
      </c>
      <c r="CC65" s="15">
        <f t="shared" ref="CC65:CH65" si="359">SUM(CC62/CC63)</f>
        <v>0.60936930804012268</v>
      </c>
      <c r="CD65" s="15">
        <f t="shared" si="359"/>
        <v>0.60912116873701139</v>
      </c>
      <c r="CE65" s="15">
        <f t="shared" si="359"/>
        <v>0.6113177572074826</v>
      </c>
      <c r="CF65" s="15">
        <f t="shared" si="359"/>
        <v>0.59990162005168135</v>
      </c>
      <c r="CG65" s="15">
        <f t="shared" si="359"/>
        <v>0.61572322905240418</v>
      </c>
      <c r="CH65" s="15">
        <f t="shared" si="359"/>
        <v>0.61632283355254736</v>
      </c>
      <c r="CI65" s="250">
        <f t="shared" ref="CI65:DJ65" si="360">SUM(CI62/CI63)</f>
        <v>0.61707531429555762</v>
      </c>
      <c r="CJ65" s="245">
        <f t="shared" si="360"/>
        <v>0.62135728613865637</v>
      </c>
      <c r="CK65" s="245">
        <f t="shared" si="360"/>
        <v>0.63282697350887385</v>
      </c>
      <c r="CL65" s="245">
        <f t="shared" si="360"/>
        <v>0.6370930685331313</v>
      </c>
      <c r="CM65" s="245">
        <f t="shared" si="360"/>
        <v>0.64553941043599672</v>
      </c>
      <c r="CN65" s="245">
        <f t="shared" si="360"/>
        <v>0.65531998937806391</v>
      </c>
      <c r="CO65" s="245">
        <f t="shared" si="360"/>
        <v>0.67065949082765386</v>
      </c>
      <c r="CP65" s="245">
        <f t="shared" si="360"/>
        <v>0.68433389627052854</v>
      </c>
      <c r="CQ65" s="245">
        <f t="shared" si="360"/>
        <v>0.69786579234361545</v>
      </c>
      <c r="CR65" s="245">
        <f t="shared" si="360"/>
        <v>0.70845409740160736</v>
      </c>
      <c r="CS65" s="245">
        <f t="shared" si="360"/>
        <v>0.71150259615442413</v>
      </c>
      <c r="CT65" s="246">
        <f t="shared" si="360"/>
        <v>0.71402548339422789</v>
      </c>
      <c r="CU65" s="245">
        <f t="shared" si="360"/>
        <v>0.70802341187234885</v>
      </c>
      <c r="CV65" s="245">
        <f t="shared" si="360"/>
        <v>0.71769287226023137</v>
      </c>
      <c r="CW65" s="245">
        <f t="shared" si="360"/>
        <v>0.72506375422134461</v>
      </c>
      <c r="CX65" s="245">
        <f t="shared" si="360"/>
        <v>0.72554326986424078</v>
      </c>
      <c r="CY65" s="245">
        <f t="shared" si="360"/>
        <v>0.72881930434168463</v>
      </c>
      <c r="CZ65" s="245">
        <f t="shared" si="360"/>
        <v>0.72898117210175251</v>
      </c>
      <c r="DA65" s="245">
        <f t="shared" si="360"/>
        <v>0.72962451283344054</v>
      </c>
      <c r="DB65" s="245">
        <f t="shared" si="360"/>
        <v>0.73237644539818758</v>
      </c>
      <c r="DC65" s="245">
        <f t="shared" si="360"/>
        <v>0.73411591035051471</v>
      </c>
      <c r="DD65" s="245">
        <f t="shared" si="360"/>
        <v>0.7380797037160336</v>
      </c>
      <c r="DE65" s="245">
        <f t="shared" si="360"/>
        <v>0.74319603959050984</v>
      </c>
      <c r="DF65" s="246">
        <f t="shared" si="360"/>
        <v>0.74476616566201259</v>
      </c>
      <c r="DG65" s="245">
        <f t="shared" si="360"/>
        <v>0.73972967750761709</v>
      </c>
      <c r="DH65" s="245">
        <f t="shared" si="360"/>
        <v>0.74733334580642874</v>
      </c>
      <c r="DI65" s="245">
        <f t="shared" si="360"/>
        <v>0.75337581366909712</v>
      </c>
      <c r="DJ65" s="245">
        <f t="shared" si="360"/>
        <v>0.7556467729211449</v>
      </c>
      <c r="DK65" s="245">
        <f t="shared" ref="DK65:DU65" si="361">SUM(DK62/DK63)</f>
        <v>0.76077510432532169</v>
      </c>
      <c r="DL65" s="245">
        <f t="shared" si="361"/>
        <v>0.76592622319779835</v>
      </c>
      <c r="DM65" s="245">
        <f t="shared" si="361"/>
        <v>0.75817250531528546</v>
      </c>
      <c r="DN65" s="245">
        <f t="shared" si="361"/>
        <v>0.75545457044217901</v>
      </c>
      <c r="DO65" s="245">
        <f t="shared" si="361"/>
        <v>0.75608201478869241</v>
      </c>
      <c r="DP65" s="245">
        <f t="shared" si="361"/>
        <v>0.75577599101968573</v>
      </c>
      <c r="DQ65" s="245">
        <f t="shared" si="361"/>
        <v>0.75725673120951231</v>
      </c>
      <c r="DR65" s="245">
        <f t="shared" si="361"/>
        <v>0.75688944127168123</v>
      </c>
      <c r="DS65" s="245">
        <f t="shared" si="361"/>
        <v>0.75274348751801934</v>
      </c>
      <c r="DT65" s="245">
        <f t="shared" si="361"/>
        <v>0.75165664683290001</v>
      </c>
      <c r="DU65" s="245">
        <f t="shared" si="361"/>
        <v>0.75240769928427564</v>
      </c>
      <c r="DV65" s="357">
        <f t="shared" ref="DV65:FQ65" si="362">SUM(DV62/DV63)</f>
        <v>0.75280491248537462</v>
      </c>
      <c r="DW65" s="357">
        <f t="shared" si="362"/>
        <v>0.75188015458526836</v>
      </c>
      <c r="DX65" s="357">
        <f t="shared" si="362"/>
        <v>0.75339624400437566</v>
      </c>
      <c r="DY65" s="357">
        <f t="shared" si="362"/>
        <v>0.75387481009688173</v>
      </c>
      <c r="DZ65" s="357">
        <f t="shared" si="362"/>
        <v>0.75157290090390727</v>
      </c>
      <c r="EA65" s="357">
        <f t="shared" si="362"/>
        <v>0.74282275207780202</v>
      </c>
      <c r="EB65" s="357">
        <f t="shared" si="362"/>
        <v>0.73749353417527386</v>
      </c>
      <c r="EC65" s="357">
        <f t="shared" si="362"/>
        <v>0.73406738004395433</v>
      </c>
      <c r="ED65" s="357">
        <f t="shared" si="362"/>
        <v>0.7336808925512861</v>
      </c>
      <c r="EE65" s="357">
        <f t="shared" si="362"/>
        <v>0.73564453174804423</v>
      </c>
      <c r="EF65" s="357">
        <f t="shared" si="362"/>
        <v>0.74940460271528553</v>
      </c>
      <c r="EG65" s="357">
        <f t="shared" si="362"/>
        <v>0.75032182382051238</v>
      </c>
      <c r="EH65" s="357">
        <f t="shared" si="362"/>
        <v>0.75237834234199041</v>
      </c>
      <c r="EI65" s="357">
        <f t="shared" si="362"/>
        <v>0.75320770726915065</v>
      </c>
      <c r="EJ65" s="357">
        <f t="shared" si="362"/>
        <v>0.75807558013040433</v>
      </c>
      <c r="EK65" s="357">
        <f t="shared" si="362"/>
        <v>0.76496686139102077</v>
      </c>
      <c r="EL65" s="357">
        <f t="shared" si="362"/>
        <v>0.76631854238667541</v>
      </c>
      <c r="EM65" s="357">
        <f t="shared" si="362"/>
        <v>0.76643485441972781</v>
      </c>
      <c r="EN65" s="357">
        <f t="shared" si="362"/>
        <v>0.76706759959410076</v>
      </c>
      <c r="EO65" s="357">
        <f t="shared" si="362"/>
        <v>0.76499325038362376</v>
      </c>
      <c r="EP65" s="357">
        <f t="shared" si="362"/>
        <v>0.76711860378113517</v>
      </c>
      <c r="EQ65" s="357">
        <f t="shared" si="362"/>
        <v>0.76377475696592401</v>
      </c>
      <c r="ER65" s="357">
        <f t="shared" si="362"/>
        <v>0.77824267418696125</v>
      </c>
      <c r="ES65" s="357">
        <f t="shared" si="362"/>
        <v>0.78664096456225707</v>
      </c>
      <c r="ET65" s="357">
        <f t="shared" si="362"/>
        <v>0.79248377529087244</v>
      </c>
      <c r="EU65" s="357">
        <f t="shared" si="362"/>
        <v>0.78862218126392447</v>
      </c>
      <c r="EV65" s="357">
        <f t="shared" si="362"/>
        <v>0.79074648795383673</v>
      </c>
      <c r="EW65" s="357">
        <f t="shared" si="362"/>
        <v>0.78937755212227345</v>
      </c>
      <c r="EX65" s="357">
        <f t="shared" si="362"/>
        <v>0.78601034227757238</v>
      </c>
      <c r="EY65" s="357">
        <f t="shared" si="362"/>
        <v>0.787448817049622</v>
      </c>
      <c r="EZ65" s="357">
        <f t="shared" si="362"/>
        <v>0.78650547340678811</v>
      </c>
      <c r="FA65" s="357">
        <f t="shared" si="362"/>
        <v>0.78699882224933504</v>
      </c>
      <c r="FB65" s="357">
        <f t="shared" si="362"/>
        <v>0.78847709988050463</v>
      </c>
      <c r="FC65" s="357">
        <f t="shared" si="362"/>
        <v>0.78721989752201316</v>
      </c>
      <c r="FD65" s="357">
        <f t="shared" si="362"/>
        <v>0.79025811152533487</v>
      </c>
      <c r="FE65" s="357">
        <f t="shared" si="362"/>
        <v>0.79278426515286649</v>
      </c>
      <c r="FF65" s="357">
        <f t="shared" si="362"/>
        <v>0.80045415914814166</v>
      </c>
      <c r="FG65" s="357">
        <f t="shared" si="362"/>
        <v>0.79625798867940811</v>
      </c>
      <c r="FH65" s="357">
        <f t="shared" si="362"/>
        <v>0.7983742275360759</v>
      </c>
      <c r="FI65" s="357">
        <f t="shared" si="362"/>
        <v>0.79887096086339915</v>
      </c>
      <c r="FJ65" s="357">
        <f t="shared" si="362"/>
        <v>0.79690979496908254</v>
      </c>
      <c r="FK65" s="357">
        <f t="shared" si="362"/>
        <v>0.80823698314125125</v>
      </c>
      <c r="FL65" s="357">
        <f t="shared" si="362"/>
        <v>0.81722934507050093</v>
      </c>
      <c r="FM65" s="357">
        <f t="shared" si="362"/>
        <v>0.81811335535039198</v>
      </c>
      <c r="FN65" s="357">
        <f t="shared" si="362"/>
        <v>0.81646090179466491</v>
      </c>
      <c r="FO65" s="357">
        <f t="shared" si="362"/>
        <v>0.8122917560126629</v>
      </c>
      <c r="FP65" s="357">
        <f t="shared" si="362"/>
        <v>0.811941991050385</v>
      </c>
      <c r="FQ65" s="357">
        <f t="shared" si="362"/>
        <v>0.81640590625352139</v>
      </c>
      <c r="FR65" s="357">
        <f t="shared" ref="FR65:FT65" si="363">SUM(FR62/FR63)</f>
        <v>0.81845857639866837</v>
      </c>
      <c r="FS65" s="357">
        <f t="shared" si="363"/>
        <v>0.82141605742806689</v>
      </c>
      <c r="FT65" s="357">
        <f t="shared" si="363"/>
        <v>0.81888206708886835</v>
      </c>
    </row>
    <row r="66" spans="2:176" ht="13.5" customHeight="1" x14ac:dyDescent="0.25">
      <c r="B66" s="179"/>
      <c r="C66" s="28"/>
      <c r="D66" s="28"/>
      <c r="K66" s="38"/>
      <c r="N66" s="66"/>
      <c r="O66" s="38"/>
      <c r="P66" s="38"/>
      <c r="Z66" s="20"/>
      <c r="AL66" s="20"/>
      <c r="AX66" s="20"/>
      <c r="BJ66" s="20"/>
      <c r="BV66" s="20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74"/>
      <c r="DS66" s="302"/>
      <c r="DT66" s="302"/>
      <c r="DU66" s="302"/>
      <c r="DV66" s="302"/>
      <c r="DW66" s="302"/>
      <c r="DX66" s="302"/>
    </row>
    <row r="67" spans="2:176" ht="13.5" customHeight="1" x14ac:dyDescent="0.25">
      <c r="B67" s="3" t="s">
        <v>22</v>
      </c>
      <c r="C67" s="32">
        <f t="shared" ref="C67:AZ67" si="364">SUM(1000*(C63))/C18</f>
        <v>7904.7758329649132</v>
      </c>
      <c r="D67" s="32">
        <f t="shared" si="364"/>
        <v>8336.9692008595102</v>
      </c>
      <c r="E67" s="32">
        <f t="shared" si="364"/>
        <v>9370.0397798432805</v>
      </c>
      <c r="F67" s="32">
        <f t="shared" si="364"/>
        <v>9684.2398476000362</v>
      </c>
      <c r="G67" s="32">
        <f t="shared" si="364"/>
        <v>10680.001624415927</v>
      </c>
      <c r="H67" s="32">
        <f t="shared" si="364"/>
        <v>11114.794674667166</v>
      </c>
      <c r="I67" s="32">
        <f t="shared" si="364"/>
        <v>11587.706419452717</v>
      </c>
      <c r="J67" s="32">
        <f t="shared" si="364"/>
        <v>11972.744408131099</v>
      </c>
      <c r="K67" s="32">
        <f t="shared" si="364"/>
        <v>12010.905320241036</v>
      </c>
      <c r="L67" s="32">
        <f t="shared" si="364"/>
        <v>11422.735937557256</v>
      </c>
      <c r="M67" s="32">
        <f t="shared" si="364"/>
        <v>9792.5708934453887</v>
      </c>
      <c r="N67" s="54">
        <f t="shared" si="364"/>
        <v>9263.7419321072757</v>
      </c>
      <c r="O67" s="32">
        <f t="shared" si="364"/>
        <v>10145.443041587776</v>
      </c>
      <c r="P67" s="32">
        <f t="shared" si="364"/>
        <v>9975.9879350566716</v>
      </c>
      <c r="Q67" s="32">
        <f t="shared" si="364"/>
        <v>9690.5409884277306</v>
      </c>
      <c r="R67" s="32">
        <f t="shared" si="364"/>
        <v>9079.6726086073522</v>
      </c>
      <c r="S67" s="32">
        <f t="shared" si="364"/>
        <v>10263.825150219736</v>
      </c>
      <c r="T67" s="32">
        <f t="shared" si="364"/>
        <v>11397.156251853134</v>
      </c>
      <c r="U67" s="32">
        <f t="shared" si="364"/>
        <v>11712.198802297264</v>
      </c>
      <c r="V67" s="32">
        <f t="shared" si="364"/>
        <v>11790.967480931296</v>
      </c>
      <c r="W67" s="32">
        <f t="shared" si="364"/>
        <v>12118.666918721445</v>
      </c>
      <c r="X67" s="32">
        <f t="shared" si="364"/>
        <v>10915.331712226154</v>
      </c>
      <c r="Y67" s="32">
        <f t="shared" si="364"/>
        <v>10350.55143430227</v>
      </c>
      <c r="Z67" s="54">
        <f t="shared" si="364"/>
        <v>9635.3602310702408</v>
      </c>
      <c r="AA67" s="32">
        <f t="shared" si="364"/>
        <v>9594.7624498621353</v>
      </c>
      <c r="AB67" s="32">
        <f t="shared" si="364"/>
        <v>9372.6987392591782</v>
      </c>
      <c r="AC67" s="32">
        <f t="shared" si="364"/>
        <v>9196.3802497885081</v>
      </c>
      <c r="AD67" s="32">
        <f t="shared" si="364"/>
        <v>9620.2399699188172</v>
      </c>
      <c r="AE67" s="32">
        <f t="shared" si="364"/>
        <v>9653.0712447514561</v>
      </c>
      <c r="AF67" s="32">
        <f t="shared" si="364"/>
        <v>10723.999469786839</v>
      </c>
      <c r="AG67" s="32">
        <f t="shared" si="364"/>
        <v>11543.764777503726</v>
      </c>
      <c r="AH67" s="32">
        <f t="shared" si="364"/>
        <v>11740.648516884834</v>
      </c>
      <c r="AI67" s="32">
        <f t="shared" si="364"/>
        <v>11884.25548229483</v>
      </c>
      <c r="AJ67" s="32">
        <f t="shared" si="364"/>
        <v>11572.611170597984</v>
      </c>
      <c r="AK67" s="32">
        <f t="shared" si="364"/>
        <v>10590.791780360003</v>
      </c>
      <c r="AL67" s="54">
        <f t="shared" si="364"/>
        <v>9677.6402446070042</v>
      </c>
      <c r="AM67" s="32">
        <f t="shared" si="364"/>
        <v>10016.50114029939</v>
      </c>
      <c r="AN67" s="32">
        <f t="shared" si="364"/>
        <v>9419.3484973333216</v>
      </c>
      <c r="AO67" s="32">
        <f t="shared" si="364"/>
        <v>9188.613296580932</v>
      </c>
      <c r="AP67" s="32">
        <f t="shared" si="364"/>
        <v>9485.2380068172461</v>
      </c>
      <c r="AQ67" s="32">
        <f t="shared" si="364"/>
        <v>9570.210311181434</v>
      </c>
      <c r="AR67" s="32">
        <f t="shared" si="364"/>
        <v>10795.953623264597</v>
      </c>
      <c r="AS67" s="32">
        <f t="shared" si="364"/>
        <v>12175.200364735807</v>
      </c>
      <c r="AT67" s="32">
        <f t="shared" si="364"/>
        <v>11750.852946927071</v>
      </c>
      <c r="AU67" s="32">
        <f t="shared" si="364"/>
        <v>12138.05912981548</v>
      </c>
      <c r="AV67" s="32">
        <f t="shared" si="364"/>
        <v>11906.065222586745</v>
      </c>
      <c r="AW67" s="32">
        <f t="shared" si="364"/>
        <v>10113.347180854973</v>
      </c>
      <c r="AX67" s="54">
        <f t="shared" si="364"/>
        <v>9746.352905659096</v>
      </c>
      <c r="AY67" s="32">
        <f t="shared" si="364"/>
        <v>9507.5495500881916</v>
      </c>
      <c r="AZ67" s="32">
        <f t="shared" si="364"/>
        <v>9149.4695943444312</v>
      </c>
      <c r="BA67" s="32">
        <f t="shared" ref="BA67:BG67" si="365">SUM(1000*(BA63))/BA18</f>
        <v>9153.308679115542</v>
      </c>
      <c r="BB67" s="32">
        <f t="shared" si="365"/>
        <v>9602.2794051413148</v>
      </c>
      <c r="BC67" s="32">
        <f t="shared" si="365"/>
        <v>10331.595342875455</v>
      </c>
      <c r="BD67" s="32">
        <f t="shared" si="365"/>
        <v>11146.704713267369</v>
      </c>
      <c r="BE67" s="32">
        <f t="shared" si="365"/>
        <v>11478.192962802657</v>
      </c>
      <c r="BF67" s="32">
        <f t="shared" si="365"/>
        <v>11699.679994219579</v>
      </c>
      <c r="BG67" s="32">
        <f t="shared" si="365"/>
        <v>12212.096870945095</v>
      </c>
      <c r="BH67" s="32">
        <f>SUM(1000*(BH63))/BH18</f>
        <v>11241.182766505322</v>
      </c>
      <c r="BI67" s="32">
        <f>SUM(1000*(BI63))/BI18</f>
        <v>9985.621181176788</v>
      </c>
      <c r="BJ67" s="54">
        <f>SUM(1000*(BJ63))/BJ18</f>
        <v>9687.1036094102474</v>
      </c>
      <c r="BK67" s="32">
        <f t="shared" ref="BK67:BS67" si="366">SUM(1000*(BK63))/BK18</f>
        <v>9593.5528768009262</v>
      </c>
      <c r="BL67" s="32">
        <f t="shared" si="366"/>
        <v>9686.9956788526688</v>
      </c>
      <c r="BM67" s="32">
        <f t="shared" si="366"/>
        <v>9184.632851528957</v>
      </c>
      <c r="BN67" s="32">
        <f t="shared" si="366"/>
        <v>9419.758973103897</v>
      </c>
      <c r="BO67" s="32">
        <f t="shared" si="366"/>
        <v>9807.9551575545374</v>
      </c>
      <c r="BP67" s="32">
        <f t="shared" si="366"/>
        <v>10739.581408630507</v>
      </c>
      <c r="BQ67" s="32">
        <f t="shared" si="366"/>
        <v>11574.032640278676</v>
      </c>
      <c r="BR67" s="32">
        <f t="shared" si="366"/>
        <v>11478.249091643116</v>
      </c>
      <c r="BS67" s="32">
        <f t="shared" si="366"/>
        <v>12080.240416235532</v>
      </c>
      <c r="BT67" s="32">
        <f>SUM(1000*(BT63))/BT18</f>
        <v>11618.384954552472</v>
      </c>
      <c r="BU67" s="32">
        <f>SUM(1000*(BU63))/BU18</f>
        <v>10881.742726865717</v>
      </c>
      <c r="BV67" s="54">
        <f>SUM(1000*(BV63))/BV18</f>
        <v>9869.5754237005422</v>
      </c>
      <c r="BW67" s="32">
        <f t="shared" ref="BW67:CB67" si="367">SUM(1000*(BW63))/BW18</f>
        <v>9708.2545296806693</v>
      </c>
      <c r="BX67" s="32">
        <f t="shared" si="367"/>
        <v>9425.2174747318841</v>
      </c>
      <c r="BY67" s="32">
        <f t="shared" si="367"/>
        <v>9068.2707073395959</v>
      </c>
      <c r="BZ67" s="32">
        <f t="shared" si="367"/>
        <v>9597.3966647898524</v>
      </c>
      <c r="CA67" s="32">
        <f t="shared" si="367"/>
        <v>9836.8604098959768</v>
      </c>
      <c r="CB67" s="32">
        <f t="shared" si="367"/>
        <v>11158.771941374458</v>
      </c>
      <c r="CC67" s="32">
        <f t="shared" ref="CC67:CH67" si="368">SUM(1000*(CC63))/CC18</f>
        <v>11768.365973223481</v>
      </c>
      <c r="CD67" s="32">
        <f t="shared" si="368"/>
        <v>11941.892941982547</v>
      </c>
      <c r="CE67" s="32">
        <f t="shared" si="368"/>
        <v>11819.894577939534</v>
      </c>
      <c r="CF67" s="32">
        <f t="shared" si="368"/>
        <v>6811.8827770671014</v>
      </c>
      <c r="CG67" s="32">
        <f t="shared" si="368"/>
        <v>11668.973734919755</v>
      </c>
      <c r="CH67" s="32">
        <f t="shared" si="368"/>
        <v>10056.488487328874</v>
      </c>
      <c r="CI67" s="201">
        <f>SUM(1000*(CI63))/CI18</f>
        <v>10507.198188070635</v>
      </c>
      <c r="CJ67" s="69">
        <f>SUM(1000*(CJ63))/CJ18</f>
        <v>8945.5511046871779</v>
      </c>
      <c r="CK67" s="69">
        <f>SUM(1000*(CK63))/CK18</f>
        <v>8883.3871602015097</v>
      </c>
      <c r="CL67" s="69">
        <f t="shared" ref="CL67:DC67" si="369">SUM(1000*(CL63))/CL18</f>
        <v>9053.2241567593192</v>
      </c>
      <c r="CM67" s="69">
        <f t="shared" si="369"/>
        <v>9691.2801757168199</v>
      </c>
      <c r="CN67" s="69">
        <f t="shared" si="369"/>
        <v>10737.134164854551</v>
      </c>
      <c r="CO67" s="69">
        <f t="shared" si="369"/>
        <v>11726.215468815137</v>
      </c>
      <c r="CP67" s="69">
        <f t="shared" si="369"/>
        <v>12147.344601828216</v>
      </c>
      <c r="CQ67" s="69">
        <f t="shared" si="369"/>
        <v>11879.940529253014</v>
      </c>
      <c r="CR67" s="69">
        <f t="shared" si="369"/>
        <v>10890.337549304038</v>
      </c>
      <c r="CS67" s="69">
        <f t="shared" si="369"/>
        <v>9767.475525217802</v>
      </c>
      <c r="CT67" s="89">
        <f t="shared" si="369"/>
        <v>9201.806812860139</v>
      </c>
      <c r="CU67" s="69">
        <f t="shared" si="369"/>
        <v>9741.132896183768</v>
      </c>
      <c r="CV67" s="69">
        <f t="shared" si="369"/>
        <v>8993.4537665235912</v>
      </c>
      <c r="CW67" s="69">
        <f t="shared" si="369"/>
        <v>9232.1343988195658</v>
      </c>
      <c r="CX67" s="69">
        <f t="shared" si="369"/>
        <v>9194.7851509437787</v>
      </c>
      <c r="CY67" s="69">
        <f t="shared" si="369"/>
        <v>9272.0992857836936</v>
      </c>
      <c r="CZ67" s="69">
        <f t="shared" si="369"/>
        <v>10930.712373743499</v>
      </c>
      <c r="DA67" s="69">
        <f t="shared" si="369"/>
        <v>11658.412244864874</v>
      </c>
      <c r="DB67" s="69">
        <f t="shared" si="369"/>
        <v>11541.167379191571</v>
      </c>
      <c r="DC67" s="69">
        <f t="shared" si="369"/>
        <v>12146.636012872163</v>
      </c>
      <c r="DD67" s="69">
        <f t="shared" ref="DD67:DJ67" si="370">SUM(1000*(DD63))/DD18</f>
        <v>11219.885006759545</v>
      </c>
      <c r="DE67" s="69">
        <f t="shared" si="370"/>
        <v>9791.2505505250701</v>
      </c>
      <c r="DF67" s="89">
        <f t="shared" si="370"/>
        <v>9384.1909117328905</v>
      </c>
      <c r="DG67" s="69">
        <f t="shared" si="370"/>
        <v>9488.857482664087</v>
      </c>
      <c r="DH67" s="69">
        <f t="shared" si="370"/>
        <v>9102.9403784189744</v>
      </c>
      <c r="DI67" s="69">
        <f t="shared" si="370"/>
        <v>9123.8362020247696</v>
      </c>
      <c r="DJ67" s="69">
        <f t="shared" si="370"/>
        <v>9445.4635491731897</v>
      </c>
      <c r="DK67" s="69">
        <f t="shared" ref="DK67:FQ67" si="371">SUM(1000*(DK63))/DK18</f>
        <v>10189.660566682403</v>
      </c>
      <c r="DL67" s="69">
        <f t="shared" si="371"/>
        <v>10995.616199287577</v>
      </c>
      <c r="DM67" s="69">
        <f t="shared" si="371"/>
        <v>12122.758850024493</v>
      </c>
      <c r="DN67" s="69">
        <f t="shared" si="371"/>
        <v>11816.014429348688</v>
      </c>
      <c r="DO67" s="69">
        <f t="shared" si="371"/>
        <v>12560.319240587742</v>
      </c>
      <c r="DP67" s="69">
        <f t="shared" si="371"/>
        <v>11477.1321589045</v>
      </c>
      <c r="DQ67" s="69">
        <f t="shared" si="371"/>
        <v>9862.6455467225205</v>
      </c>
      <c r="DR67" s="69">
        <f t="shared" si="371"/>
        <v>9523.8624600924068</v>
      </c>
      <c r="DS67" s="69">
        <f t="shared" si="371"/>
        <v>9556.0491459679615</v>
      </c>
      <c r="DT67" s="69">
        <f t="shared" si="371"/>
        <v>8959.6588635652352</v>
      </c>
      <c r="DU67" s="69">
        <f t="shared" si="371"/>
        <v>8924.9723196234499</v>
      </c>
      <c r="DV67" s="359">
        <f t="shared" si="371"/>
        <v>9645.6458557376791</v>
      </c>
      <c r="DW67" s="359">
        <f t="shared" si="371"/>
        <v>9934.5953152304101</v>
      </c>
      <c r="DX67" s="359">
        <f t="shared" si="371"/>
        <v>11039.564587150944</v>
      </c>
      <c r="DY67" s="359">
        <f t="shared" si="371"/>
        <v>11192.535001409966</v>
      </c>
      <c r="DZ67" s="359">
        <f t="shared" si="371"/>
        <v>11226.754687596371</v>
      </c>
      <c r="EA67" s="359">
        <f t="shared" si="371"/>
        <v>11884.644799780288</v>
      </c>
      <c r="EB67" s="359">
        <f t="shared" si="371"/>
        <v>10766.174467887999</v>
      </c>
      <c r="EC67" s="359">
        <f t="shared" si="371"/>
        <v>10086.809275870633</v>
      </c>
      <c r="ED67" s="359">
        <f t="shared" si="371"/>
        <v>9491.4592851279995</v>
      </c>
      <c r="EE67" s="359">
        <f t="shared" si="371"/>
        <v>9371.2740996233752</v>
      </c>
      <c r="EF67" s="359">
        <f t="shared" si="371"/>
        <v>9199.1402060100445</v>
      </c>
      <c r="EG67" s="359">
        <f t="shared" si="371"/>
        <v>8553.1987529649923</v>
      </c>
      <c r="EH67" s="359">
        <f t="shared" si="371"/>
        <v>8953.9185609773922</v>
      </c>
      <c r="EI67" s="359">
        <f t="shared" si="371"/>
        <v>9399.8628084988995</v>
      </c>
      <c r="EJ67" s="359">
        <f t="shared" si="371"/>
        <v>10421.697145431213</v>
      </c>
      <c r="EK67" s="359">
        <f t="shared" si="371"/>
        <v>11456.911419423692</v>
      </c>
      <c r="EL67" s="359">
        <f t="shared" si="371"/>
        <v>11611.673404011899</v>
      </c>
      <c r="EM67" s="359">
        <f t="shared" si="371"/>
        <v>11802.741104172861</v>
      </c>
      <c r="EN67" s="359">
        <f t="shared" si="371"/>
        <v>11243.589066666667</v>
      </c>
      <c r="EO67" s="359">
        <f t="shared" si="371"/>
        <v>9403.3373621060964</v>
      </c>
      <c r="EP67" s="359">
        <f t="shared" si="371"/>
        <v>9241.6950936481317</v>
      </c>
      <c r="EQ67" s="359">
        <f t="shared" si="371"/>
        <v>9845.9023729790606</v>
      </c>
      <c r="ER67" s="359">
        <f t="shared" si="371"/>
        <v>9389.6949080471986</v>
      </c>
      <c r="ES67" s="359">
        <f t="shared" si="371"/>
        <v>9013.219046970522</v>
      </c>
      <c r="ET67" s="359">
        <f t="shared" si="371"/>
        <v>8707.1553047012567</v>
      </c>
      <c r="EU67" s="359">
        <f t="shared" si="371"/>
        <v>9573.7574002331967</v>
      </c>
      <c r="EV67" s="359">
        <f t="shared" si="371"/>
        <v>10257.178497903737</v>
      </c>
      <c r="EW67" s="359">
        <f t="shared" si="371"/>
        <v>11130.640359505342</v>
      </c>
      <c r="EX67" s="359">
        <f t="shared" si="371"/>
        <v>11535.605243794391</v>
      </c>
      <c r="EY67" s="359">
        <f t="shared" si="371"/>
        <v>11770.650211866789</v>
      </c>
      <c r="EZ67" s="359">
        <f t="shared" si="371"/>
        <v>10917.798964297901</v>
      </c>
      <c r="FA67" s="359">
        <f t="shared" si="371"/>
        <v>10010.021799911157</v>
      </c>
      <c r="FB67" s="359">
        <f t="shared" si="371"/>
        <v>9019.6654255637295</v>
      </c>
      <c r="FC67" s="359">
        <f t="shared" si="371"/>
        <v>9494.0629719343888</v>
      </c>
      <c r="FD67" s="359">
        <f t="shared" si="371"/>
        <v>9286.1200162718742</v>
      </c>
      <c r="FE67" s="359">
        <f t="shared" si="371"/>
        <v>8954.6257345657395</v>
      </c>
      <c r="FF67" s="359">
        <f t="shared" si="371"/>
        <v>9437.9035742304422</v>
      </c>
      <c r="FG67" s="359">
        <f t="shared" si="371"/>
        <v>9546.0590552930571</v>
      </c>
      <c r="FH67" s="359">
        <f t="shared" si="371"/>
        <v>10340.431222122445</v>
      </c>
      <c r="FI67" s="359">
        <f t="shared" si="371"/>
        <v>11103.761916005076</v>
      </c>
      <c r="FJ67" s="359">
        <f t="shared" si="371"/>
        <v>11908.566193481518</v>
      </c>
      <c r="FK67" s="359">
        <f t="shared" si="371"/>
        <v>11503.439843978837</v>
      </c>
      <c r="FL67" s="359">
        <f t="shared" si="371"/>
        <v>11015.676867710121</v>
      </c>
      <c r="FM67" s="359">
        <f t="shared" si="371"/>
        <v>9832.6000466841306</v>
      </c>
      <c r="FN67" s="359">
        <f t="shared" si="371"/>
        <v>9158.689756751055</v>
      </c>
      <c r="FO67" s="359">
        <f t="shared" si="371"/>
        <v>9373.0497223250641</v>
      </c>
      <c r="FP67" s="359">
        <f t="shared" si="371"/>
        <v>8586.8380093446176</v>
      </c>
      <c r="FQ67" s="359">
        <f t="shared" si="371"/>
        <v>8539.0835911486083</v>
      </c>
      <c r="FR67" s="359">
        <f t="shared" ref="FR67:FT67" si="372">SUM(1000*(FR63))/FR18</f>
        <v>9071.7804492481901</v>
      </c>
      <c r="FS67" s="359">
        <f t="shared" si="372"/>
        <v>9186.680618028151</v>
      </c>
      <c r="FT67" s="359">
        <f t="shared" si="372"/>
        <v>10311.112807171399</v>
      </c>
    </row>
    <row r="68" spans="2:176" s="345" customFormat="1" ht="15" customHeight="1" thickBot="1" x14ac:dyDescent="0.3">
      <c r="B68" s="417"/>
      <c r="H68" s="418"/>
      <c r="K68" s="419"/>
      <c r="N68" s="420"/>
      <c r="O68" s="419"/>
      <c r="P68" s="419"/>
      <c r="Z68" s="344"/>
      <c r="AL68" s="344"/>
      <c r="AX68" s="344"/>
      <c r="BJ68" s="344"/>
      <c r="BV68" s="344"/>
      <c r="CI68" s="421"/>
      <c r="CJ68" s="422"/>
      <c r="CK68" s="422"/>
      <c r="CL68" s="422"/>
      <c r="CM68" s="422"/>
      <c r="CN68" s="422"/>
      <c r="CO68" s="422"/>
      <c r="CP68" s="422"/>
      <c r="CQ68" s="422"/>
      <c r="CR68" s="422"/>
      <c r="CS68" s="422"/>
      <c r="CT68" s="423"/>
      <c r="CU68" s="422"/>
      <c r="CV68" s="422"/>
      <c r="CW68" s="422"/>
      <c r="CX68" s="422"/>
      <c r="CY68" s="422"/>
      <c r="CZ68" s="422"/>
      <c r="DA68" s="422"/>
      <c r="DB68" s="422"/>
      <c r="DC68" s="422"/>
      <c r="DD68" s="422"/>
      <c r="DE68" s="422"/>
      <c r="DF68" s="423"/>
      <c r="DG68" s="424"/>
      <c r="DH68" s="425"/>
      <c r="DI68" s="425"/>
      <c r="DJ68" s="425"/>
      <c r="DK68" s="425"/>
      <c r="DL68" s="425"/>
      <c r="DM68" s="425"/>
      <c r="DN68" s="426"/>
      <c r="DO68" s="427"/>
      <c r="DP68" s="425"/>
      <c r="DQ68" s="425"/>
      <c r="DR68" s="425"/>
      <c r="DS68" s="364"/>
      <c r="DT68" s="364"/>
      <c r="DU68" s="364"/>
      <c r="DV68" s="364"/>
      <c r="DW68" s="364"/>
      <c r="DX68" s="364"/>
      <c r="DZ68" s="388"/>
    </row>
    <row r="69" spans="2:176" s="345" customFormat="1" ht="13.5" hidden="1" customHeight="1" x14ac:dyDescent="0.25">
      <c r="B69" s="428" t="s">
        <v>54</v>
      </c>
      <c r="C69" s="429"/>
      <c r="D69" s="429"/>
      <c r="E69" s="430"/>
      <c r="F69" s="430"/>
      <c r="G69" s="430"/>
      <c r="H69" s="431"/>
      <c r="I69" s="430"/>
      <c r="J69" s="430"/>
      <c r="K69" s="432"/>
      <c r="L69" s="430"/>
      <c r="M69" s="430"/>
      <c r="N69" s="433"/>
      <c r="O69" s="432"/>
      <c r="P69" s="432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4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3"/>
      <c r="AM69" s="430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3"/>
      <c r="AY69" s="430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430"/>
      <c r="BX69" s="430"/>
      <c r="BY69" s="430"/>
      <c r="BZ69" s="430"/>
      <c r="CA69" s="430"/>
      <c r="CB69" s="430"/>
      <c r="CC69" s="430"/>
      <c r="CD69" s="430"/>
      <c r="CE69" s="430"/>
      <c r="CF69" s="430"/>
      <c r="CG69" s="430"/>
      <c r="CH69" s="433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N69" s="435"/>
      <c r="DO69" s="364"/>
      <c r="DS69" s="364"/>
      <c r="DT69" s="364"/>
      <c r="DU69" s="364"/>
      <c r="DV69" s="364"/>
      <c r="DW69" s="364"/>
      <c r="DX69" s="364"/>
      <c r="DZ69" s="388"/>
    </row>
    <row r="70" spans="2:176" s="345" customFormat="1" ht="13.5" hidden="1" customHeight="1" x14ac:dyDescent="0.25">
      <c r="B70" s="340" t="s">
        <v>50</v>
      </c>
      <c r="C70" s="436"/>
      <c r="D70" s="436"/>
      <c r="E70" s="342"/>
      <c r="F70" s="342"/>
      <c r="G70" s="342"/>
      <c r="H70" s="343"/>
      <c r="I70" s="342"/>
      <c r="J70" s="342"/>
      <c r="K70" s="341"/>
      <c r="L70" s="342"/>
      <c r="M70" s="342"/>
      <c r="N70" s="344"/>
      <c r="O70" s="341"/>
      <c r="P70" s="341"/>
      <c r="Q70" s="342"/>
      <c r="Z70" s="344"/>
      <c r="AL70" s="344"/>
      <c r="AX70" s="344"/>
      <c r="BJ70" s="344"/>
      <c r="BV70" s="344"/>
      <c r="CH70" s="344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N70" s="435"/>
      <c r="DO70" s="364"/>
      <c r="DS70" s="364"/>
      <c r="DT70" s="364"/>
      <c r="DU70" s="364"/>
      <c r="DV70" s="364"/>
      <c r="DW70" s="364"/>
      <c r="DX70" s="364"/>
      <c r="DZ70" s="388"/>
    </row>
    <row r="71" spans="2:176" s="387" customFormat="1" ht="13.5" hidden="1" customHeight="1" x14ac:dyDescent="0.25">
      <c r="B71" s="390" t="s">
        <v>1</v>
      </c>
      <c r="C71" s="385">
        <v>205317.37100000004</v>
      </c>
      <c r="D71" s="385">
        <v>205317.37100000004</v>
      </c>
      <c r="E71" s="347">
        <v>205317.37100000004</v>
      </c>
      <c r="F71" s="347">
        <v>791420.26800000004</v>
      </c>
      <c r="G71" s="347">
        <v>779351.96499999997</v>
      </c>
      <c r="H71" s="347">
        <v>700606.69900000002</v>
      </c>
      <c r="I71" s="347">
        <v>774459.31699999992</v>
      </c>
      <c r="J71" s="347">
        <v>974417.071</v>
      </c>
      <c r="K71" s="346">
        <v>814293.58699999994</v>
      </c>
      <c r="L71" s="347">
        <v>814067.70699999994</v>
      </c>
      <c r="M71" s="347">
        <v>742816.7</v>
      </c>
      <c r="N71" s="348">
        <v>536682.35</v>
      </c>
      <c r="O71" s="346">
        <v>614625</v>
      </c>
      <c r="P71" s="346">
        <v>663832</v>
      </c>
      <c r="Q71" s="347">
        <v>615286</v>
      </c>
      <c r="R71" s="387">
        <v>566412.13</v>
      </c>
      <c r="S71" s="387">
        <v>612648.77</v>
      </c>
      <c r="T71" s="387">
        <v>631004.64</v>
      </c>
      <c r="U71" s="387">
        <v>597627.80000000005</v>
      </c>
      <c r="V71" s="387">
        <v>639454.27</v>
      </c>
      <c r="W71" s="387">
        <v>667877.76</v>
      </c>
      <c r="X71" s="387">
        <v>617478.40000000002</v>
      </c>
      <c r="Y71" s="387">
        <v>635515.13</v>
      </c>
      <c r="Z71" s="348">
        <v>545848.68999999994</v>
      </c>
      <c r="AA71" s="387">
        <v>593160.74</v>
      </c>
      <c r="AB71" s="387">
        <v>529346.03</v>
      </c>
      <c r="AC71" s="387">
        <v>490090.82</v>
      </c>
      <c r="AD71" s="387">
        <v>576522.07999999996</v>
      </c>
      <c r="AE71" s="387">
        <v>579969.43999999994</v>
      </c>
      <c r="AF71" s="387">
        <v>575338.53</v>
      </c>
      <c r="AG71" s="387">
        <v>608955.12</v>
      </c>
      <c r="AH71" s="387">
        <v>614371.56999999995</v>
      </c>
      <c r="AI71" s="387">
        <v>581134.23</v>
      </c>
      <c r="AJ71" s="387">
        <v>580870.76899999997</v>
      </c>
      <c r="AK71" s="387">
        <v>590149.19400000002</v>
      </c>
      <c r="AL71" s="348">
        <v>487826.79200000002</v>
      </c>
      <c r="AM71" s="387">
        <f>129209.72+438773.82</f>
        <v>567983.54</v>
      </c>
      <c r="AN71" s="387">
        <f>130392.62+524374.48</f>
        <v>654767.1</v>
      </c>
      <c r="AO71" s="387">
        <f>115588.26+473892.11</f>
        <v>589480.37</v>
      </c>
      <c r="AP71" s="387">
        <f>127086.01+557793.15</f>
        <v>684879.16</v>
      </c>
      <c r="AQ71" s="387">
        <f>497135.54+123803.58</f>
        <v>620939.12</v>
      </c>
      <c r="AR71" s="387">
        <f>135686.35+499234.61</f>
        <v>634920.95999999996</v>
      </c>
      <c r="AS71" s="387">
        <f>146551.84+523885.34</f>
        <v>670437.18000000005</v>
      </c>
      <c r="AT71" s="387">
        <f>139429.33+546068.53</f>
        <v>685497.86</v>
      </c>
      <c r="AU71" s="387">
        <f>150920.55+534957.73</f>
        <v>685878.28</v>
      </c>
      <c r="AV71" s="387">
        <f>142016.98+470041.38</f>
        <v>612058.36</v>
      </c>
      <c r="AW71" s="387">
        <f>130129.59+482332.21</f>
        <v>612461.80000000005</v>
      </c>
      <c r="AX71" s="348">
        <f>125915.67+497636.09</f>
        <v>623551.76</v>
      </c>
      <c r="AY71" s="387">
        <f>124763.64+503472.55</f>
        <v>628236.18999999994</v>
      </c>
      <c r="AZ71" s="387">
        <f>128343.59+552550.68</f>
        <v>680894.27</v>
      </c>
      <c r="BA71" s="387">
        <f>130208.11+547153.15</f>
        <v>677361.26</v>
      </c>
      <c r="BB71" s="387">
        <f>140108.92+584278.04</f>
        <v>724386.96000000008</v>
      </c>
      <c r="BC71" s="387">
        <f>136859.41+509499.76</f>
        <v>646359.17000000004</v>
      </c>
      <c r="BD71" s="387">
        <f>153509.69+578938.7</f>
        <v>732448.3899999999</v>
      </c>
      <c r="BE71" s="387">
        <f>155594.33+615004.56</f>
        <v>770598.89</v>
      </c>
      <c r="BF71" s="387">
        <f>149902.84+566820.07</f>
        <v>716722.90999999992</v>
      </c>
      <c r="BG71" s="387">
        <f>161711.17+625152.09</f>
        <v>786863.26</v>
      </c>
      <c r="BH71" s="387">
        <f>146597.74+592559.71</f>
        <v>739157.45</v>
      </c>
      <c r="BI71" s="387">
        <f>133356.48+516910.33</f>
        <v>650266.81000000006</v>
      </c>
      <c r="BJ71" s="348">
        <f>125533.73+520833.98</f>
        <v>646367.71</v>
      </c>
      <c r="BK71" s="387">
        <f>118156.8+578191.81</f>
        <v>696348.6100000001</v>
      </c>
      <c r="BL71" s="387">
        <f>129374.97+554052.34</f>
        <v>683427.30999999994</v>
      </c>
      <c r="BM71" s="387">
        <f>117860.51+496497.32</f>
        <v>614357.82999999996</v>
      </c>
      <c r="BN71" s="387">
        <f>124267+600448</f>
        <v>724715</v>
      </c>
      <c r="BO71" s="387">
        <f>127162+526714</f>
        <v>653876</v>
      </c>
      <c r="BP71" s="387">
        <f>135672+565090</f>
        <v>700762</v>
      </c>
      <c r="BQ71" s="387">
        <f>154152.27+603111.49</f>
        <v>757263.76</v>
      </c>
      <c r="BR71" s="387">
        <f>148957.02+596138.77</f>
        <v>745095.79</v>
      </c>
      <c r="BS71" s="387">
        <f>148664.75+587106.1</f>
        <v>735770.85</v>
      </c>
      <c r="BT71" s="387">
        <f>148780.19+612173.19</f>
        <v>760953.37999999989</v>
      </c>
      <c r="BU71" s="387">
        <f>142190.94+570719.95</f>
        <v>712910.8899999999</v>
      </c>
      <c r="BV71" s="348">
        <f>129720.6+600851.63</f>
        <v>730572.23</v>
      </c>
      <c r="BW71" s="387">
        <f>120467.24+565580.53</f>
        <v>686047.77</v>
      </c>
      <c r="BX71" s="387">
        <f>128297.57+596267.15</f>
        <v>724564.72</v>
      </c>
      <c r="BY71" s="387">
        <f>130183.88+628263.46</f>
        <v>758447.34</v>
      </c>
      <c r="BZ71" s="387">
        <f>133862.17+546747.13</f>
        <v>680609.3</v>
      </c>
      <c r="CA71" s="387">
        <f>135817.19+551227.59</f>
        <v>687044.78</v>
      </c>
      <c r="CB71" s="387">
        <f>149204.62+613141.48</f>
        <v>762346.1</v>
      </c>
      <c r="CC71" s="387">
        <f>146606.29+572912.8</f>
        <v>719519.09000000008</v>
      </c>
      <c r="CD71" s="387">
        <f>149516.53+596114.2</f>
        <v>745630.73</v>
      </c>
      <c r="CE71" s="387">
        <f>144849.71+606395.87</f>
        <v>751245.58</v>
      </c>
      <c r="CF71" s="437">
        <f>107715.54+340007.96</f>
        <v>447723.5</v>
      </c>
      <c r="CG71" s="387">
        <f>121285.24+489938.56</f>
        <v>611223.80000000005</v>
      </c>
      <c r="CH71" s="348">
        <f>108130.4+406010.01</f>
        <v>514140.41000000003</v>
      </c>
      <c r="CI71" s="386">
        <f>422169.2+111484.63</f>
        <v>533653.83000000007</v>
      </c>
      <c r="CJ71" s="347">
        <f>101560.51+411134.91</f>
        <v>512695.42</v>
      </c>
      <c r="CK71" s="347">
        <f>100244.15+382134.49</f>
        <v>482378.64</v>
      </c>
      <c r="CL71" s="347">
        <f>104530.68+387283.23</f>
        <v>491813.91</v>
      </c>
      <c r="CM71" s="347">
        <f>104742.91+412801.37</f>
        <v>517544.28</v>
      </c>
      <c r="CN71" s="347">
        <f>104297.24+449601.75</f>
        <v>553898.99</v>
      </c>
      <c r="CO71" s="347">
        <f>107484.94+401637.53</f>
        <v>509122.47000000003</v>
      </c>
      <c r="CP71" s="347">
        <f>110467.44+435746.44</f>
        <v>546213.88</v>
      </c>
      <c r="CQ71" s="347">
        <f>107113.27+377467.32</f>
        <v>484580.59</v>
      </c>
      <c r="CR71" s="347">
        <f>98988.76+375065.92</f>
        <v>474054.68</v>
      </c>
      <c r="CS71" s="347">
        <f>91494.13+388929</f>
        <v>480423.13</v>
      </c>
      <c r="CT71" s="348">
        <f>86045.73+361322.33</f>
        <v>447368.06</v>
      </c>
      <c r="CU71" s="347">
        <f>84499.38+368621.29</f>
        <v>453120.67</v>
      </c>
      <c r="CV71" s="347">
        <f>76160.73+251762.52</f>
        <v>327923.25</v>
      </c>
      <c r="CW71" s="347">
        <f>77346.06+245305.71</f>
        <v>322651.77</v>
      </c>
      <c r="CX71" s="347">
        <f>81626.92+282263.37</f>
        <v>363890.29</v>
      </c>
      <c r="CY71" s="347">
        <f>81376.48+249777.08</f>
        <v>331153.56</v>
      </c>
      <c r="CZ71" s="347">
        <f>93805.35+262690.38</f>
        <v>356495.73</v>
      </c>
      <c r="DA71" s="347">
        <f>97061.44+269729</f>
        <v>366790.44</v>
      </c>
      <c r="DB71" s="347">
        <f>97840.76+261010.21</f>
        <v>358850.97</v>
      </c>
      <c r="DC71" s="438">
        <f>103089.8+268897.91</f>
        <v>371987.70999999996</v>
      </c>
      <c r="DD71" s="347">
        <f>91526.59+266337.91</f>
        <v>357864.5</v>
      </c>
      <c r="DE71" s="347">
        <f>77596.09+252951.72</f>
        <v>330547.81</v>
      </c>
      <c r="DF71" s="348">
        <f>71556.78+227070.82</f>
        <v>298627.59999999998</v>
      </c>
      <c r="DG71" s="387">
        <f>72558.93+237299.19</f>
        <v>309858.12</v>
      </c>
      <c r="DH71" s="387">
        <f>74751.52+242047.13</f>
        <v>316798.65000000002</v>
      </c>
      <c r="DI71" s="388">
        <f>69965.39+234818.7</f>
        <v>304784.09000000003</v>
      </c>
      <c r="DJ71" s="388">
        <f>79536.67+286091.54</f>
        <v>365628.20999999996</v>
      </c>
      <c r="DK71" s="388">
        <f>81179.46+313293.34</f>
        <v>394472.80000000005</v>
      </c>
      <c r="DL71" s="388">
        <f>86334.95+313034.78</f>
        <v>399369.73000000004</v>
      </c>
      <c r="DM71" s="388">
        <f>91453.49+302346.87</f>
        <v>393800.36</v>
      </c>
      <c r="DN71" s="388">
        <f>87484.635+325928.25</f>
        <v>413412.88500000001</v>
      </c>
      <c r="DO71" s="388">
        <f>97007.98+317851.41</f>
        <v>414859.38999999996</v>
      </c>
      <c r="DP71" s="388">
        <f>90167.98+327614.77</f>
        <v>417782.75</v>
      </c>
      <c r="DQ71" s="388">
        <f>79939.93+284885.75</f>
        <v>364825.68</v>
      </c>
      <c r="DR71" s="388">
        <f>76139.86+295725.91</f>
        <v>371865.76999999996</v>
      </c>
      <c r="DS71" s="388">
        <f>73265.58+307515.18</f>
        <v>380780.76</v>
      </c>
      <c r="DT71" s="388">
        <f>74251.57+289669.26</f>
        <v>363920.83</v>
      </c>
      <c r="DU71" s="388">
        <f>75432.97+285277.14</f>
        <v>360710.11</v>
      </c>
      <c r="DV71" s="389">
        <f>82555.78+318766.64</f>
        <v>401322.42000000004</v>
      </c>
      <c r="DW71" s="389">
        <f>77553.63+286241.87</f>
        <v>363795.5</v>
      </c>
      <c r="DX71" s="389">
        <f>80472.54+324040.27</f>
        <v>404512.81</v>
      </c>
      <c r="DY71" s="389">
        <f>90452.34+348103.18</f>
        <v>438555.52</v>
      </c>
      <c r="DZ71" s="389">
        <f>83279.156+324040.27</f>
        <v>407319.42600000004</v>
      </c>
      <c r="EA71" s="389">
        <f>87584.81+347317.09</f>
        <v>434901.9</v>
      </c>
      <c r="EB71" s="389">
        <f>76549.57+327996.51</f>
        <v>404546.08</v>
      </c>
      <c r="EC71" s="389">
        <f>80976.04+324796.23</f>
        <v>405772.26999999996</v>
      </c>
      <c r="ED71" s="376">
        <f>73641.74+314118.83</f>
        <v>387760.57</v>
      </c>
      <c r="EE71" s="376">
        <f>71325.36+271319.16</f>
        <v>342644.51999999996</v>
      </c>
      <c r="EF71" s="376">
        <f>65298.66+266543.32</f>
        <v>331841.98</v>
      </c>
      <c r="EG71" s="376">
        <f>63276.73+254054.76</f>
        <v>317331.49</v>
      </c>
      <c r="EH71" s="376">
        <f>68135.79+282296.08</f>
        <v>350431.87</v>
      </c>
      <c r="EI71" s="376">
        <f>69025.57+301303.64</f>
        <v>370329.21</v>
      </c>
      <c r="EJ71" s="376">
        <f>70203.56+297039.84</f>
        <v>367243.4</v>
      </c>
      <c r="EK71" s="376">
        <f>75590.31+278669.57</f>
        <v>354259.88</v>
      </c>
      <c r="EL71" s="376">
        <f>75283.79+271677.51</f>
        <v>346961.3</v>
      </c>
      <c r="EM71" s="376">
        <f>75889.48+296307.14</f>
        <v>372196.62</v>
      </c>
      <c r="EN71" s="376">
        <f>73036.91+314781.13</f>
        <v>387818.04000000004</v>
      </c>
      <c r="EO71" s="376">
        <f>69690.33+314444.13</f>
        <v>384134.46</v>
      </c>
      <c r="EP71" s="376">
        <f>62004.61+280102.44</f>
        <v>342107.05</v>
      </c>
      <c r="EQ71" s="376">
        <f>65513.18+261571.53</f>
        <v>327084.71000000002</v>
      </c>
      <c r="ER71" s="376">
        <f>68412+271233.99</f>
        <v>339645.99</v>
      </c>
      <c r="ES71" s="376">
        <f>77812.06+253525.54</f>
        <v>331337.59999999998</v>
      </c>
      <c r="ET71" s="376">
        <f>75320.77+256518.35</f>
        <v>331839.12</v>
      </c>
      <c r="EU71" s="376">
        <f>78888.12+275942.27</f>
        <v>354830.39</v>
      </c>
      <c r="EV71" s="376">
        <f>79421.33+297115.97</f>
        <v>376537.3</v>
      </c>
      <c r="EW71" s="376">
        <f>85594.31+254531.57</f>
        <v>340125.88</v>
      </c>
      <c r="EX71" s="376">
        <f>89288.15+224516.66</f>
        <v>313804.81</v>
      </c>
      <c r="EY71" s="376">
        <f>89363.45+204754.82</f>
        <v>294118.27</v>
      </c>
      <c r="EZ71" s="376">
        <f>85944.32+195959.16</f>
        <v>281903.48</v>
      </c>
      <c r="FA71" s="376">
        <f>83699.07+221640.64</f>
        <v>305339.71000000002</v>
      </c>
      <c r="FB71" s="376">
        <f>71490.29+181323.57</f>
        <v>252813.86</v>
      </c>
      <c r="FC71" s="376">
        <f>77985.48+195421.19</f>
        <v>273406.67</v>
      </c>
      <c r="FD71" s="376">
        <f>76624.15+179465.05</f>
        <v>256089.19999999998</v>
      </c>
      <c r="FE71" s="376">
        <f>72480.7+230292.32</f>
        <v>302773.02</v>
      </c>
      <c r="FF71" s="376">
        <f>73048.12+181989.58</f>
        <v>255037.69999999998</v>
      </c>
      <c r="FG71" s="376">
        <f>72438.4+190921.84</f>
        <v>263360.24</v>
      </c>
      <c r="FH71" s="376">
        <f>79839.75+190377.4</f>
        <v>270217.15000000002</v>
      </c>
      <c r="FI71" s="376">
        <f>81488.53+184213.81</f>
        <v>265702.33999999997</v>
      </c>
      <c r="FJ71" s="376">
        <f>85028.43+205289.41</f>
        <v>290317.83999999997</v>
      </c>
      <c r="FK71" s="376">
        <f>80778.22+187856.48</f>
        <v>268634.7</v>
      </c>
      <c r="FL71" s="376">
        <f>79633.14+189738.17</f>
        <v>269371.31</v>
      </c>
      <c r="FM71" s="376">
        <f>71520.39+209735.76</f>
        <v>281256.15000000002</v>
      </c>
      <c r="FN71" s="376">
        <f>71690.22+195956.692</f>
        <v>267646.91200000001</v>
      </c>
      <c r="FO71" s="376">
        <f>68298.21+202411.71</f>
        <v>270709.92</v>
      </c>
      <c r="FP71" s="376">
        <f>66094.64+181143.79</f>
        <v>247238.43</v>
      </c>
      <c r="FQ71" s="376">
        <f>70252.36+191553.44</f>
        <v>261805.8</v>
      </c>
      <c r="FR71" s="376">
        <f>74100.91+194408.37</f>
        <v>268509.28000000003</v>
      </c>
      <c r="FS71" s="376">
        <f>68933.16+181046.12</f>
        <v>249979.28</v>
      </c>
      <c r="FT71" s="376">
        <f>76062.56+305252.51</f>
        <v>381315.07</v>
      </c>
    </row>
    <row r="72" spans="2:176" s="387" customFormat="1" ht="13.5" hidden="1" customHeight="1" thickBot="1" x14ac:dyDescent="0.3">
      <c r="B72" s="391" t="s">
        <v>8</v>
      </c>
      <c r="C72" s="392">
        <v>20465.780999999999</v>
      </c>
      <c r="D72" s="392">
        <v>448829.1449999999</v>
      </c>
      <c r="E72" s="393">
        <v>915886.18900000001</v>
      </c>
      <c r="F72" s="393">
        <v>679725.14199999988</v>
      </c>
      <c r="G72" s="393">
        <v>832247.35</v>
      </c>
      <c r="H72" s="393">
        <v>556205.12900000007</v>
      </c>
      <c r="I72" s="393">
        <v>1077727.2330000002</v>
      </c>
      <c r="J72" s="393">
        <v>580308.11500000022</v>
      </c>
      <c r="K72" s="439">
        <v>884659.59100000013</v>
      </c>
      <c r="L72" s="393">
        <v>844653.60899999982</v>
      </c>
      <c r="M72" s="393">
        <v>1581964.878</v>
      </c>
      <c r="N72" s="394">
        <v>934912.34</v>
      </c>
      <c r="O72" s="439">
        <v>803041</v>
      </c>
      <c r="P72" s="439">
        <v>912380</v>
      </c>
      <c r="Q72" s="393">
        <v>715855</v>
      </c>
      <c r="R72" s="393">
        <v>775282.9</v>
      </c>
      <c r="S72" s="393">
        <v>1245506.06</v>
      </c>
      <c r="T72" s="393">
        <v>1152114.1000000001</v>
      </c>
      <c r="U72" s="393">
        <v>1021554.99</v>
      </c>
      <c r="V72" s="393">
        <v>1010430.37</v>
      </c>
      <c r="W72" s="393">
        <v>1097933.2</v>
      </c>
      <c r="X72" s="393">
        <v>1015881.89</v>
      </c>
      <c r="Y72" s="393">
        <v>1137942.55</v>
      </c>
      <c r="Z72" s="394">
        <v>924845.81</v>
      </c>
      <c r="AA72" s="393">
        <v>1101654.03</v>
      </c>
      <c r="AB72" s="393">
        <v>1192584.3500000001</v>
      </c>
      <c r="AC72" s="393">
        <v>931847.15</v>
      </c>
      <c r="AD72" s="393">
        <v>1268798.04</v>
      </c>
      <c r="AE72" s="393">
        <v>1298620.26</v>
      </c>
      <c r="AF72" s="393">
        <v>1295019.23</v>
      </c>
      <c r="AG72" s="393">
        <v>1270647.0900000001</v>
      </c>
      <c r="AH72" s="393">
        <v>1342030.8</v>
      </c>
      <c r="AI72" s="347">
        <v>1271390.43</v>
      </c>
      <c r="AJ72" s="387">
        <v>1316000.9790000001</v>
      </c>
      <c r="AK72" s="387">
        <v>1291291.014</v>
      </c>
      <c r="AL72" s="348">
        <v>1200008.3840000001</v>
      </c>
      <c r="AM72" s="387">
        <f>1093834.19+141571.03</f>
        <v>1235405.22</v>
      </c>
      <c r="AN72" s="387">
        <f>891229.89+142981.92</f>
        <v>1034211.81</v>
      </c>
      <c r="AO72" s="387">
        <f>171784.86+968631.45</f>
        <v>1140416.31</v>
      </c>
      <c r="AP72" s="387">
        <f>152631.22+981172.28</f>
        <v>1133803.5</v>
      </c>
      <c r="AQ72" s="387">
        <f>156101+869255.22</f>
        <v>1025356.22</v>
      </c>
      <c r="AR72" s="387">
        <f>174699.79+877452.31</f>
        <v>1052152.1000000001</v>
      </c>
      <c r="AS72" s="387">
        <f>191208.5+855100.28</f>
        <v>1046308.78</v>
      </c>
      <c r="AT72" s="387">
        <f>185217.61+864536.79</f>
        <v>1049754.3999999999</v>
      </c>
      <c r="AU72" s="387">
        <f>206623.48+896001.45</f>
        <v>1102624.93</v>
      </c>
      <c r="AV72" s="387">
        <f>187173.94+718396.92</f>
        <v>905570.8600000001</v>
      </c>
      <c r="AW72" s="387">
        <f>167532.08+807363.87</f>
        <v>974895.95</v>
      </c>
      <c r="AX72" s="348">
        <f>157370.72+874998.05</f>
        <v>1032368.77</v>
      </c>
      <c r="AY72" s="387">
        <f>165176+807226</f>
        <v>972402</v>
      </c>
      <c r="AZ72" s="387">
        <f>133598+863672</f>
        <v>997270</v>
      </c>
      <c r="BA72" s="387">
        <f>140538+956928</f>
        <v>1097466</v>
      </c>
      <c r="BB72" s="387">
        <f>157432+1201268</f>
        <v>1358700</v>
      </c>
      <c r="BC72" s="387">
        <f>1058271+157117</f>
        <v>1215388</v>
      </c>
      <c r="BD72" s="387">
        <f>177040+988722</f>
        <v>1165762</v>
      </c>
      <c r="BE72" s="387">
        <f>180810+1066361</f>
        <v>1247171</v>
      </c>
      <c r="BF72" s="387">
        <f>184637+966510</f>
        <v>1151147</v>
      </c>
      <c r="BG72" s="387">
        <f>196588+960986</f>
        <v>1157574</v>
      </c>
      <c r="BH72" s="387">
        <f>177388.37+1074549.96</f>
        <v>1251938.33</v>
      </c>
      <c r="BI72" s="387">
        <f>162134.82+875806.93</f>
        <v>1037941.75</v>
      </c>
      <c r="BJ72" s="348">
        <f>153274.92+856445.38</f>
        <v>1009720.3</v>
      </c>
      <c r="BK72" s="387">
        <f>142432+831340</f>
        <v>973772</v>
      </c>
      <c r="BL72" s="387">
        <f>152209+825304</f>
        <v>977513</v>
      </c>
      <c r="BM72" s="387">
        <f>152295+782551</f>
        <v>934846</v>
      </c>
      <c r="BN72" s="387">
        <f>155782+1145822</f>
        <v>1301604</v>
      </c>
      <c r="BO72" s="387">
        <f>162499+989658</f>
        <v>1152157</v>
      </c>
      <c r="BP72" s="387">
        <f>171317+1018058</f>
        <v>1189375</v>
      </c>
      <c r="BQ72" s="387">
        <f>183105.52+1055533.3</f>
        <v>1238638.82</v>
      </c>
      <c r="BR72" s="387">
        <f>188455.13+962733.27</f>
        <v>1151188.3999999999</v>
      </c>
      <c r="BS72" s="387">
        <f>189717.49+947467.72</f>
        <v>1137185.21</v>
      </c>
      <c r="BT72" s="387">
        <f>190293.04+940129.24</f>
        <v>1130422.28</v>
      </c>
      <c r="BU72" s="387">
        <f>175401.59+950873.15</f>
        <v>1126274.74</v>
      </c>
      <c r="BV72" s="348">
        <f>159588.22+1024670.45</f>
        <v>1184258.67</v>
      </c>
      <c r="BW72" s="387">
        <f>158130.6+831552.54</f>
        <v>989683.14</v>
      </c>
      <c r="BX72" s="387">
        <f>158365.7+774196.34</f>
        <v>932562.04</v>
      </c>
      <c r="BY72" s="387">
        <f>155715.29+955306.18</f>
        <v>1111021.47</v>
      </c>
      <c r="BZ72" s="387">
        <f>168001.92+1029656.74</f>
        <v>1197658.6599999999</v>
      </c>
      <c r="CA72" s="387">
        <f>170393.4+943825.15</f>
        <v>1114218.55</v>
      </c>
      <c r="CB72" s="387">
        <f>187212.26+1029843.89</f>
        <v>1217056.1499999999</v>
      </c>
      <c r="CC72" s="387">
        <f>207308.01+926048.7</f>
        <v>1133356.71</v>
      </c>
      <c r="CD72" s="387">
        <f>200108.5+860679.3</f>
        <v>1060787.8</v>
      </c>
      <c r="CE72" s="387">
        <f>223497.33+875728.35</f>
        <v>1099225.68</v>
      </c>
      <c r="CF72" s="387">
        <f>145376.86+611383.11</f>
        <v>756759.97</v>
      </c>
      <c r="CG72" s="387">
        <f>189535.19+1074443.09</f>
        <v>1263978.28</v>
      </c>
      <c r="CH72" s="348">
        <f>163631.41+817319.12</f>
        <v>980950.53</v>
      </c>
      <c r="CI72" s="395">
        <f>171237.87+686128.35</f>
        <v>857366.22</v>
      </c>
      <c r="CJ72" s="393">
        <f>156865.45+863067.6</f>
        <v>1019933.05</v>
      </c>
      <c r="CK72" s="393">
        <f>902600.16+159980.05</f>
        <v>1062580.21</v>
      </c>
      <c r="CL72" s="393">
        <f>160783.37+801463.92</f>
        <v>962247.29</v>
      </c>
      <c r="CM72" s="393">
        <f>169702.7+896454.31</f>
        <v>1066157.01</v>
      </c>
      <c r="CN72" s="393">
        <f>195377.85+988754.55</f>
        <v>1184132.4000000001</v>
      </c>
      <c r="CO72" s="393">
        <f>216976.7+1090766.34</f>
        <v>1307743.04</v>
      </c>
      <c r="CP72" s="393">
        <f>238822.03+1091637.56</f>
        <v>1330459.5900000001</v>
      </c>
      <c r="CQ72" s="393">
        <f>218472.85+1003890.03</f>
        <v>1222362.8800000001</v>
      </c>
      <c r="CR72" s="393">
        <f>216712.02+898918.25</f>
        <v>1115630.27</v>
      </c>
      <c r="CS72" s="393">
        <f>191175+1037233.25</f>
        <v>1228408.25</v>
      </c>
      <c r="CT72" s="394">
        <f>188728.15+933660.7</f>
        <v>1122388.8499999999</v>
      </c>
      <c r="CU72" s="440">
        <f>190646.28+910657.96</f>
        <v>1101304.24</v>
      </c>
      <c r="CV72" s="393">
        <f>186732.95+915835.65</f>
        <v>1102568.6000000001</v>
      </c>
      <c r="CW72" s="393">
        <f>188473.28+986603.21</f>
        <v>1175076.49</v>
      </c>
      <c r="CX72" s="393">
        <f>203359.66+1149966.94</f>
        <v>1353326.5999999999</v>
      </c>
      <c r="CY72" s="393">
        <f>201272.78+1303109.85</f>
        <v>1504382.6300000001</v>
      </c>
      <c r="CZ72" s="416">
        <f>223608.24+1026402.04</f>
        <v>1250010.28</v>
      </c>
      <c r="DA72" s="393">
        <f>243284.27+1152212.81</f>
        <v>1395497.08</v>
      </c>
      <c r="DB72" s="393">
        <f>242826.35+1181290.11</f>
        <v>1424116.4600000002</v>
      </c>
      <c r="DC72" s="393">
        <f>252902.32+1110504.91</f>
        <v>1363407.23</v>
      </c>
      <c r="DD72" s="393">
        <f>235996.84+1050050.94</f>
        <v>1286047.78</v>
      </c>
      <c r="DE72" s="393">
        <f>210939.33+1085481.22</f>
        <v>1296420.55</v>
      </c>
      <c r="DF72" s="394">
        <f>207178.75+1113412.15</f>
        <v>1320590.8999999999</v>
      </c>
      <c r="DG72" s="387">
        <f>204470.46+1158954.63</f>
        <v>1363425.0899999999</v>
      </c>
      <c r="DH72" s="387">
        <f>201448.06+1040671.43</f>
        <v>1242119.49</v>
      </c>
      <c r="DI72" s="388">
        <f>199125.17+938026.56</f>
        <v>1137151.73</v>
      </c>
      <c r="DJ72" s="388">
        <f>217094.64+1125696.85</f>
        <v>1342791.4900000002</v>
      </c>
      <c r="DK72" s="388">
        <f>222950.55+1126013.66</f>
        <v>1348964.21</v>
      </c>
      <c r="DL72" s="388">
        <f>236625.97+1113672.25</f>
        <v>1350298.22</v>
      </c>
      <c r="DM72" s="388">
        <f>249629.91+1004719.61</f>
        <v>1254349.52</v>
      </c>
      <c r="DN72" s="388">
        <f>246211.13+968110.8</f>
        <v>1214321.9300000002</v>
      </c>
      <c r="DO72" s="388">
        <f>261045.44+1004838.02</f>
        <v>1265883.46</v>
      </c>
      <c r="DP72" s="388">
        <f>243892.97+1079818.4</f>
        <v>1323711.3699999999</v>
      </c>
      <c r="DQ72" s="388">
        <f>217754.46+989563.33</f>
        <v>1207317.79</v>
      </c>
      <c r="DR72" s="388">
        <f>209838.52+1009446.59</f>
        <v>1219285.1099999999</v>
      </c>
      <c r="DS72" s="388">
        <f>206447.08+989638.75</f>
        <v>1196085.83</v>
      </c>
      <c r="DT72" s="388">
        <f>204483.55+1005614.09</f>
        <v>1210097.6399999999</v>
      </c>
      <c r="DU72" s="388">
        <f>202936.75+911809.11</f>
        <v>1114745.8599999999</v>
      </c>
      <c r="DV72" s="389">
        <f>1016470.17+224654.38</f>
        <v>1241124.55</v>
      </c>
      <c r="DW72" s="389">
        <f>1021566.87+225128.28</f>
        <v>1246695.1499999999</v>
      </c>
      <c r="DX72" s="389">
        <f>1001717.49+248848.48</f>
        <v>1250565.97</v>
      </c>
      <c r="DY72" s="389">
        <f>251257.6+999594.08</f>
        <v>1250851.68</v>
      </c>
      <c r="DZ72" s="389">
        <f>254115.139+955631.32</f>
        <v>1209746.459</v>
      </c>
      <c r="EA72" s="389">
        <f>268744.59+1030600.86</f>
        <v>1299345.45</v>
      </c>
      <c r="EB72" s="389">
        <f>238144.21+1018215.36</f>
        <v>1256359.57</v>
      </c>
      <c r="EC72" s="389">
        <f>235300.73+943289.33</f>
        <v>1178590.06</v>
      </c>
      <c r="ED72" s="376">
        <f>214033.33+910363.33</f>
        <v>1124396.6599999999</v>
      </c>
      <c r="EE72" s="376">
        <f>204187.43+935708.53</f>
        <v>1139895.96</v>
      </c>
      <c r="EF72" s="376">
        <f>213264.35+1001864.18</f>
        <v>1215128.53</v>
      </c>
      <c r="EG72" s="376">
        <f>205334.46+922040.03</f>
        <v>1127374.49</v>
      </c>
      <c r="EH72" s="376">
        <f>215576.05+1166075.5</f>
        <v>1381651.55</v>
      </c>
      <c r="EI72" s="376">
        <f>238902.13+1152553.62</f>
        <v>1391455.75</v>
      </c>
      <c r="EJ72" s="376">
        <f>252122.49+1270470.93</f>
        <v>1522593.42</v>
      </c>
      <c r="EK72" s="376">
        <f>265696.15+1009429.69</f>
        <v>1275125.8399999999</v>
      </c>
      <c r="EL72" s="376">
        <f>284278.58+1118202.72</f>
        <v>1402481.3</v>
      </c>
      <c r="EM72" s="376">
        <f>284577.93+1184629.9</f>
        <v>1469207.8299999998</v>
      </c>
      <c r="EN72" s="376">
        <f>270780.79+1002653.98</f>
        <v>1273434.77</v>
      </c>
      <c r="EO72" s="376">
        <f>250157.04+1165784.42</f>
        <v>1415941.46</v>
      </c>
      <c r="EP72" s="376">
        <f>232331+1163259.01</f>
        <v>1395590.01</v>
      </c>
      <c r="EQ72" s="376">
        <f>232325.57+1021489.62</f>
        <v>1253815.19</v>
      </c>
      <c r="ER72" s="376">
        <f>241401.48+1176725.79</f>
        <v>1418127.27</v>
      </c>
      <c r="ES72" s="376">
        <f>222269.73+1045257.29</f>
        <v>1267527.02</v>
      </c>
      <c r="ET72" s="376">
        <f>230299.93+1141086.27</f>
        <v>1371386.2</v>
      </c>
      <c r="EU72" s="376">
        <f>244534.12+1067696.34</f>
        <v>1312230.46</v>
      </c>
      <c r="EV72" s="376">
        <f>263149.13+1280177.95</f>
        <v>1543327.08</v>
      </c>
      <c r="EW72" s="376">
        <f>277203.93+1200944.87</f>
        <v>1478148.8</v>
      </c>
      <c r="EX72" s="376">
        <f>281410.67+1332028.43</f>
        <v>1613439.0999999999</v>
      </c>
      <c r="EY72" s="376">
        <f>291694.33+1375213.26</f>
        <v>1666907.59</v>
      </c>
      <c r="EZ72" s="376">
        <f>275474.65+1314419.84</f>
        <v>1589894.4900000002</v>
      </c>
      <c r="FA72" s="376">
        <f>265504.85+1362319.55</f>
        <v>1627824.4</v>
      </c>
      <c r="FB72" s="376">
        <f>232569.75+1411676.09</f>
        <v>1644245.84</v>
      </c>
      <c r="FC72" s="376">
        <f>241402.96+1317920.53</f>
        <v>1559323.49</v>
      </c>
      <c r="FD72" s="376">
        <f>231915.68+1050531.55</f>
        <v>1282447.23</v>
      </c>
      <c r="FE72" s="376">
        <f>226245.25+1443953.46</f>
        <v>1670198.71</v>
      </c>
      <c r="FF72" s="376">
        <f>230008.36+1276933.98</f>
        <v>1506942.3399999999</v>
      </c>
      <c r="FG72" s="376">
        <f>238367.61+1346113.72</f>
        <v>1584481.33</v>
      </c>
      <c r="FH72" s="376">
        <f>247988.36+1531641.21</f>
        <v>1779629.5699999998</v>
      </c>
      <c r="FI72" s="376">
        <f>263200.08+1445049.86</f>
        <v>1708249.9400000002</v>
      </c>
      <c r="FJ72" s="376">
        <f>280577.4+1535156.05</f>
        <v>1815733.4500000002</v>
      </c>
      <c r="FK72" s="376">
        <f>269143.43+1320950.85</f>
        <v>1590094.28</v>
      </c>
      <c r="FL72" s="376">
        <f>271812.79+1310185.15</f>
        <v>1581997.94</v>
      </c>
      <c r="FM72" s="376">
        <f>240652.78+1416710.91</f>
        <v>1657363.69</v>
      </c>
      <c r="FN72" s="376">
        <f>228026.14+1329937.1</f>
        <v>1557963.2400000002</v>
      </c>
      <c r="FO72" s="376">
        <f>221169.67+1281961.89</f>
        <v>1503131.5599999998</v>
      </c>
      <c r="FP72" s="376">
        <f>205754.57+1336819.05</f>
        <v>1542573.62</v>
      </c>
      <c r="FQ72" s="376">
        <f>212439.99+1619827.51</f>
        <v>1832267.5</v>
      </c>
      <c r="FR72" s="376">
        <f>224658.81+1448833.68</f>
        <v>1673492.49</v>
      </c>
      <c r="FS72" s="376">
        <f>224829.25+1537618.11</f>
        <v>1762447.3600000001</v>
      </c>
      <c r="FT72" s="376">
        <f>257002.67+1983795.56</f>
        <v>2240798.23</v>
      </c>
    </row>
    <row r="73" spans="2:176" s="387" customFormat="1" ht="13.5" hidden="1" customHeight="1" thickTop="1" x14ac:dyDescent="0.25">
      <c r="B73" s="390" t="s">
        <v>9</v>
      </c>
      <c r="C73" s="397">
        <f t="shared" ref="C73:Q73" si="373">SUM(C71:C72)</f>
        <v>225783.15200000003</v>
      </c>
      <c r="D73" s="397">
        <f t="shared" si="373"/>
        <v>654146.51599999995</v>
      </c>
      <c r="E73" s="398">
        <f t="shared" si="373"/>
        <v>1121203.56</v>
      </c>
      <c r="F73" s="398">
        <f t="shared" si="373"/>
        <v>1471145.41</v>
      </c>
      <c r="G73" s="398">
        <f t="shared" si="373"/>
        <v>1611599.3149999999</v>
      </c>
      <c r="H73" s="398">
        <f t="shared" si="373"/>
        <v>1256811.8280000002</v>
      </c>
      <c r="I73" s="398">
        <f t="shared" si="373"/>
        <v>1852186.5500000003</v>
      </c>
      <c r="J73" s="398">
        <f t="shared" si="373"/>
        <v>1554725.1860000002</v>
      </c>
      <c r="K73" s="441">
        <f t="shared" si="373"/>
        <v>1698953.1780000001</v>
      </c>
      <c r="L73" s="398">
        <f t="shared" si="373"/>
        <v>1658721.3159999996</v>
      </c>
      <c r="M73" s="398">
        <f t="shared" si="373"/>
        <v>2324781.5779999997</v>
      </c>
      <c r="N73" s="399">
        <f t="shared" si="373"/>
        <v>1471594.69</v>
      </c>
      <c r="O73" s="441">
        <f t="shared" si="373"/>
        <v>1417666</v>
      </c>
      <c r="P73" s="441">
        <f t="shared" si="373"/>
        <v>1576212</v>
      </c>
      <c r="Q73" s="398">
        <f t="shared" si="373"/>
        <v>1331141</v>
      </c>
      <c r="R73" s="398">
        <f>SUM(R71:R72)</f>
        <v>1341695.03</v>
      </c>
      <c r="S73" s="398">
        <f>SUM(S71:S72)</f>
        <v>1858154.83</v>
      </c>
      <c r="T73" s="398">
        <f>SUM(T71:T72)</f>
        <v>1783118.7400000002</v>
      </c>
      <c r="U73" s="398">
        <f t="shared" ref="U73:Z73" si="374">SUM(U71:U72)</f>
        <v>1619182.79</v>
      </c>
      <c r="V73" s="398">
        <f t="shared" si="374"/>
        <v>1649884.6400000001</v>
      </c>
      <c r="W73" s="398">
        <f t="shared" si="374"/>
        <v>1765810.96</v>
      </c>
      <c r="X73" s="398">
        <f t="shared" si="374"/>
        <v>1633360.29</v>
      </c>
      <c r="Y73" s="398">
        <f t="shared" si="374"/>
        <v>1773457.6800000002</v>
      </c>
      <c r="Z73" s="442">
        <f t="shared" si="374"/>
        <v>1470694.5</v>
      </c>
      <c r="AA73" s="398">
        <f t="shared" ref="AA73:AF73" si="375">SUM(AA71:AA72)</f>
        <v>1694814.77</v>
      </c>
      <c r="AB73" s="398">
        <f t="shared" si="375"/>
        <v>1721930.3800000001</v>
      </c>
      <c r="AC73" s="398">
        <f t="shared" si="375"/>
        <v>1421937.97</v>
      </c>
      <c r="AD73" s="398">
        <f t="shared" si="375"/>
        <v>1845320.12</v>
      </c>
      <c r="AE73" s="398">
        <f t="shared" si="375"/>
        <v>1878589.7</v>
      </c>
      <c r="AF73" s="398">
        <f t="shared" si="375"/>
        <v>1870357.76</v>
      </c>
      <c r="AG73" s="398">
        <f t="shared" ref="AG73:AL73" si="376">SUM(AG71:AG72)</f>
        <v>1879602.21</v>
      </c>
      <c r="AH73" s="398">
        <f t="shared" si="376"/>
        <v>1956402.37</v>
      </c>
      <c r="AI73" s="400">
        <f t="shared" si="376"/>
        <v>1852524.66</v>
      </c>
      <c r="AJ73" s="400">
        <f t="shared" si="376"/>
        <v>1896871.7480000001</v>
      </c>
      <c r="AK73" s="400">
        <f t="shared" si="376"/>
        <v>1881440.2080000001</v>
      </c>
      <c r="AL73" s="399">
        <f t="shared" si="376"/>
        <v>1687835.176</v>
      </c>
      <c r="AM73" s="400">
        <f t="shared" ref="AM73:AR73" si="377">SUM(AM71:AM72)</f>
        <v>1803388.76</v>
      </c>
      <c r="AN73" s="400">
        <f t="shared" si="377"/>
        <v>1688978.9100000001</v>
      </c>
      <c r="AO73" s="400">
        <f t="shared" si="377"/>
        <v>1729896.6800000002</v>
      </c>
      <c r="AP73" s="400">
        <f t="shared" si="377"/>
        <v>1818682.6600000001</v>
      </c>
      <c r="AQ73" s="400">
        <f t="shared" si="377"/>
        <v>1646295.3399999999</v>
      </c>
      <c r="AR73" s="400">
        <f t="shared" si="377"/>
        <v>1687073.06</v>
      </c>
      <c r="AS73" s="400">
        <f t="shared" ref="AS73:AX73" si="378">SUM(AS71:AS72)</f>
        <v>1716745.96</v>
      </c>
      <c r="AT73" s="400">
        <f t="shared" si="378"/>
        <v>1735252.2599999998</v>
      </c>
      <c r="AU73" s="400">
        <f t="shared" si="378"/>
        <v>1788503.21</v>
      </c>
      <c r="AV73" s="400">
        <f t="shared" si="378"/>
        <v>1517629.2200000002</v>
      </c>
      <c r="AW73" s="400">
        <f t="shared" si="378"/>
        <v>1587357.75</v>
      </c>
      <c r="AX73" s="399">
        <f t="shared" si="378"/>
        <v>1655920.53</v>
      </c>
      <c r="AY73" s="400">
        <f t="shared" ref="AY73:BD73" si="379">SUM(AY71:AY72)</f>
        <v>1600638.19</v>
      </c>
      <c r="AZ73" s="400">
        <f t="shared" si="379"/>
        <v>1678164.27</v>
      </c>
      <c r="BA73" s="400">
        <f t="shared" si="379"/>
        <v>1774827.26</v>
      </c>
      <c r="BB73" s="400">
        <f t="shared" si="379"/>
        <v>2083086.96</v>
      </c>
      <c r="BC73" s="400">
        <f t="shared" si="379"/>
        <v>1861747.17</v>
      </c>
      <c r="BD73" s="400">
        <f t="shared" si="379"/>
        <v>1898210.39</v>
      </c>
      <c r="BE73" s="400">
        <f t="shared" ref="BE73:BJ73" si="380">SUM(BE71:BE72)</f>
        <v>2017769.8900000001</v>
      </c>
      <c r="BF73" s="400">
        <f t="shared" si="380"/>
        <v>1867869.91</v>
      </c>
      <c r="BG73" s="400">
        <f t="shared" si="380"/>
        <v>1944437.26</v>
      </c>
      <c r="BH73" s="400">
        <f t="shared" si="380"/>
        <v>1991095.78</v>
      </c>
      <c r="BI73" s="400">
        <f t="shared" si="380"/>
        <v>1688208.56</v>
      </c>
      <c r="BJ73" s="399">
        <f t="shared" si="380"/>
        <v>1656088.01</v>
      </c>
      <c r="BK73" s="400">
        <f t="shared" ref="BK73:BV73" si="381">SUM(BK71:BK72)</f>
        <v>1670120.61</v>
      </c>
      <c r="BL73" s="400">
        <f t="shared" si="381"/>
        <v>1660940.31</v>
      </c>
      <c r="BM73" s="400">
        <f t="shared" si="381"/>
        <v>1549203.83</v>
      </c>
      <c r="BN73" s="400">
        <f t="shared" si="381"/>
        <v>2026319</v>
      </c>
      <c r="BO73" s="400">
        <f t="shared" si="381"/>
        <v>1806033</v>
      </c>
      <c r="BP73" s="400">
        <f t="shared" si="381"/>
        <v>1890137</v>
      </c>
      <c r="BQ73" s="400">
        <f t="shared" si="381"/>
        <v>1995902.58</v>
      </c>
      <c r="BR73" s="400">
        <f t="shared" si="381"/>
        <v>1896284.19</v>
      </c>
      <c r="BS73" s="400">
        <f t="shared" si="381"/>
        <v>1872956.06</v>
      </c>
      <c r="BT73" s="400">
        <f t="shared" si="381"/>
        <v>1891375.66</v>
      </c>
      <c r="BU73" s="400">
        <f t="shared" si="381"/>
        <v>1839185.63</v>
      </c>
      <c r="BV73" s="399">
        <f t="shared" si="381"/>
        <v>1914830.9</v>
      </c>
      <c r="BW73" s="400">
        <f t="shared" ref="BW73:CB73" si="382">SUM(BW71:BW72)</f>
        <v>1675730.9100000001</v>
      </c>
      <c r="BX73" s="400">
        <f t="shared" si="382"/>
        <v>1657126.76</v>
      </c>
      <c r="BY73" s="400">
        <f t="shared" si="382"/>
        <v>1869468.81</v>
      </c>
      <c r="BZ73" s="400">
        <f t="shared" si="382"/>
        <v>1878267.96</v>
      </c>
      <c r="CA73" s="400">
        <f t="shared" si="382"/>
        <v>1801263.33</v>
      </c>
      <c r="CB73" s="400">
        <f t="shared" si="382"/>
        <v>1979402.25</v>
      </c>
      <c r="CC73" s="400">
        <f t="shared" ref="CC73:CH73" si="383">SUM(CC71:CC72)</f>
        <v>1852875.8</v>
      </c>
      <c r="CD73" s="400">
        <f t="shared" si="383"/>
        <v>1806418.53</v>
      </c>
      <c r="CE73" s="400">
        <f t="shared" si="383"/>
        <v>1850471.2599999998</v>
      </c>
      <c r="CF73" s="400">
        <f t="shared" si="383"/>
        <v>1204483.47</v>
      </c>
      <c r="CG73" s="400">
        <f t="shared" si="383"/>
        <v>1875202.08</v>
      </c>
      <c r="CH73" s="400">
        <f t="shared" si="383"/>
        <v>1495090.94</v>
      </c>
      <c r="CI73" s="401">
        <f>SUM(CI71:CI72)</f>
        <v>1391020.05</v>
      </c>
      <c r="CJ73" s="398">
        <f>SUM(CJ71:CJ72)</f>
        <v>1532628.47</v>
      </c>
      <c r="CK73" s="398">
        <f>SUM(CK71:CK72)</f>
        <v>1544958.85</v>
      </c>
      <c r="CL73" s="398">
        <f>SUM(CL71:CL72)</f>
        <v>1454061.2</v>
      </c>
      <c r="CM73" s="398">
        <f>SUM(CM71:CM72)</f>
        <v>1583701.29</v>
      </c>
      <c r="CN73" s="398">
        <f t="shared" ref="CN73:CT73" si="384">SUM(CN71:CN72)</f>
        <v>1738031.3900000001</v>
      </c>
      <c r="CO73" s="398">
        <f t="shared" si="384"/>
        <v>1816865.51</v>
      </c>
      <c r="CP73" s="398">
        <f t="shared" si="384"/>
        <v>1876673.4700000002</v>
      </c>
      <c r="CQ73" s="398">
        <f t="shared" si="384"/>
        <v>1706943.4700000002</v>
      </c>
      <c r="CR73" s="398">
        <f t="shared" si="384"/>
        <v>1589684.95</v>
      </c>
      <c r="CS73" s="398">
        <f t="shared" si="384"/>
        <v>1708831.38</v>
      </c>
      <c r="CT73" s="399">
        <f t="shared" si="384"/>
        <v>1569756.91</v>
      </c>
      <c r="CU73" s="400">
        <f t="shared" ref="CU73:DJ73" si="385">SUM(CU71:CU72)</f>
        <v>1554424.91</v>
      </c>
      <c r="CV73" s="400">
        <f t="shared" si="385"/>
        <v>1430491.85</v>
      </c>
      <c r="CW73" s="400">
        <f t="shared" si="385"/>
        <v>1497728.26</v>
      </c>
      <c r="CX73" s="400">
        <f t="shared" si="385"/>
        <v>1717216.89</v>
      </c>
      <c r="CY73" s="400">
        <f t="shared" si="385"/>
        <v>1835536.1900000002</v>
      </c>
      <c r="CZ73" s="400">
        <f t="shared" si="385"/>
        <v>1606506.01</v>
      </c>
      <c r="DA73" s="400">
        <f t="shared" si="385"/>
        <v>1762287.52</v>
      </c>
      <c r="DB73" s="400">
        <f t="shared" si="385"/>
        <v>1782967.4300000002</v>
      </c>
      <c r="DC73" s="400">
        <f t="shared" si="385"/>
        <v>1735394.94</v>
      </c>
      <c r="DD73" s="400">
        <f t="shared" si="385"/>
        <v>1643912.28</v>
      </c>
      <c r="DE73" s="400">
        <f t="shared" si="385"/>
        <v>1626968.36</v>
      </c>
      <c r="DF73" s="399">
        <f t="shared" si="385"/>
        <v>1619218.5</v>
      </c>
      <c r="DG73" s="400">
        <f t="shared" si="385"/>
        <v>1673283.21</v>
      </c>
      <c r="DH73" s="400">
        <f t="shared" si="385"/>
        <v>1558918.1400000001</v>
      </c>
      <c r="DI73" s="400">
        <f t="shared" si="385"/>
        <v>1441935.82</v>
      </c>
      <c r="DJ73" s="400">
        <f t="shared" si="385"/>
        <v>1708419.7000000002</v>
      </c>
      <c r="DK73" s="400">
        <f t="shared" ref="DK73:FQ73" si="386">SUM(DK71:DK72)</f>
        <v>1743437.01</v>
      </c>
      <c r="DL73" s="400">
        <f t="shared" si="386"/>
        <v>1749667.95</v>
      </c>
      <c r="DM73" s="400">
        <f t="shared" si="386"/>
        <v>1648149.88</v>
      </c>
      <c r="DN73" s="400">
        <f t="shared" si="386"/>
        <v>1627734.8150000002</v>
      </c>
      <c r="DO73" s="400">
        <f t="shared" si="386"/>
        <v>1680742.8499999999</v>
      </c>
      <c r="DP73" s="400">
        <f t="shared" si="386"/>
        <v>1741494.1199999999</v>
      </c>
      <c r="DQ73" s="400">
        <f t="shared" si="386"/>
        <v>1572143.47</v>
      </c>
      <c r="DR73" s="400">
        <f t="shared" si="386"/>
        <v>1591150.88</v>
      </c>
      <c r="DS73" s="400">
        <f t="shared" si="386"/>
        <v>1576866.59</v>
      </c>
      <c r="DT73" s="400">
        <f t="shared" si="386"/>
        <v>1574018.47</v>
      </c>
      <c r="DU73" s="400">
        <f t="shared" si="386"/>
        <v>1475455.9699999997</v>
      </c>
      <c r="DV73" s="402">
        <f t="shared" si="386"/>
        <v>1642446.9700000002</v>
      </c>
      <c r="DW73" s="402">
        <f t="shared" si="386"/>
        <v>1610490.65</v>
      </c>
      <c r="DX73" s="402">
        <f t="shared" si="386"/>
        <v>1655078.78</v>
      </c>
      <c r="DY73" s="402">
        <f t="shared" si="386"/>
        <v>1689407.2</v>
      </c>
      <c r="DZ73" s="402">
        <f t="shared" si="386"/>
        <v>1617065.885</v>
      </c>
      <c r="EA73" s="402">
        <f t="shared" si="386"/>
        <v>1734247.35</v>
      </c>
      <c r="EB73" s="402">
        <f t="shared" si="386"/>
        <v>1660905.6500000001</v>
      </c>
      <c r="EC73" s="402">
        <f t="shared" si="386"/>
        <v>1584362.33</v>
      </c>
      <c r="ED73" s="489">
        <f t="shared" si="386"/>
        <v>1512157.23</v>
      </c>
      <c r="EE73" s="489">
        <f t="shared" si="386"/>
        <v>1482540.48</v>
      </c>
      <c r="EF73" s="489">
        <f t="shared" si="386"/>
        <v>1546970.51</v>
      </c>
      <c r="EG73" s="489">
        <f t="shared" si="386"/>
        <v>1444705.98</v>
      </c>
      <c r="EH73" s="489">
        <f t="shared" si="386"/>
        <v>1732083.42</v>
      </c>
      <c r="EI73" s="489">
        <f t="shared" si="386"/>
        <v>1761784.96</v>
      </c>
      <c r="EJ73" s="489">
        <f t="shared" si="386"/>
        <v>1889836.8199999998</v>
      </c>
      <c r="EK73" s="489">
        <f t="shared" si="386"/>
        <v>1629385.7199999997</v>
      </c>
      <c r="EL73" s="489">
        <f t="shared" si="386"/>
        <v>1749442.6</v>
      </c>
      <c r="EM73" s="489">
        <f t="shared" si="386"/>
        <v>1841404.4499999997</v>
      </c>
      <c r="EN73" s="489">
        <f t="shared" si="386"/>
        <v>1661252.81</v>
      </c>
      <c r="EO73" s="489">
        <f t="shared" si="386"/>
        <v>1800075.92</v>
      </c>
      <c r="EP73" s="489">
        <f t="shared" si="386"/>
        <v>1737697.06</v>
      </c>
      <c r="EQ73" s="489">
        <f t="shared" si="386"/>
        <v>1580899.9</v>
      </c>
      <c r="ER73" s="489">
        <f t="shared" si="386"/>
        <v>1757773.26</v>
      </c>
      <c r="ES73" s="489">
        <f t="shared" si="386"/>
        <v>1598864.62</v>
      </c>
      <c r="ET73" s="489">
        <f t="shared" si="386"/>
        <v>1703225.3199999998</v>
      </c>
      <c r="EU73" s="489">
        <f t="shared" si="386"/>
        <v>1667060.85</v>
      </c>
      <c r="EV73" s="489">
        <f t="shared" si="386"/>
        <v>1919864.3800000001</v>
      </c>
      <c r="EW73" s="489">
        <f t="shared" si="386"/>
        <v>1818274.6800000002</v>
      </c>
      <c r="EX73" s="489">
        <f t="shared" si="386"/>
        <v>1927243.91</v>
      </c>
      <c r="EY73" s="489">
        <f t="shared" si="386"/>
        <v>1961025.86</v>
      </c>
      <c r="EZ73" s="489">
        <f t="shared" si="386"/>
        <v>1871797.9700000002</v>
      </c>
      <c r="FA73" s="489">
        <f t="shared" si="386"/>
        <v>1933164.1099999999</v>
      </c>
      <c r="FB73" s="489">
        <f t="shared" si="386"/>
        <v>1897059.7000000002</v>
      </c>
      <c r="FC73" s="489">
        <f t="shared" si="386"/>
        <v>1832730.16</v>
      </c>
      <c r="FD73" s="489">
        <f t="shared" si="386"/>
        <v>1538536.43</v>
      </c>
      <c r="FE73" s="489">
        <f t="shared" si="386"/>
        <v>1972971.73</v>
      </c>
      <c r="FF73" s="489">
        <f t="shared" si="386"/>
        <v>1761980.0399999998</v>
      </c>
      <c r="FG73" s="489">
        <f t="shared" si="386"/>
        <v>1847841.57</v>
      </c>
      <c r="FH73" s="489">
        <f t="shared" si="386"/>
        <v>2049846.7199999997</v>
      </c>
      <c r="FI73" s="489">
        <f t="shared" si="386"/>
        <v>1973952.2800000003</v>
      </c>
      <c r="FJ73" s="489">
        <f t="shared" si="386"/>
        <v>2106051.29</v>
      </c>
      <c r="FK73" s="489">
        <f t="shared" si="386"/>
        <v>1858728.98</v>
      </c>
      <c r="FL73" s="489">
        <f t="shared" si="386"/>
        <v>1851369.25</v>
      </c>
      <c r="FM73" s="489">
        <f t="shared" si="386"/>
        <v>1938619.8399999999</v>
      </c>
      <c r="FN73" s="489">
        <f t="shared" si="386"/>
        <v>1825610.1520000002</v>
      </c>
      <c r="FO73" s="489">
        <f t="shared" si="386"/>
        <v>1773841.4799999997</v>
      </c>
      <c r="FP73" s="489">
        <f t="shared" si="386"/>
        <v>1789812.05</v>
      </c>
      <c r="FQ73" s="489">
        <f t="shared" si="386"/>
        <v>2094073.3</v>
      </c>
      <c r="FR73" s="489">
        <f t="shared" ref="FR73:FT73" si="387">SUM(FR71:FR72)</f>
        <v>1942001.77</v>
      </c>
      <c r="FS73" s="489">
        <f t="shared" si="387"/>
        <v>2012426.6400000001</v>
      </c>
      <c r="FT73" s="489">
        <f t="shared" si="387"/>
        <v>2622113.2999999998</v>
      </c>
    </row>
    <row r="74" spans="2:176" s="345" customFormat="1" ht="13.5" hidden="1" customHeight="1" x14ac:dyDescent="0.25">
      <c r="B74" s="443" t="s">
        <v>10</v>
      </c>
      <c r="C74" s="444">
        <f t="shared" ref="C74:Q74" si="388">SUM(C71)/C73</f>
        <v>0.90935647403841724</v>
      </c>
      <c r="D74" s="444">
        <f t="shared" si="388"/>
        <v>0.31387061763392476</v>
      </c>
      <c r="E74" s="445">
        <f t="shared" si="388"/>
        <v>0.18312229672192623</v>
      </c>
      <c r="F74" s="445">
        <f t="shared" si="388"/>
        <v>0.53796195985820339</v>
      </c>
      <c r="G74" s="445">
        <f t="shared" si="388"/>
        <v>0.48358916372460731</v>
      </c>
      <c r="H74" s="445">
        <f t="shared" si="388"/>
        <v>0.55744756962933351</v>
      </c>
      <c r="I74" s="445">
        <f t="shared" si="388"/>
        <v>0.41813245917372621</v>
      </c>
      <c r="J74" s="445">
        <f t="shared" si="388"/>
        <v>0.62674553662244448</v>
      </c>
      <c r="K74" s="446">
        <f t="shared" si="388"/>
        <v>0.47929136455578053</v>
      </c>
      <c r="L74" s="445">
        <f t="shared" si="388"/>
        <v>0.49078027704082394</v>
      </c>
      <c r="M74" s="445">
        <f t="shared" si="388"/>
        <v>0.31952107115329181</v>
      </c>
      <c r="N74" s="447">
        <f t="shared" si="388"/>
        <v>0.36469440508785744</v>
      </c>
      <c r="O74" s="446">
        <f t="shared" si="388"/>
        <v>0.43354711194315165</v>
      </c>
      <c r="P74" s="446">
        <f t="shared" si="388"/>
        <v>0.42115654493177312</v>
      </c>
      <c r="Q74" s="445">
        <f t="shared" si="388"/>
        <v>0.46222451265493286</v>
      </c>
      <c r="R74" s="445">
        <f>SUM(R71)/R73</f>
        <v>0.42216160702331884</v>
      </c>
      <c r="S74" s="445">
        <f>SUM(S71)/S73</f>
        <v>0.32970813847627539</v>
      </c>
      <c r="T74" s="445">
        <f>SUM(T71)/T73</f>
        <v>0.35387696054386142</v>
      </c>
      <c r="U74" s="445">
        <f t="shared" ref="U74:Z74" si="389">SUM(U71)/U73</f>
        <v>0.36909223819010578</v>
      </c>
      <c r="V74" s="445">
        <f t="shared" si="389"/>
        <v>0.38757513979886493</v>
      </c>
      <c r="W74" s="445">
        <f t="shared" si="389"/>
        <v>0.37822721408411691</v>
      </c>
      <c r="X74" s="445">
        <f t="shared" si="389"/>
        <v>0.37804176076791973</v>
      </c>
      <c r="Y74" s="445">
        <f t="shared" si="389"/>
        <v>0.35834806613485132</v>
      </c>
      <c r="Z74" s="447">
        <f t="shared" si="389"/>
        <v>0.37115028988005322</v>
      </c>
      <c r="AA74" s="445">
        <f t="shared" ref="AA74:AF74" si="390">SUM(AA71)/AA73</f>
        <v>0.34998558574044053</v>
      </c>
      <c r="AB74" s="445">
        <f t="shared" si="390"/>
        <v>0.30741430440410722</v>
      </c>
      <c r="AC74" s="445">
        <f t="shared" si="390"/>
        <v>0.34466399402781261</v>
      </c>
      <c r="AD74" s="445">
        <f t="shared" si="390"/>
        <v>0.31242388448027103</v>
      </c>
      <c r="AE74" s="445">
        <f t="shared" si="390"/>
        <v>0.30872597672605145</v>
      </c>
      <c r="AF74" s="445">
        <f t="shared" si="390"/>
        <v>0.30760881276531826</v>
      </c>
      <c r="AG74" s="445">
        <f t="shared" ref="AG74:AL74" si="391">SUM(AG71)/AG73</f>
        <v>0.32398084911806951</v>
      </c>
      <c r="AH74" s="445">
        <f t="shared" si="391"/>
        <v>0.31403129510623107</v>
      </c>
      <c r="AI74" s="445">
        <f t="shared" si="391"/>
        <v>0.31369851238579466</v>
      </c>
      <c r="AJ74" s="445">
        <f t="shared" si="391"/>
        <v>0.30622564209333142</v>
      </c>
      <c r="AK74" s="445">
        <f t="shared" si="391"/>
        <v>0.31366885404630407</v>
      </c>
      <c r="AL74" s="447">
        <f t="shared" si="391"/>
        <v>0.28902513642125921</v>
      </c>
      <c r="AM74" s="445">
        <f t="shared" ref="AM74:AR74" si="392">SUM(AM71)/AM73</f>
        <v>0.31495346571861743</v>
      </c>
      <c r="AN74" s="445">
        <f t="shared" si="392"/>
        <v>0.38767038245610769</v>
      </c>
      <c r="AO74" s="445">
        <f t="shared" si="392"/>
        <v>0.34076044934660488</v>
      </c>
      <c r="AP74" s="445">
        <f t="shared" si="392"/>
        <v>0.37657980419739634</v>
      </c>
      <c r="AQ74" s="445">
        <f t="shared" si="392"/>
        <v>0.3771735878205183</v>
      </c>
      <c r="AR74" s="445">
        <f t="shared" si="392"/>
        <v>0.37634467353773043</v>
      </c>
      <c r="AS74" s="445">
        <f t="shared" ref="AS74:AX74" si="393">SUM(AS71)/AS73</f>
        <v>0.39052789150003303</v>
      </c>
      <c r="AT74" s="445">
        <f t="shared" si="393"/>
        <v>0.39504219403811641</v>
      </c>
      <c r="AU74" s="445">
        <f t="shared" si="393"/>
        <v>0.38349289851148771</v>
      </c>
      <c r="AV74" s="445">
        <f t="shared" si="393"/>
        <v>0.40329900869989832</v>
      </c>
      <c r="AW74" s="445">
        <f t="shared" si="393"/>
        <v>0.38583728211236568</v>
      </c>
      <c r="AX74" s="447">
        <f t="shared" si="393"/>
        <v>0.37655898861281706</v>
      </c>
      <c r="AY74" s="445">
        <f t="shared" ref="AY74:BD74" si="394">SUM(AY71)/AY73</f>
        <v>0.39249106632898717</v>
      </c>
      <c r="AZ74" s="445">
        <f t="shared" si="394"/>
        <v>0.40573755631205283</v>
      </c>
      <c r="BA74" s="445">
        <f t="shared" si="394"/>
        <v>0.38164911891200048</v>
      </c>
      <c r="BB74" s="445">
        <f t="shared" si="394"/>
        <v>0.34774686506606528</v>
      </c>
      <c r="BC74" s="445">
        <f t="shared" si="394"/>
        <v>0.34717881161060127</v>
      </c>
      <c r="BD74" s="445">
        <f t="shared" si="394"/>
        <v>0.3858625966113271</v>
      </c>
      <c r="BE74" s="445">
        <f t="shared" ref="BE74:BJ74" si="395">SUM(BE71)/BE73</f>
        <v>0.38190622915876693</v>
      </c>
      <c r="BF74" s="445">
        <f t="shared" si="395"/>
        <v>0.38371136349640106</v>
      </c>
      <c r="BG74" s="445">
        <f t="shared" si="395"/>
        <v>0.40467402892701204</v>
      </c>
      <c r="BH74" s="445">
        <f t="shared" si="395"/>
        <v>0.37123148842191805</v>
      </c>
      <c r="BI74" s="445">
        <f t="shared" si="395"/>
        <v>0.385181561927396</v>
      </c>
      <c r="BJ74" s="447">
        <f t="shared" si="395"/>
        <v>0.39029792263274699</v>
      </c>
      <c r="BK74" s="445">
        <f t="shared" ref="BK74:BV74" si="396">SUM(BK71)/BK73</f>
        <v>0.41694510314437716</v>
      </c>
      <c r="BL74" s="445">
        <f t="shared" si="396"/>
        <v>0.41147012080163187</v>
      </c>
      <c r="BM74" s="445">
        <f t="shared" si="396"/>
        <v>0.39656358840785977</v>
      </c>
      <c r="BN74" s="445">
        <f t="shared" si="396"/>
        <v>0.35765099177375331</v>
      </c>
      <c r="BO74" s="445">
        <f t="shared" si="396"/>
        <v>0.36205097027573691</v>
      </c>
      <c r="BP74" s="445">
        <f t="shared" si="396"/>
        <v>0.37074667074397255</v>
      </c>
      <c r="BQ74" s="445">
        <f t="shared" si="396"/>
        <v>0.37940917937988738</v>
      </c>
      <c r="BR74" s="445">
        <f t="shared" si="396"/>
        <v>0.39292411650597586</v>
      </c>
      <c r="BS74" s="445">
        <f t="shared" si="396"/>
        <v>0.392839354704349</v>
      </c>
      <c r="BT74" s="445">
        <f t="shared" si="396"/>
        <v>0.40232799654406037</v>
      </c>
      <c r="BU74" s="445">
        <f t="shared" si="396"/>
        <v>0.38762312970007273</v>
      </c>
      <c r="BV74" s="447">
        <f t="shared" si="396"/>
        <v>0.38153354951604346</v>
      </c>
      <c r="BW74" s="445">
        <f t="shared" ref="BW74:CB74" si="397">SUM(BW71)/BW73</f>
        <v>0.40940210979339159</v>
      </c>
      <c r="BX74" s="445">
        <f t="shared" si="397"/>
        <v>0.43724157830871063</v>
      </c>
      <c r="BY74" s="445">
        <f t="shared" si="397"/>
        <v>0.40570205608297899</v>
      </c>
      <c r="BZ74" s="445">
        <f t="shared" si="397"/>
        <v>0.36236006496112516</v>
      </c>
      <c r="CA74" s="445">
        <f t="shared" si="397"/>
        <v>0.3814238421208519</v>
      </c>
      <c r="CB74" s="445">
        <f t="shared" si="397"/>
        <v>0.38513955412549417</v>
      </c>
      <c r="CC74" s="445">
        <f t="shared" ref="CC74:CH74" si="398">SUM(CC71)/CC73</f>
        <v>0.38832559095434249</v>
      </c>
      <c r="CD74" s="445">
        <f t="shared" si="398"/>
        <v>0.41276742771233638</v>
      </c>
      <c r="CE74" s="445">
        <f t="shared" si="398"/>
        <v>0.40597527572516856</v>
      </c>
      <c r="CF74" s="445">
        <f t="shared" si="398"/>
        <v>0.37171410911932234</v>
      </c>
      <c r="CG74" s="445">
        <f t="shared" si="398"/>
        <v>0.32595089698279345</v>
      </c>
      <c r="CH74" s="445">
        <f t="shared" si="398"/>
        <v>0.34388571039029908</v>
      </c>
      <c r="CI74" s="407">
        <f t="shared" ref="CI74:DJ74" si="399">SUM(CI71)/CI73</f>
        <v>0.38364208337615269</v>
      </c>
      <c r="CJ74" s="405">
        <f t="shared" si="399"/>
        <v>0.33452035508644828</v>
      </c>
      <c r="CK74" s="405">
        <f t="shared" si="399"/>
        <v>0.31222750042824765</v>
      </c>
      <c r="CL74" s="405">
        <f t="shared" si="399"/>
        <v>0.3382346699024773</v>
      </c>
      <c r="CM74" s="405">
        <f t="shared" si="399"/>
        <v>0.326794126687868</v>
      </c>
      <c r="CN74" s="405">
        <f t="shared" si="399"/>
        <v>0.31869331773116016</v>
      </c>
      <c r="CO74" s="405">
        <f t="shared" si="399"/>
        <v>0.28022022939936814</v>
      </c>
      <c r="CP74" s="405">
        <f t="shared" si="399"/>
        <v>0.29105429832713514</v>
      </c>
      <c r="CQ74" s="405">
        <f t="shared" si="399"/>
        <v>0.28388789583055141</v>
      </c>
      <c r="CR74" s="405">
        <f t="shared" si="399"/>
        <v>0.29820668554483076</v>
      </c>
      <c r="CS74" s="405">
        <f t="shared" si="399"/>
        <v>0.28114133180302436</v>
      </c>
      <c r="CT74" s="406">
        <f t="shared" si="399"/>
        <v>0.28499193547107876</v>
      </c>
      <c r="CU74" s="405">
        <f t="shared" si="399"/>
        <v>0.29150373690292958</v>
      </c>
      <c r="CV74" s="405">
        <f t="shared" si="399"/>
        <v>0.22923811135309857</v>
      </c>
      <c r="CW74" s="405">
        <f t="shared" si="399"/>
        <v>0.21542744342688708</v>
      </c>
      <c r="CX74" s="405">
        <f t="shared" si="399"/>
        <v>0.21190700610917004</v>
      </c>
      <c r="CY74" s="405">
        <f t="shared" si="399"/>
        <v>0.18041243850386843</v>
      </c>
      <c r="CZ74" s="405">
        <f t="shared" si="399"/>
        <v>0.22190749849731342</v>
      </c>
      <c r="DA74" s="405">
        <f t="shared" si="399"/>
        <v>0.20813314276889391</v>
      </c>
      <c r="DB74" s="405">
        <f t="shared" si="399"/>
        <v>0.20126613866412577</v>
      </c>
      <c r="DC74" s="405">
        <f t="shared" si="399"/>
        <v>0.21435334483572943</v>
      </c>
      <c r="DD74" s="405">
        <f t="shared" si="399"/>
        <v>0.21769075172307856</v>
      </c>
      <c r="DE74" s="405">
        <f t="shared" si="399"/>
        <v>0.20316793991002996</v>
      </c>
      <c r="DF74" s="406">
        <f t="shared" si="399"/>
        <v>0.18442699363921544</v>
      </c>
      <c r="DG74" s="405">
        <f t="shared" si="399"/>
        <v>0.18517972220614107</v>
      </c>
      <c r="DH74" s="405">
        <f t="shared" si="399"/>
        <v>0.20321698867395308</v>
      </c>
      <c r="DI74" s="405">
        <f t="shared" si="399"/>
        <v>0.2113714672820875</v>
      </c>
      <c r="DJ74" s="405">
        <f t="shared" si="399"/>
        <v>0.21401544948234905</v>
      </c>
      <c r="DK74" s="405">
        <f t="shared" ref="DK74:FQ74" si="400">SUM(DK71)/DK73</f>
        <v>0.2262615728227543</v>
      </c>
      <c r="DL74" s="405">
        <f t="shared" si="400"/>
        <v>0.22825458396263135</v>
      </c>
      <c r="DM74" s="405">
        <f t="shared" si="400"/>
        <v>0.23893479881817545</v>
      </c>
      <c r="DN74" s="405">
        <f t="shared" si="400"/>
        <v>0.2539804894447748</v>
      </c>
      <c r="DO74" s="405">
        <f t="shared" si="400"/>
        <v>0.24683097119824129</v>
      </c>
      <c r="DP74" s="405">
        <f t="shared" si="400"/>
        <v>0.2398990299203537</v>
      </c>
      <c r="DQ74" s="405">
        <f t="shared" si="400"/>
        <v>0.23205622575909055</v>
      </c>
      <c r="DR74" s="405">
        <f t="shared" si="400"/>
        <v>0.23370867884006072</v>
      </c>
      <c r="DS74" s="405">
        <f t="shared" si="400"/>
        <v>0.2414793758804922</v>
      </c>
      <c r="DT74" s="405">
        <f t="shared" si="400"/>
        <v>0.23120492988878333</v>
      </c>
      <c r="DU74" s="405">
        <f t="shared" si="400"/>
        <v>0.24447365243979463</v>
      </c>
      <c r="DV74" s="408">
        <f t="shared" si="400"/>
        <v>0.24434421770098305</v>
      </c>
      <c r="DW74" s="408">
        <f t="shared" si="400"/>
        <v>0.2258910972255567</v>
      </c>
      <c r="DX74" s="408">
        <f t="shared" si="400"/>
        <v>0.24440698224648857</v>
      </c>
      <c r="DY74" s="408">
        <f t="shared" si="400"/>
        <v>0.25959136435549701</v>
      </c>
      <c r="DZ74" s="408">
        <f t="shared" si="400"/>
        <v>0.25188795940741776</v>
      </c>
      <c r="EA74" s="408">
        <f t="shared" si="400"/>
        <v>0.25077270551977493</v>
      </c>
      <c r="EB74" s="408">
        <f t="shared" si="400"/>
        <v>0.24356957302180288</v>
      </c>
      <c r="EC74" s="408">
        <f t="shared" si="400"/>
        <v>0.25611077864998211</v>
      </c>
      <c r="ED74" s="491">
        <f t="shared" si="400"/>
        <v>0.25642873790313458</v>
      </c>
      <c r="EE74" s="491">
        <f t="shared" si="400"/>
        <v>0.23111984099078359</v>
      </c>
      <c r="EF74" s="491">
        <f t="shared" si="400"/>
        <v>0.21451086355873711</v>
      </c>
      <c r="EG74" s="491">
        <f t="shared" si="400"/>
        <v>0.2196512608053301</v>
      </c>
      <c r="EH74" s="491">
        <f t="shared" si="400"/>
        <v>0.20231812507044264</v>
      </c>
      <c r="EI74" s="491">
        <f t="shared" si="400"/>
        <v>0.21020114168757578</v>
      </c>
      <c r="EJ74" s="491">
        <f t="shared" si="400"/>
        <v>0.19432545504113952</v>
      </c>
      <c r="EK74" s="491">
        <f t="shared" si="400"/>
        <v>0.21741928608531078</v>
      </c>
      <c r="EL74" s="491">
        <f t="shared" si="400"/>
        <v>0.19832676990945572</v>
      </c>
      <c r="EM74" s="491">
        <f t="shared" si="400"/>
        <v>0.20212649100527591</v>
      </c>
      <c r="EN74" s="491">
        <f t="shared" si="400"/>
        <v>0.23344914011010764</v>
      </c>
      <c r="EO74" s="491">
        <f t="shared" si="400"/>
        <v>0.21339903263635682</v>
      </c>
      <c r="EP74" s="491">
        <f t="shared" si="400"/>
        <v>0.19687381527825107</v>
      </c>
      <c r="EQ74" s="491">
        <f t="shared" si="400"/>
        <v>0.20689779915856787</v>
      </c>
      <c r="ER74" s="491">
        <f t="shared" si="400"/>
        <v>0.19322514327018492</v>
      </c>
      <c r="ES74" s="491">
        <f t="shared" si="400"/>
        <v>0.2072330551663592</v>
      </c>
      <c r="ET74" s="491">
        <f t="shared" si="400"/>
        <v>0.19482984200822004</v>
      </c>
      <c r="EU74" s="491">
        <f t="shared" si="400"/>
        <v>0.21284789334474502</v>
      </c>
      <c r="EV74" s="491">
        <f t="shared" si="400"/>
        <v>0.19612703059785919</v>
      </c>
      <c r="EW74" s="491">
        <f t="shared" si="400"/>
        <v>0.18705968011389784</v>
      </c>
      <c r="EX74" s="491">
        <f t="shared" si="400"/>
        <v>0.16282568509971321</v>
      </c>
      <c r="EY74" s="491">
        <f t="shared" si="400"/>
        <v>0.14998184164690209</v>
      </c>
      <c r="EZ74" s="491">
        <f t="shared" si="400"/>
        <v>0.15060571948371113</v>
      </c>
      <c r="FA74" s="491">
        <f t="shared" si="400"/>
        <v>0.15794815785194774</v>
      </c>
      <c r="FB74" s="491">
        <f t="shared" si="400"/>
        <v>0.13326615920416207</v>
      </c>
      <c r="FC74" s="491">
        <f t="shared" si="400"/>
        <v>0.14917999166882265</v>
      </c>
      <c r="FD74" s="491">
        <f t="shared" si="400"/>
        <v>0.16644987730319782</v>
      </c>
      <c r="FE74" s="491">
        <f t="shared" si="400"/>
        <v>0.1534603944882677</v>
      </c>
      <c r="FF74" s="491">
        <f t="shared" si="400"/>
        <v>0.14474494274066804</v>
      </c>
      <c r="FG74" s="491">
        <f t="shared" si="400"/>
        <v>0.14252317096643732</v>
      </c>
      <c r="FH74" s="491">
        <f t="shared" si="400"/>
        <v>0.13182310041211279</v>
      </c>
      <c r="FI74" s="491">
        <f t="shared" si="400"/>
        <v>0.13460423673463875</v>
      </c>
      <c r="FJ74" s="491">
        <f t="shared" si="400"/>
        <v>0.13784936833138567</v>
      </c>
      <c r="FK74" s="491">
        <f t="shared" si="400"/>
        <v>0.14452601906492038</v>
      </c>
      <c r="FL74" s="491">
        <f t="shared" si="400"/>
        <v>0.14549842501705157</v>
      </c>
      <c r="FM74" s="491">
        <f t="shared" si="400"/>
        <v>0.14508061054404561</v>
      </c>
      <c r="FN74" s="491">
        <f t="shared" si="400"/>
        <v>0.14660682715134243</v>
      </c>
      <c r="FO74" s="491">
        <f t="shared" si="400"/>
        <v>0.15261223905982851</v>
      </c>
      <c r="FP74" s="491">
        <f t="shared" si="400"/>
        <v>0.13813653226884912</v>
      </c>
      <c r="FQ74" s="491">
        <f t="shared" si="400"/>
        <v>0.12502227118792833</v>
      </c>
      <c r="FR74" s="491">
        <f t="shared" ref="FR74:FT74" si="401">SUM(FR71)/FR73</f>
        <v>0.13826417882204095</v>
      </c>
      <c r="FS74" s="491">
        <f t="shared" si="401"/>
        <v>0.1242178348424169</v>
      </c>
      <c r="FT74" s="491">
        <f t="shared" si="401"/>
        <v>0.14542280457522566</v>
      </c>
    </row>
    <row r="75" spans="2:176" s="345" customFormat="1" ht="13.5" hidden="1" customHeight="1" thickBot="1" x14ac:dyDescent="0.3">
      <c r="B75" s="417" t="s">
        <v>11</v>
      </c>
      <c r="C75" s="448">
        <f t="shared" ref="C75:Q75" si="402">SUM(C72/C73)</f>
        <v>9.0643525961582802E-2</v>
      </c>
      <c r="D75" s="448">
        <f t="shared" si="402"/>
        <v>0.68612938236607524</v>
      </c>
      <c r="E75" s="449">
        <f t="shared" si="402"/>
        <v>0.81687770327807374</v>
      </c>
      <c r="F75" s="449">
        <f t="shared" si="402"/>
        <v>0.46203804014179667</v>
      </c>
      <c r="G75" s="449">
        <f t="shared" si="402"/>
        <v>0.51641083627539264</v>
      </c>
      <c r="H75" s="449">
        <f t="shared" si="402"/>
        <v>0.44255243037066644</v>
      </c>
      <c r="I75" s="449">
        <f t="shared" si="402"/>
        <v>0.58186754082627368</v>
      </c>
      <c r="J75" s="449">
        <f t="shared" si="402"/>
        <v>0.37325446337755547</v>
      </c>
      <c r="K75" s="450">
        <f t="shared" si="402"/>
        <v>0.52070863544421941</v>
      </c>
      <c r="L75" s="449">
        <f t="shared" si="402"/>
        <v>0.50921972295917606</v>
      </c>
      <c r="M75" s="449">
        <f t="shared" si="402"/>
        <v>0.68047892884670824</v>
      </c>
      <c r="N75" s="451">
        <f t="shared" si="402"/>
        <v>0.63530559491214256</v>
      </c>
      <c r="O75" s="450">
        <f t="shared" si="402"/>
        <v>0.56645288805684835</v>
      </c>
      <c r="P75" s="450">
        <f t="shared" si="402"/>
        <v>0.57884345506822688</v>
      </c>
      <c r="Q75" s="449">
        <f t="shared" si="402"/>
        <v>0.53777548734506708</v>
      </c>
      <c r="R75" s="449">
        <f>SUM(R72/R73)</f>
        <v>0.57783839297668116</v>
      </c>
      <c r="S75" s="449">
        <f>SUM(S72/S73)</f>
        <v>0.67029186152372455</v>
      </c>
      <c r="T75" s="449">
        <f>SUM(T72/T73)</f>
        <v>0.64612303945613847</v>
      </c>
      <c r="U75" s="449">
        <f t="shared" ref="U75:Z75" si="403">SUM(U72/U73)</f>
        <v>0.63090776180989416</v>
      </c>
      <c r="V75" s="449">
        <f t="shared" si="403"/>
        <v>0.61242486020113496</v>
      </c>
      <c r="W75" s="449">
        <f t="shared" si="403"/>
        <v>0.62177278591588303</v>
      </c>
      <c r="X75" s="449">
        <f t="shared" si="403"/>
        <v>0.62195823923208027</v>
      </c>
      <c r="Y75" s="449">
        <f t="shared" si="403"/>
        <v>0.64165193386514863</v>
      </c>
      <c r="Z75" s="451">
        <f t="shared" si="403"/>
        <v>0.62884971011994673</v>
      </c>
      <c r="AA75" s="449">
        <f t="shared" ref="AA75:AF75" si="404">SUM(AA72/AA73)</f>
        <v>0.65001441425955953</v>
      </c>
      <c r="AB75" s="449">
        <f t="shared" si="404"/>
        <v>0.69258569559589278</v>
      </c>
      <c r="AC75" s="449">
        <f t="shared" si="404"/>
        <v>0.65533600597218744</v>
      </c>
      <c r="AD75" s="449">
        <f t="shared" si="404"/>
        <v>0.68757611551972886</v>
      </c>
      <c r="AE75" s="449">
        <f t="shared" si="404"/>
        <v>0.6912740232739486</v>
      </c>
      <c r="AF75" s="449">
        <f t="shared" si="404"/>
        <v>0.69239118723468174</v>
      </c>
      <c r="AG75" s="449">
        <f t="shared" ref="AG75:AL75" si="405">SUM(AG72/AG73)</f>
        <v>0.67601915088193054</v>
      </c>
      <c r="AH75" s="449">
        <f t="shared" si="405"/>
        <v>0.68596870489376882</v>
      </c>
      <c r="AI75" s="449">
        <f t="shared" si="405"/>
        <v>0.6863014876142054</v>
      </c>
      <c r="AJ75" s="449">
        <f t="shared" si="405"/>
        <v>0.69377435790666853</v>
      </c>
      <c r="AK75" s="449">
        <f t="shared" si="405"/>
        <v>0.68633114595369582</v>
      </c>
      <c r="AL75" s="451">
        <f t="shared" si="405"/>
        <v>0.71097486357874085</v>
      </c>
      <c r="AM75" s="449">
        <f t="shared" ref="AM75:AR75" si="406">SUM(AM72/AM73)</f>
        <v>0.68504653428138251</v>
      </c>
      <c r="AN75" s="449">
        <f t="shared" si="406"/>
        <v>0.61232961754389226</v>
      </c>
      <c r="AO75" s="449">
        <f t="shared" si="406"/>
        <v>0.65923955065339501</v>
      </c>
      <c r="AP75" s="449">
        <f t="shared" si="406"/>
        <v>0.62342019580260355</v>
      </c>
      <c r="AQ75" s="449">
        <f t="shared" si="406"/>
        <v>0.62282641217948176</v>
      </c>
      <c r="AR75" s="449">
        <f t="shared" si="406"/>
        <v>0.62365532646226951</v>
      </c>
      <c r="AS75" s="449">
        <f t="shared" ref="AS75:AX75" si="407">SUM(AS72/AS73)</f>
        <v>0.60947210849996702</v>
      </c>
      <c r="AT75" s="449">
        <f t="shared" si="407"/>
        <v>0.60495780596188364</v>
      </c>
      <c r="AU75" s="449">
        <f t="shared" si="407"/>
        <v>0.61650710148851229</v>
      </c>
      <c r="AV75" s="449">
        <f t="shared" si="407"/>
        <v>0.59670099130010157</v>
      </c>
      <c r="AW75" s="449">
        <f t="shared" si="407"/>
        <v>0.61416271788763432</v>
      </c>
      <c r="AX75" s="451">
        <f t="shared" si="407"/>
        <v>0.62344101138718289</v>
      </c>
      <c r="AY75" s="449">
        <f t="shared" ref="AY75:BD75" si="408">SUM(AY72/AY73)</f>
        <v>0.60750893367101289</v>
      </c>
      <c r="AZ75" s="449">
        <f t="shared" si="408"/>
        <v>0.59426244368794723</v>
      </c>
      <c r="BA75" s="449">
        <f t="shared" si="408"/>
        <v>0.61835088108799952</v>
      </c>
      <c r="BB75" s="449">
        <f t="shared" si="408"/>
        <v>0.65225313493393478</v>
      </c>
      <c r="BC75" s="449">
        <f t="shared" si="408"/>
        <v>0.65282118838939873</v>
      </c>
      <c r="BD75" s="449">
        <f t="shared" si="408"/>
        <v>0.61413740338867284</v>
      </c>
      <c r="BE75" s="449">
        <f t="shared" ref="BE75:BP75" si="409">SUM(BE72/BE73)</f>
        <v>0.61809377084123296</v>
      </c>
      <c r="BF75" s="449">
        <f t="shared" si="409"/>
        <v>0.61628863650359889</v>
      </c>
      <c r="BG75" s="449">
        <f t="shared" si="409"/>
        <v>0.59532597107298801</v>
      </c>
      <c r="BH75" s="449">
        <f t="shared" si="409"/>
        <v>0.62876851157808189</v>
      </c>
      <c r="BI75" s="449">
        <f t="shared" si="409"/>
        <v>0.61481843807260395</v>
      </c>
      <c r="BJ75" s="451">
        <f t="shared" si="409"/>
        <v>0.60970207736725301</v>
      </c>
      <c r="BK75" s="449">
        <f t="shared" si="409"/>
        <v>0.58305489685562284</v>
      </c>
      <c r="BL75" s="449">
        <f t="shared" si="409"/>
        <v>0.58852987919836808</v>
      </c>
      <c r="BM75" s="449">
        <f t="shared" si="409"/>
        <v>0.60343641159214012</v>
      </c>
      <c r="BN75" s="449">
        <f t="shared" si="409"/>
        <v>0.64234900822624674</v>
      </c>
      <c r="BO75" s="449">
        <f t="shared" si="409"/>
        <v>0.63794902972426304</v>
      </c>
      <c r="BP75" s="449">
        <f t="shared" si="409"/>
        <v>0.6292533292560275</v>
      </c>
      <c r="BQ75" s="449">
        <f t="shared" ref="BQ75:CB75" si="410">SUM(BQ72/BQ73)</f>
        <v>0.62059082062011262</v>
      </c>
      <c r="BR75" s="449">
        <f t="shared" si="410"/>
        <v>0.60707588349402419</v>
      </c>
      <c r="BS75" s="449">
        <f t="shared" si="410"/>
        <v>0.60716064529565095</v>
      </c>
      <c r="BT75" s="449">
        <f t="shared" si="410"/>
        <v>0.59767200345593963</v>
      </c>
      <c r="BU75" s="449">
        <f t="shared" si="410"/>
        <v>0.61237687029992727</v>
      </c>
      <c r="BV75" s="451">
        <f t="shared" si="410"/>
        <v>0.61846645048395654</v>
      </c>
      <c r="BW75" s="449">
        <f t="shared" si="410"/>
        <v>0.59059789020660836</v>
      </c>
      <c r="BX75" s="449">
        <f t="shared" si="410"/>
        <v>0.56275842169128931</v>
      </c>
      <c r="BY75" s="449">
        <f t="shared" si="410"/>
        <v>0.59429794391702095</v>
      </c>
      <c r="BZ75" s="449">
        <f t="shared" si="410"/>
        <v>0.63763993503887484</v>
      </c>
      <c r="CA75" s="449">
        <f t="shared" si="410"/>
        <v>0.6185761578791481</v>
      </c>
      <c r="CB75" s="449">
        <f t="shared" si="410"/>
        <v>0.61486044587450572</v>
      </c>
      <c r="CC75" s="449">
        <f t="shared" ref="CC75:CH75" si="411">SUM(CC72/CC73)</f>
        <v>0.61167440904565751</v>
      </c>
      <c r="CD75" s="449">
        <f t="shared" si="411"/>
        <v>0.58723257228766357</v>
      </c>
      <c r="CE75" s="449">
        <f t="shared" si="411"/>
        <v>0.59402472427483155</v>
      </c>
      <c r="CF75" s="449">
        <f t="shared" si="411"/>
        <v>0.62828589088067766</v>
      </c>
      <c r="CG75" s="449">
        <f t="shared" si="411"/>
        <v>0.67404910301720655</v>
      </c>
      <c r="CH75" s="449">
        <f t="shared" si="411"/>
        <v>0.65611428960970097</v>
      </c>
      <c r="CI75" s="414">
        <f t="shared" ref="CI75:DJ75" si="412">SUM(CI72/CI73)</f>
        <v>0.61635791662384731</v>
      </c>
      <c r="CJ75" s="412">
        <f t="shared" si="412"/>
        <v>0.66547964491355172</v>
      </c>
      <c r="CK75" s="412">
        <f t="shared" si="412"/>
        <v>0.68777249957175224</v>
      </c>
      <c r="CL75" s="412">
        <f t="shared" si="412"/>
        <v>0.66176533009752281</v>
      </c>
      <c r="CM75" s="412">
        <f t="shared" si="412"/>
        <v>0.673205873312132</v>
      </c>
      <c r="CN75" s="412">
        <f t="shared" si="412"/>
        <v>0.68130668226883984</v>
      </c>
      <c r="CO75" s="412">
        <f t="shared" si="412"/>
        <v>0.71977977060063192</v>
      </c>
      <c r="CP75" s="412">
        <f t="shared" si="412"/>
        <v>0.70894570167286475</v>
      </c>
      <c r="CQ75" s="412">
        <f t="shared" si="412"/>
        <v>0.71611210416944859</v>
      </c>
      <c r="CR75" s="412">
        <f t="shared" si="412"/>
        <v>0.70179331445516924</v>
      </c>
      <c r="CS75" s="412">
        <f t="shared" si="412"/>
        <v>0.71885866819697564</v>
      </c>
      <c r="CT75" s="413">
        <f t="shared" si="412"/>
        <v>0.71500806452892118</v>
      </c>
      <c r="CU75" s="412">
        <f t="shared" si="412"/>
        <v>0.70849626309707048</v>
      </c>
      <c r="CV75" s="412">
        <f t="shared" si="412"/>
        <v>0.77076188864690143</v>
      </c>
      <c r="CW75" s="412">
        <f t="shared" si="412"/>
        <v>0.78457255657311298</v>
      </c>
      <c r="CX75" s="412">
        <f t="shared" si="412"/>
        <v>0.78809299389082987</v>
      </c>
      <c r="CY75" s="412">
        <f t="shared" si="412"/>
        <v>0.81958756149613154</v>
      </c>
      <c r="CZ75" s="412">
        <f t="shared" si="412"/>
        <v>0.77809250150268661</v>
      </c>
      <c r="DA75" s="412">
        <f t="shared" si="412"/>
        <v>0.79186685723110606</v>
      </c>
      <c r="DB75" s="412">
        <f t="shared" si="412"/>
        <v>0.79873386133587421</v>
      </c>
      <c r="DC75" s="412">
        <f t="shared" si="412"/>
        <v>0.78564665516427057</v>
      </c>
      <c r="DD75" s="412">
        <f t="shared" si="412"/>
        <v>0.7823092482769215</v>
      </c>
      <c r="DE75" s="412">
        <f t="shared" si="412"/>
        <v>0.79683206008996998</v>
      </c>
      <c r="DF75" s="413">
        <f t="shared" si="412"/>
        <v>0.81557300636078445</v>
      </c>
      <c r="DG75" s="412">
        <f t="shared" si="412"/>
        <v>0.8148202777938589</v>
      </c>
      <c r="DH75" s="412">
        <f t="shared" si="412"/>
        <v>0.7967830113260469</v>
      </c>
      <c r="DI75" s="412">
        <f t="shared" si="412"/>
        <v>0.78862853271791244</v>
      </c>
      <c r="DJ75" s="412">
        <f t="shared" si="412"/>
        <v>0.78598455051765093</v>
      </c>
      <c r="DK75" s="412">
        <f t="shared" ref="DK75:FQ75" si="413">SUM(DK72/DK73)</f>
        <v>0.77373842717724572</v>
      </c>
      <c r="DL75" s="412">
        <f t="shared" si="413"/>
        <v>0.77174541603736868</v>
      </c>
      <c r="DM75" s="412">
        <f t="shared" si="413"/>
        <v>0.76106520118182464</v>
      </c>
      <c r="DN75" s="412">
        <f t="shared" si="413"/>
        <v>0.7460195105552252</v>
      </c>
      <c r="DO75" s="412">
        <f t="shared" si="413"/>
        <v>0.75316902880175873</v>
      </c>
      <c r="DP75" s="412">
        <f t="shared" si="413"/>
        <v>0.76010097007964628</v>
      </c>
      <c r="DQ75" s="412">
        <f t="shared" si="413"/>
        <v>0.76794377424090954</v>
      </c>
      <c r="DR75" s="412">
        <f t="shared" si="413"/>
        <v>0.76629132115993925</v>
      </c>
      <c r="DS75" s="412">
        <f t="shared" si="413"/>
        <v>0.75852062411950782</v>
      </c>
      <c r="DT75" s="412">
        <f t="shared" si="413"/>
        <v>0.76879507011121662</v>
      </c>
      <c r="DU75" s="412">
        <f t="shared" si="413"/>
        <v>0.75552634756020542</v>
      </c>
      <c r="DV75" s="415">
        <f t="shared" si="413"/>
        <v>0.75565578229901686</v>
      </c>
      <c r="DW75" s="415">
        <f t="shared" si="413"/>
        <v>0.77410890277444333</v>
      </c>
      <c r="DX75" s="415">
        <f t="shared" si="413"/>
        <v>0.7555930177535114</v>
      </c>
      <c r="DY75" s="415">
        <f t="shared" si="413"/>
        <v>0.74040863564450299</v>
      </c>
      <c r="DZ75" s="415">
        <f t="shared" si="413"/>
        <v>0.74811204059258229</v>
      </c>
      <c r="EA75" s="415">
        <f t="shared" si="413"/>
        <v>0.74922729448022507</v>
      </c>
      <c r="EB75" s="415">
        <f t="shared" si="413"/>
        <v>0.75643042697819707</v>
      </c>
      <c r="EC75" s="415">
        <f t="shared" si="413"/>
        <v>0.74388922135001778</v>
      </c>
      <c r="ED75" s="493">
        <f t="shared" si="413"/>
        <v>0.74357126209686542</v>
      </c>
      <c r="EE75" s="493">
        <f t="shared" si="413"/>
        <v>0.76888015900921636</v>
      </c>
      <c r="EF75" s="493">
        <f t="shared" si="413"/>
        <v>0.78548913644126284</v>
      </c>
      <c r="EG75" s="493">
        <f t="shared" si="413"/>
        <v>0.78034873919466996</v>
      </c>
      <c r="EH75" s="493">
        <f t="shared" si="413"/>
        <v>0.79768187492955744</v>
      </c>
      <c r="EI75" s="493">
        <f t="shared" si="413"/>
        <v>0.78979885831242425</v>
      </c>
      <c r="EJ75" s="493">
        <f t="shared" si="413"/>
        <v>0.80567454495886059</v>
      </c>
      <c r="EK75" s="493">
        <f t="shared" si="413"/>
        <v>0.78258071391468931</v>
      </c>
      <c r="EL75" s="493">
        <f t="shared" si="413"/>
        <v>0.80167323009054425</v>
      </c>
      <c r="EM75" s="493">
        <f t="shared" si="413"/>
        <v>0.79787350899472409</v>
      </c>
      <c r="EN75" s="493">
        <f t="shared" si="413"/>
        <v>0.76655085988989236</v>
      </c>
      <c r="EO75" s="493">
        <f t="shared" si="413"/>
        <v>0.78660096736364316</v>
      </c>
      <c r="EP75" s="493">
        <f t="shared" si="413"/>
        <v>0.8031261847217489</v>
      </c>
      <c r="EQ75" s="493">
        <f t="shared" si="413"/>
        <v>0.79310220084143213</v>
      </c>
      <c r="ER75" s="493">
        <f t="shared" si="413"/>
        <v>0.80677485672981508</v>
      </c>
      <c r="ES75" s="493">
        <f t="shared" si="413"/>
        <v>0.79276694483364074</v>
      </c>
      <c r="ET75" s="493">
        <f t="shared" si="413"/>
        <v>0.80517015799178004</v>
      </c>
      <c r="EU75" s="493">
        <f t="shared" si="413"/>
        <v>0.78715210665525492</v>
      </c>
      <c r="EV75" s="493">
        <f t="shared" si="413"/>
        <v>0.80387296940214081</v>
      </c>
      <c r="EW75" s="493">
        <f t="shared" si="413"/>
        <v>0.81294031988610205</v>
      </c>
      <c r="EX75" s="493">
        <f t="shared" si="413"/>
        <v>0.83717431490028682</v>
      </c>
      <c r="EY75" s="493">
        <f t="shared" si="413"/>
        <v>0.85001815835309791</v>
      </c>
      <c r="EZ75" s="493">
        <f t="shared" si="413"/>
        <v>0.84939428051628885</v>
      </c>
      <c r="FA75" s="493">
        <f t="shared" si="413"/>
        <v>0.84205184214805229</v>
      </c>
      <c r="FB75" s="493">
        <f t="shared" si="413"/>
        <v>0.86673384079583782</v>
      </c>
      <c r="FC75" s="493">
        <f t="shared" si="413"/>
        <v>0.85082000833117744</v>
      </c>
      <c r="FD75" s="493">
        <f t="shared" si="413"/>
        <v>0.83355012269680218</v>
      </c>
      <c r="FE75" s="493">
        <f t="shared" si="413"/>
        <v>0.84653960551173224</v>
      </c>
      <c r="FF75" s="493">
        <f t="shared" si="413"/>
        <v>0.85525505725933193</v>
      </c>
      <c r="FG75" s="493">
        <f t="shared" si="413"/>
        <v>0.8574768290335627</v>
      </c>
      <c r="FH75" s="493">
        <f t="shared" si="413"/>
        <v>0.86817689958788724</v>
      </c>
      <c r="FI75" s="493">
        <f t="shared" si="413"/>
        <v>0.86539576326536116</v>
      </c>
      <c r="FJ75" s="493">
        <f t="shared" si="413"/>
        <v>0.86215063166861439</v>
      </c>
      <c r="FK75" s="493">
        <f t="shared" si="413"/>
        <v>0.85547398093507965</v>
      </c>
      <c r="FL75" s="493">
        <f t="shared" si="413"/>
        <v>0.85450157498294843</v>
      </c>
      <c r="FM75" s="493">
        <f t="shared" si="413"/>
        <v>0.85491938945595447</v>
      </c>
      <c r="FN75" s="493">
        <f t="shared" si="413"/>
        <v>0.85339317284865757</v>
      </c>
      <c r="FO75" s="493">
        <f t="shared" si="413"/>
        <v>0.84738776094017154</v>
      </c>
      <c r="FP75" s="493">
        <f t="shared" si="413"/>
        <v>0.86186346773115097</v>
      </c>
      <c r="FQ75" s="493">
        <f t="shared" si="413"/>
        <v>0.8749777288120717</v>
      </c>
      <c r="FR75" s="493">
        <f t="shared" ref="FR75:FT75" si="414">SUM(FR72/FR73)</f>
        <v>0.8617358211779591</v>
      </c>
      <c r="FS75" s="493">
        <f t="shared" si="414"/>
        <v>0.87578216515758311</v>
      </c>
      <c r="FT75" s="493">
        <f t="shared" si="414"/>
        <v>0.85457719542477439</v>
      </c>
    </row>
    <row r="76" spans="2:176" s="345" customFormat="1" ht="13.5" hidden="1" customHeight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1"/>
      <c r="L76" s="342"/>
      <c r="M76" s="342"/>
      <c r="N76" s="344"/>
      <c r="O76" s="341"/>
      <c r="P76" s="341"/>
      <c r="Q76" s="342"/>
      <c r="Z76" s="344"/>
      <c r="AL76" s="344"/>
      <c r="AX76" s="344"/>
      <c r="BJ76" s="344"/>
      <c r="BV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N76" s="435"/>
      <c r="DO76" s="364"/>
      <c r="DS76" s="364"/>
      <c r="DT76" s="364"/>
      <c r="DU76" s="364"/>
      <c r="DV76" s="364"/>
      <c r="DW76" s="364"/>
      <c r="DX76" s="364"/>
      <c r="DZ76" s="388"/>
      <c r="ED76" s="496"/>
      <c r="EE76" s="496"/>
      <c r="EF76" s="496"/>
      <c r="EG76" s="496"/>
      <c r="EH76" s="496"/>
      <c r="EI76" s="496"/>
      <c r="EJ76" s="496"/>
    </row>
    <row r="77" spans="2:176" s="345" customFormat="1" ht="13.5" customHeigh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1"/>
      <c r="L77" s="342"/>
      <c r="M77" s="342"/>
      <c r="N77" s="344"/>
      <c r="O77" s="341"/>
      <c r="P77" s="341"/>
      <c r="Q77" s="342"/>
      <c r="Z77" s="344"/>
      <c r="AL77" s="344"/>
      <c r="AX77" s="344"/>
      <c r="BJ77" s="344"/>
      <c r="BV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N77" s="435"/>
      <c r="DO77" s="364"/>
      <c r="DS77" s="364"/>
      <c r="DT77" s="364"/>
      <c r="DU77" s="364"/>
      <c r="DV77" s="364"/>
      <c r="DW77" s="364"/>
      <c r="DX77" s="364"/>
      <c r="DZ77" s="388"/>
      <c r="ED77" s="496"/>
      <c r="EE77" s="496"/>
      <c r="EF77" s="496"/>
      <c r="EG77" s="496"/>
      <c r="EH77" s="496"/>
      <c r="EI77" s="496"/>
      <c r="EJ77" s="496"/>
    </row>
    <row r="78" spans="2:176" s="387" customFormat="1" ht="13.5" customHeight="1" x14ac:dyDescent="0.25">
      <c r="B78" s="390" t="s">
        <v>1</v>
      </c>
      <c r="C78" s="385">
        <v>19508.954000000002</v>
      </c>
      <c r="D78" s="347">
        <v>19508.954000000002</v>
      </c>
      <c r="E78" s="347">
        <v>22766.285</v>
      </c>
      <c r="F78" s="347">
        <v>22833.944999999996</v>
      </c>
      <c r="G78" s="347">
        <v>22700.581000000002</v>
      </c>
      <c r="H78" s="347">
        <v>22679.131999999998</v>
      </c>
      <c r="I78" s="347">
        <v>22673.023000000001</v>
      </c>
      <c r="J78" s="347">
        <v>22661.699000000001</v>
      </c>
      <c r="K78" s="346">
        <v>22629.088000000003</v>
      </c>
      <c r="L78" s="347">
        <v>22685.063999999998</v>
      </c>
      <c r="M78" s="347">
        <v>22628.328999999998</v>
      </c>
      <c r="N78" s="348">
        <v>22658.337999999996</v>
      </c>
      <c r="O78" s="346">
        <v>22621</v>
      </c>
      <c r="P78" s="346">
        <v>22393</v>
      </c>
      <c r="Q78" s="347">
        <v>22191</v>
      </c>
      <c r="R78" s="346">
        <v>23255.97</v>
      </c>
      <c r="S78" s="346">
        <v>22217.32</v>
      </c>
      <c r="T78" s="346">
        <v>22069.59</v>
      </c>
      <c r="U78" s="346">
        <v>22189.64</v>
      </c>
      <c r="V78" s="346">
        <v>22003.07</v>
      </c>
      <c r="W78" s="346">
        <v>21802.93</v>
      </c>
      <c r="X78" s="346">
        <v>22247.06</v>
      </c>
      <c r="Y78" s="346">
        <v>22000.13</v>
      </c>
      <c r="Z78" s="452">
        <v>21997.16</v>
      </c>
      <c r="AA78" s="346">
        <v>21939.61</v>
      </c>
      <c r="AB78" s="346">
        <v>21999.54</v>
      </c>
      <c r="AC78" s="346">
        <v>21016.66</v>
      </c>
      <c r="AD78" s="346">
        <v>20887.3</v>
      </c>
      <c r="AE78" s="346">
        <v>18747.28</v>
      </c>
      <c r="AF78" s="346">
        <v>23450.83</v>
      </c>
      <c r="AG78" s="346">
        <v>20875.439999999999</v>
      </c>
      <c r="AH78" s="346">
        <v>21075.32</v>
      </c>
      <c r="AI78" s="346">
        <v>21051.34</v>
      </c>
      <c r="AJ78" s="387">
        <v>20806.191999999999</v>
      </c>
      <c r="AK78" s="387">
        <v>20881.987000000001</v>
      </c>
      <c r="AL78" s="348">
        <v>20676.387999999999</v>
      </c>
      <c r="AM78" s="387">
        <v>20989.05</v>
      </c>
      <c r="AN78" s="387">
        <v>20756.95</v>
      </c>
      <c r="AO78" s="387">
        <v>20690.86</v>
      </c>
      <c r="AP78" s="387">
        <v>20656.61</v>
      </c>
      <c r="AQ78" s="387">
        <v>20576.810000000001</v>
      </c>
      <c r="AR78" s="387">
        <v>20582.3</v>
      </c>
      <c r="AS78" s="387">
        <v>20558.349999999999</v>
      </c>
      <c r="AT78" s="387">
        <v>20532.13</v>
      </c>
      <c r="AU78" s="387">
        <v>20495.95</v>
      </c>
      <c r="AV78" s="387">
        <v>20516.86</v>
      </c>
      <c r="AW78" s="387">
        <v>20469.75</v>
      </c>
      <c r="AX78" s="348">
        <v>20322.43</v>
      </c>
      <c r="AY78" s="387">
        <v>20362.89</v>
      </c>
      <c r="AZ78" s="387">
        <v>20336.939999999999</v>
      </c>
      <c r="BA78" s="387">
        <v>20311.95</v>
      </c>
      <c r="BB78" s="387">
        <v>20295.75</v>
      </c>
      <c r="BC78" s="387">
        <v>20259.349999999999</v>
      </c>
      <c r="BD78" s="387">
        <v>20282.34</v>
      </c>
      <c r="BE78" s="387">
        <v>20534.78</v>
      </c>
      <c r="BF78" s="387">
        <v>20390.55</v>
      </c>
      <c r="BG78" s="387">
        <v>20381.900000000001</v>
      </c>
      <c r="BH78" s="387">
        <v>20328.89</v>
      </c>
      <c r="BI78" s="387">
        <v>19964.91</v>
      </c>
      <c r="BJ78" s="348">
        <v>19842.490000000002</v>
      </c>
      <c r="BK78" s="387">
        <v>19396.419999999998</v>
      </c>
      <c r="BL78" s="387">
        <v>19225.919999999998</v>
      </c>
      <c r="BM78" s="387">
        <v>19151.689999999999</v>
      </c>
      <c r="BN78" s="387">
        <v>19020</v>
      </c>
      <c r="BO78" s="387">
        <v>18977</v>
      </c>
      <c r="BP78" s="387">
        <v>18959</v>
      </c>
      <c r="BQ78" s="387">
        <v>18941.740000000002</v>
      </c>
      <c r="BR78" s="387">
        <v>18911.87</v>
      </c>
      <c r="BS78" s="387">
        <v>18863.32</v>
      </c>
      <c r="BT78" s="387">
        <v>18817.02</v>
      </c>
      <c r="BU78" s="387">
        <v>18741.28</v>
      </c>
      <c r="BV78" s="348">
        <v>18742.34</v>
      </c>
      <c r="BW78" s="387">
        <v>18560.22</v>
      </c>
      <c r="BX78" s="387">
        <v>18625.86</v>
      </c>
      <c r="BY78" s="387">
        <v>18466.29</v>
      </c>
      <c r="BZ78" s="387">
        <v>18403.830000000002</v>
      </c>
      <c r="CA78" s="387">
        <v>18221.43</v>
      </c>
      <c r="CB78" s="387">
        <v>18490.71</v>
      </c>
      <c r="CC78" s="387">
        <v>18174.36</v>
      </c>
      <c r="CD78" s="387">
        <v>18126.7</v>
      </c>
      <c r="CE78" s="387">
        <v>17762.39</v>
      </c>
      <c r="CF78" s="387">
        <v>17751.96</v>
      </c>
      <c r="CG78" s="387">
        <v>17685.87</v>
      </c>
      <c r="CH78" s="387">
        <v>17641.79</v>
      </c>
      <c r="CI78" s="386">
        <v>17608.95</v>
      </c>
      <c r="CJ78" s="347">
        <v>19222.47</v>
      </c>
      <c r="CK78" s="347">
        <v>17746.62</v>
      </c>
      <c r="CL78" s="347">
        <v>17573</v>
      </c>
      <c r="CM78" s="347">
        <v>17554.689999999999</v>
      </c>
      <c r="CN78" s="347">
        <v>17491.099999999999</v>
      </c>
      <c r="CO78" s="347">
        <v>17461.759999999998</v>
      </c>
      <c r="CP78" s="347">
        <v>17350.189999999999</v>
      </c>
      <c r="CQ78" s="347">
        <v>17200.080000000002</v>
      </c>
      <c r="CR78" s="347">
        <v>16997.54</v>
      </c>
      <c r="CS78" s="347">
        <v>16906.18</v>
      </c>
      <c r="CT78" s="348">
        <v>16749.900000000001</v>
      </c>
      <c r="CU78" s="347">
        <v>16695.990000000002</v>
      </c>
      <c r="CV78" s="347">
        <v>16620.13</v>
      </c>
      <c r="CW78" s="347">
        <v>16535.330000000002</v>
      </c>
      <c r="CX78" s="347">
        <v>16585.61</v>
      </c>
      <c r="CY78" s="347">
        <v>16506.02</v>
      </c>
      <c r="CZ78" s="347">
        <v>16470.080000000002</v>
      </c>
      <c r="DA78" s="347">
        <v>16381.52</v>
      </c>
      <c r="DB78" s="347">
        <v>16295.02</v>
      </c>
      <c r="DC78" s="347">
        <v>16212.98</v>
      </c>
      <c r="DD78" s="347">
        <v>16135.38</v>
      </c>
      <c r="DE78" s="347">
        <v>16104.9</v>
      </c>
      <c r="DF78" s="348">
        <v>16086.31</v>
      </c>
      <c r="DG78" s="387">
        <v>16110.31</v>
      </c>
      <c r="DH78" s="387">
        <v>15770.5</v>
      </c>
      <c r="DI78" s="387">
        <v>15735.03</v>
      </c>
      <c r="DJ78" s="387">
        <v>15688.02</v>
      </c>
      <c r="DK78" s="387">
        <v>15629.22</v>
      </c>
      <c r="DL78" s="387">
        <v>15662.26</v>
      </c>
      <c r="DM78" s="387">
        <v>15663.04</v>
      </c>
      <c r="DN78" s="387">
        <v>15631.17</v>
      </c>
      <c r="DO78" s="387">
        <v>15618.25</v>
      </c>
      <c r="DP78" s="387">
        <v>15600.91</v>
      </c>
      <c r="DQ78" s="387">
        <v>15572.94</v>
      </c>
      <c r="DR78" s="387">
        <v>15616.29</v>
      </c>
      <c r="DS78" s="388">
        <v>15569.91</v>
      </c>
      <c r="DT78" s="388">
        <v>15497.98</v>
      </c>
      <c r="DU78" s="388">
        <v>15464.16</v>
      </c>
      <c r="DV78" s="389">
        <v>15325.57</v>
      </c>
      <c r="DW78" s="389">
        <v>15391.95</v>
      </c>
      <c r="DX78" s="389">
        <v>15342.44</v>
      </c>
      <c r="DY78" s="389">
        <v>15304.65</v>
      </c>
      <c r="DZ78" s="389">
        <v>15163.61</v>
      </c>
      <c r="EA78" s="389">
        <v>15165.01</v>
      </c>
      <c r="EB78" s="387">
        <v>15183.47</v>
      </c>
      <c r="EC78" s="387">
        <v>15093.55</v>
      </c>
      <c r="ED78" s="374">
        <v>15072.01</v>
      </c>
      <c r="EE78" s="374">
        <v>15089.74</v>
      </c>
      <c r="EF78" s="374">
        <v>15027.38</v>
      </c>
      <c r="EG78" s="374">
        <v>14999.5</v>
      </c>
      <c r="EH78" s="374">
        <v>15005.18</v>
      </c>
      <c r="EI78" s="374">
        <v>15080.2</v>
      </c>
      <c r="EJ78" s="374">
        <v>15167.03</v>
      </c>
      <c r="EK78" s="387">
        <v>15000.39</v>
      </c>
      <c r="EL78" s="387">
        <v>15067.38</v>
      </c>
      <c r="EM78" s="387">
        <v>15024.09</v>
      </c>
      <c r="EN78" s="387">
        <v>15005.44</v>
      </c>
      <c r="EO78" s="387">
        <v>15066.27</v>
      </c>
      <c r="EP78" s="387">
        <v>15101.52</v>
      </c>
      <c r="EQ78" s="387">
        <v>15080.23</v>
      </c>
      <c r="ER78" s="387">
        <v>15104.41</v>
      </c>
      <c r="ES78" s="387">
        <v>15147.73</v>
      </c>
      <c r="ET78" s="387">
        <v>15090.07</v>
      </c>
      <c r="EU78" s="387">
        <v>15115.18</v>
      </c>
      <c r="EV78" s="387">
        <v>15153.1</v>
      </c>
      <c r="EW78" s="387">
        <v>15195.57</v>
      </c>
      <c r="EX78" s="387">
        <v>15133.39</v>
      </c>
      <c r="EY78" s="387">
        <v>15254.97</v>
      </c>
      <c r="EZ78" s="387">
        <v>15203.41</v>
      </c>
      <c r="FA78" s="387">
        <v>14596.67</v>
      </c>
      <c r="FB78" s="387">
        <v>16090.46</v>
      </c>
      <c r="FC78" s="387">
        <v>15273.74</v>
      </c>
      <c r="FD78" s="387">
        <v>15151.45</v>
      </c>
      <c r="FE78" s="387">
        <v>15344.38</v>
      </c>
      <c r="FF78" s="387">
        <v>15054.36</v>
      </c>
      <c r="FG78" s="387">
        <v>14952.09</v>
      </c>
      <c r="FH78" s="387">
        <v>14818.32</v>
      </c>
      <c r="FI78" s="387">
        <v>12786.34</v>
      </c>
      <c r="FJ78" s="387">
        <v>11273.92</v>
      </c>
      <c r="FK78" s="387">
        <v>19646.41</v>
      </c>
      <c r="FL78" s="387">
        <v>20017.52</v>
      </c>
      <c r="FM78" s="387">
        <v>13782.67</v>
      </c>
      <c r="FN78" s="387">
        <v>13316.28</v>
      </c>
      <c r="FO78" s="387">
        <v>13236.45</v>
      </c>
      <c r="FP78" s="387">
        <v>13046.36</v>
      </c>
      <c r="FQ78" s="387">
        <v>12769.75</v>
      </c>
      <c r="FR78" s="387">
        <v>12524.89</v>
      </c>
      <c r="FS78" s="387">
        <v>12320.26</v>
      </c>
      <c r="FT78" s="387">
        <v>12301.38</v>
      </c>
    </row>
    <row r="79" spans="2:176" s="387" customFormat="1" ht="13.5" customHeight="1" thickBot="1" x14ac:dyDescent="0.3">
      <c r="B79" s="391" t="s">
        <v>8</v>
      </c>
      <c r="C79" s="392">
        <v>19.131</v>
      </c>
      <c r="D79" s="393">
        <v>27.44800000000032</v>
      </c>
      <c r="E79" s="393">
        <v>94.50800000000163</v>
      </c>
      <c r="F79" s="393">
        <v>108.02400000000125</v>
      </c>
      <c r="G79" s="393">
        <v>122.7980000000025</v>
      </c>
      <c r="H79" s="393">
        <v>150.49699999999939</v>
      </c>
      <c r="I79" s="393">
        <v>169.40799999999945</v>
      </c>
      <c r="J79" s="393">
        <v>214.16100000000006</v>
      </c>
      <c r="K79" s="439">
        <v>259.98199999999997</v>
      </c>
      <c r="L79" s="393">
        <v>299.50600000000486</v>
      </c>
      <c r="M79" s="393">
        <v>387.27500000000509</v>
      </c>
      <c r="N79" s="394">
        <v>366.42699999999968</v>
      </c>
      <c r="O79" s="439">
        <v>396</v>
      </c>
      <c r="P79" s="439">
        <v>616</v>
      </c>
      <c r="Q79" s="393">
        <v>780</v>
      </c>
      <c r="R79" s="393">
        <v>1078.5999999999999</v>
      </c>
      <c r="S79" s="393">
        <v>967.31000000000131</v>
      </c>
      <c r="T79" s="393">
        <v>1014.73</v>
      </c>
      <c r="U79" s="393">
        <v>1102.3599999999999</v>
      </c>
      <c r="V79" s="393">
        <v>997.65</v>
      </c>
      <c r="W79" s="393">
        <v>977.57</v>
      </c>
      <c r="X79" s="393">
        <v>1005.13</v>
      </c>
      <c r="Y79" s="393">
        <v>1103.8599999999999</v>
      </c>
      <c r="Z79" s="394">
        <v>1113.71</v>
      </c>
      <c r="AA79" s="393">
        <v>1199.32</v>
      </c>
      <c r="AB79" s="393">
        <v>1189.08</v>
      </c>
      <c r="AC79" s="393">
        <v>2241.92</v>
      </c>
      <c r="AD79" s="393">
        <v>2230.7800000000002</v>
      </c>
      <c r="AE79" s="393">
        <v>2213.0100000000002</v>
      </c>
      <c r="AF79" s="393">
        <v>2283.65</v>
      </c>
      <c r="AG79" s="393">
        <v>2474.56</v>
      </c>
      <c r="AH79" s="393">
        <v>2562.04</v>
      </c>
      <c r="AI79" s="347">
        <v>2604.81</v>
      </c>
      <c r="AJ79" s="387">
        <v>2619.252</v>
      </c>
      <c r="AK79" s="387">
        <v>2688.723</v>
      </c>
      <c r="AL79" s="348">
        <v>2787.2759999999998</v>
      </c>
      <c r="AM79" s="387">
        <v>2863.74</v>
      </c>
      <c r="AN79" s="387">
        <v>2907.51</v>
      </c>
      <c r="AO79" s="387">
        <v>2971.28</v>
      </c>
      <c r="AP79" s="387">
        <v>3000.87</v>
      </c>
      <c r="AQ79" s="387">
        <v>3049.06</v>
      </c>
      <c r="AR79" s="387">
        <v>3078.38</v>
      </c>
      <c r="AS79" s="387">
        <v>3164.98</v>
      </c>
      <c r="AT79" s="387">
        <v>3160.45</v>
      </c>
      <c r="AU79" s="387">
        <v>3220.4</v>
      </c>
      <c r="AV79" s="387">
        <v>3268.5</v>
      </c>
      <c r="AW79" s="387">
        <v>3286.19</v>
      </c>
      <c r="AX79" s="348">
        <v>3347.58</v>
      </c>
      <c r="AY79" s="387">
        <v>3867</v>
      </c>
      <c r="AZ79" s="387">
        <v>3575</v>
      </c>
      <c r="BA79" s="387">
        <v>3599</v>
      </c>
      <c r="BB79" s="387">
        <v>3635</v>
      </c>
      <c r="BC79" s="387">
        <v>3688</v>
      </c>
      <c r="BD79" s="387">
        <v>3768</v>
      </c>
      <c r="BE79" s="387">
        <v>3451</v>
      </c>
      <c r="BF79" s="387">
        <v>3539</v>
      </c>
      <c r="BG79" s="387">
        <v>3584</v>
      </c>
      <c r="BH79" s="387">
        <v>3633.34</v>
      </c>
      <c r="BI79" s="387">
        <v>4054.41</v>
      </c>
      <c r="BJ79" s="348">
        <v>4168.66</v>
      </c>
      <c r="BK79" s="387">
        <v>4778</v>
      </c>
      <c r="BL79" s="387">
        <v>4852</v>
      </c>
      <c r="BM79" s="387">
        <v>4941</v>
      </c>
      <c r="BN79" s="387">
        <v>5099</v>
      </c>
      <c r="BO79" s="387">
        <v>5170</v>
      </c>
      <c r="BP79" s="387">
        <v>5232</v>
      </c>
      <c r="BQ79" s="387">
        <v>5359.34</v>
      </c>
      <c r="BR79" s="387">
        <v>5280.63</v>
      </c>
      <c r="BS79" s="387">
        <v>5455.82</v>
      </c>
      <c r="BT79" s="387">
        <v>5502.67</v>
      </c>
      <c r="BU79" s="387">
        <v>5532.5</v>
      </c>
      <c r="BV79" s="348">
        <v>5689.03</v>
      </c>
      <c r="BW79" s="387">
        <v>5699.28</v>
      </c>
      <c r="BX79" s="387">
        <v>5868.43</v>
      </c>
      <c r="BY79" s="387">
        <v>5953.86</v>
      </c>
      <c r="BZ79" s="387">
        <v>5994.19</v>
      </c>
      <c r="CA79" s="387">
        <v>6023.76</v>
      </c>
      <c r="CB79" s="387">
        <v>6033.86</v>
      </c>
      <c r="CC79" s="387">
        <v>6439.98</v>
      </c>
      <c r="CD79" s="387">
        <v>6457.9</v>
      </c>
      <c r="CE79" s="387">
        <v>6369.08</v>
      </c>
      <c r="CF79" s="387">
        <v>6478.86</v>
      </c>
      <c r="CG79" s="387">
        <v>6692.33</v>
      </c>
      <c r="CH79" s="387">
        <v>6434.84</v>
      </c>
      <c r="CI79" s="395">
        <v>6710.77</v>
      </c>
      <c r="CJ79" s="393">
        <v>6932.94</v>
      </c>
      <c r="CK79" s="393">
        <v>6808.86</v>
      </c>
      <c r="CL79" s="393">
        <v>6879.72</v>
      </c>
      <c r="CM79" s="393">
        <v>7056.26</v>
      </c>
      <c r="CN79" s="393">
        <v>7288.43</v>
      </c>
      <c r="CO79" s="393">
        <v>7525.84</v>
      </c>
      <c r="CP79" s="393">
        <v>7409.37</v>
      </c>
      <c r="CQ79" s="393">
        <v>7618.11</v>
      </c>
      <c r="CR79" s="393">
        <v>7969.37</v>
      </c>
      <c r="CS79" s="393">
        <v>7946.13</v>
      </c>
      <c r="CT79" s="394">
        <v>8076.9</v>
      </c>
      <c r="CU79" s="440">
        <v>8221.57</v>
      </c>
      <c r="CV79" s="393">
        <v>8238.19</v>
      </c>
      <c r="CW79" s="393">
        <v>8361.27</v>
      </c>
      <c r="CX79" s="393">
        <v>8422.67</v>
      </c>
      <c r="CY79" s="393">
        <v>8439.7199999999993</v>
      </c>
      <c r="CZ79" s="393">
        <v>8484.94</v>
      </c>
      <c r="DA79" s="393">
        <v>8110</v>
      </c>
      <c r="DB79" s="393">
        <v>8979.0300000000007</v>
      </c>
      <c r="DC79" s="393">
        <v>8709.09</v>
      </c>
      <c r="DD79" s="393">
        <v>8858.77</v>
      </c>
      <c r="DE79" s="393">
        <v>8857.8799999999992</v>
      </c>
      <c r="DF79" s="394">
        <v>8960.19</v>
      </c>
      <c r="DG79" s="387">
        <v>8994.92</v>
      </c>
      <c r="DH79" s="387">
        <v>9191.7199999999993</v>
      </c>
      <c r="DI79" s="387">
        <v>9299.7000000000007</v>
      </c>
      <c r="DJ79" s="387">
        <v>9349.49</v>
      </c>
      <c r="DK79" s="387">
        <v>9386.39</v>
      </c>
      <c r="DL79" s="387">
        <v>9371.75</v>
      </c>
      <c r="DM79" s="387">
        <v>9410.7199999999993</v>
      </c>
      <c r="DN79" s="387">
        <v>9392.06</v>
      </c>
      <c r="DO79" s="387">
        <v>9394.25</v>
      </c>
      <c r="DP79" s="387">
        <v>9523.36</v>
      </c>
      <c r="DQ79" s="387">
        <v>9471.39</v>
      </c>
      <c r="DR79" s="387">
        <v>9259.7000000000007</v>
      </c>
      <c r="DS79" s="388">
        <v>9835.86</v>
      </c>
      <c r="DT79" s="388">
        <v>9767.7999999999993</v>
      </c>
      <c r="DU79" s="388">
        <v>9671.8700000000008</v>
      </c>
      <c r="DV79" s="389">
        <v>9606.48</v>
      </c>
      <c r="DW79" s="389">
        <v>9801.01</v>
      </c>
      <c r="DX79" s="389">
        <v>9557.2800000000007</v>
      </c>
      <c r="DY79" s="389">
        <v>10292.98</v>
      </c>
      <c r="DZ79" s="389">
        <v>10054.51</v>
      </c>
      <c r="EA79" s="389">
        <v>10096.66</v>
      </c>
      <c r="EB79" s="387">
        <v>10056.120000000001</v>
      </c>
      <c r="EC79" s="387">
        <v>9895.77</v>
      </c>
      <c r="ED79" s="374">
        <v>10428.08</v>
      </c>
      <c r="EE79" s="374">
        <v>10309.66</v>
      </c>
      <c r="EF79" s="374">
        <v>10306.94</v>
      </c>
      <c r="EG79" s="374">
        <v>10381.23</v>
      </c>
      <c r="EH79" s="374">
        <v>10312.57</v>
      </c>
      <c r="EI79" s="374">
        <v>10229.34</v>
      </c>
      <c r="EJ79" s="374">
        <v>10249.42</v>
      </c>
      <c r="EK79" s="387">
        <v>10190.14</v>
      </c>
      <c r="EL79" s="387">
        <v>10294.879999999999</v>
      </c>
      <c r="EM79" s="387">
        <v>10282.030000000001</v>
      </c>
      <c r="EN79" s="393">
        <v>10365.99</v>
      </c>
      <c r="EO79" s="393">
        <v>10278.66</v>
      </c>
      <c r="EP79" s="393">
        <v>10450.879999999999</v>
      </c>
      <c r="EQ79" s="387">
        <v>10400.780000000001</v>
      </c>
      <c r="ER79" s="387">
        <v>10489.88</v>
      </c>
      <c r="ES79" s="387">
        <v>10393.540000000001</v>
      </c>
      <c r="ET79" s="387">
        <v>10368.120000000001</v>
      </c>
      <c r="EU79" s="387">
        <v>10440.01</v>
      </c>
      <c r="EV79" s="387">
        <v>10339.950000000001</v>
      </c>
      <c r="EW79" s="387">
        <v>10417.030000000001</v>
      </c>
      <c r="EX79" s="387">
        <v>10319.93</v>
      </c>
      <c r="EY79" s="387">
        <v>10439.370000000001</v>
      </c>
      <c r="EZ79" s="387">
        <v>10551.31</v>
      </c>
      <c r="FA79" s="387">
        <v>10492.06</v>
      </c>
      <c r="FB79" s="387">
        <v>10532.09</v>
      </c>
      <c r="FC79" s="387">
        <v>10677.45</v>
      </c>
      <c r="FD79" s="387">
        <v>10496.66</v>
      </c>
      <c r="FE79" s="393">
        <v>10690.17</v>
      </c>
      <c r="FF79" s="393">
        <v>10629.77</v>
      </c>
      <c r="FG79" s="393">
        <v>10629.15</v>
      </c>
      <c r="FH79" s="393">
        <v>10658.59</v>
      </c>
      <c r="FI79" s="393">
        <v>10680.15</v>
      </c>
      <c r="FJ79" s="393">
        <v>10710.56</v>
      </c>
      <c r="FK79" s="393">
        <v>10714.85</v>
      </c>
      <c r="FL79" s="393">
        <v>10834.81</v>
      </c>
      <c r="FM79" s="393">
        <v>10846.12</v>
      </c>
      <c r="FN79" s="393">
        <v>10930.96</v>
      </c>
      <c r="FO79" s="393">
        <v>11036.44</v>
      </c>
      <c r="FP79" s="393">
        <v>11035.76</v>
      </c>
      <c r="FQ79" s="393">
        <v>11075.3</v>
      </c>
      <c r="FR79" s="393">
        <v>11107.97</v>
      </c>
      <c r="FS79" s="393">
        <v>11177.94</v>
      </c>
      <c r="FT79" s="393">
        <v>11054.18</v>
      </c>
    </row>
    <row r="80" spans="2:176" s="387" customFormat="1" ht="13.5" customHeight="1" thickTop="1" x14ac:dyDescent="0.25">
      <c r="B80" s="390" t="s">
        <v>9</v>
      </c>
      <c r="C80" s="397">
        <f t="shared" ref="C80:Q80" si="415">SUM(C78:C79)</f>
        <v>19528.085000000003</v>
      </c>
      <c r="D80" s="398">
        <f t="shared" si="415"/>
        <v>19536.402000000002</v>
      </c>
      <c r="E80" s="398">
        <f t="shared" si="415"/>
        <v>22860.793000000001</v>
      </c>
      <c r="F80" s="398">
        <f t="shared" si="415"/>
        <v>22941.968999999997</v>
      </c>
      <c r="G80" s="398">
        <f t="shared" si="415"/>
        <v>22823.379000000004</v>
      </c>
      <c r="H80" s="398">
        <f t="shared" si="415"/>
        <v>22829.628999999997</v>
      </c>
      <c r="I80" s="398">
        <f t="shared" si="415"/>
        <v>22842.431</v>
      </c>
      <c r="J80" s="398">
        <f t="shared" si="415"/>
        <v>22875.86</v>
      </c>
      <c r="K80" s="441">
        <f t="shared" si="415"/>
        <v>22889.070000000003</v>
      </c>
      <c r="L80" s="398">
        <f t="shared" si="415"/>
        <v>22984.570000000003</v>
      </c>
      <c r="M80" s="398">
        <f t="shared" si="415"/>
        <v>23015.604000000003</v>
      </c>
      <c r="N80" s="399">
        <f t="shared" si="415"/>
        <v>23024.764999999996</v>
      </c>
      <c r="O80" s="441">
        <f t="shared" si="415"/>
        <v>23017</v>
      </c>
      <c r="P80" s="441">
        <f t="shared" si="415"/>
        <v>23009</v>
      </c>
      <c r="Q80" s="398">
        <f t="shared" si="415"/>
        <v>22971</v>
      </c>
      <c r="R80" s="398">
        <v>24334.57</v>
      </c>
      <c r="S80" s="398">
        <v>23184.63</v>
      </c>
      <c r="T80" s="398">
        <v>23084.32</v>
      </c>
      <c r="U80" s="398">
        <f>SUM(U78:U79)</f>
        <v>23292</v>
      </c>
      <c r="V80" s="398">
        <f>SUM(V78:V79)</f>
        <v>23000.720000000001</v>
      </c>
      <c r="W80" s="398">
        <f>SUM(W78:W79)</f>
        <v>22780.5</v>
      </c>
      <c r="X80" s="398">
        <v>23252.19</v>
      </c>
      <c r="Y80" s="398">
        <v>23103.99</v>
      </c>
      <c r="Z80" s="442">
        <v>23110.87</v>
      </c>
      <c r="AA80" s="398">
        <f t="shared" ref="AA80:AL80" si="416">SUM(AA78:AA79)</f>
        <v>23138.93</v>
      </c>
      <c r="AB80" s="398">
        <f t="shared" si="416"/>
        <v>23188.620000000003</v>
      </c>
      <c r="AC80" s="398">
        <f t="shared" si="416"/>
        <v>23258.58</v>
      </c>
      <c r="AD80" s="398">
        <f t="shared" si="416"/>
        <v>23118.079999999998</v>
      </c>
      <c r="AE80" s="398">
        <f t="shared" si="416"/>
        <v>20960.29</v>
      </c>
      <c r="AF80" s="398">
        <f t="shared" si="416"/>
        <v>25734.480000000003</v>
      </c>
      <c r="AG80" s="398">
        <f t="shared" si="416"/>
        <v>23350</v>
      </c>
      <c r="AH80" s="398">
        <f t="shared" si="416"/>
        <v>23637.360000000001</v>
      </c>
      <c r="AI80" s="400">
        <f t="shared" si="416"/>
        <v>23656.15</v>
      </c>
      <c r="AJ80" s="400">
        <f t="shared" si="416"/>
        <v>23425.444</v>
      </c>
      <c r="AK80" s="400">
        <f t="shared" si="416"/>
        <v>23570.71</v>
      </c>
      <c r="AL80" s="399">
        <f t="shared" si="416"/>
        <v>23463.663999999997</v>
      </c>
      <c r="AM80" s="400">
        <f t="shared" ref="AM80:AR80" si="417">SUM(AM78:AM79)</f>
        <v>23852.79</v>
      </c>
      <c r="AN80" s="400">
        <f t="shared" si="417"/>
        <v>23664.46</v>
      </c>
      <c r="AO80" s="400">
        <f t="shared" si="417"/>
        <v>23662.14</v>
      </c>
      <c r="AP80" s="400">
        <f t="shared" si="417"/>
        <v>23657.48</v>
      </c>
      <c r="AQ80" s="400">
        <f t="shared" si="417"/>
        <v>23625.870000000003</v>
      </c>
      <c r="AR80" s="400">
        <f t="shared" si="417"/>
        <v>23660.68</v>
      </c>
      <c r="AS80" s="400">
        <f t="shared" ref="AS80:AX80" si="418">SUM(AS78:AS79)</f>
        <v>23723.329999999998</v>
      </c>
      <c r="AT80" s="400">
        <f t="shared" si="418"/>
        <v>23692.58</v>
      </c>
      <c r="AU80" s="400">
        <f t="shared" si="418"/>
        <v>23716.350000000002</v>
      </c>
      <c r="AV80" s="400">
        <f t="shared" si="418"/>
        <v>23785.360000000001</v>
      </c>
      <c r="AW80" s="400">
        <f t="shared" si="418"/>
        <v>23755.94</v>
      </c>
      <c r="AX80" s="399">
        <f t="shared" si="418"/>
        <v>23670.010000000002</v>
      </c>
      <c r="AY80" s="400">
        <f t="shared" ref="AY80:BD80" si="419">SUM(AY78:AY79)</f>
        <v>24229.89</v>
      </c>
      <c r="AZ80" s="400">
        <f t="shared" si="419"/>
        <v>23911.94</v>
      </c>
      <c r="BA80" s="400">
        <f t="shared" si="419"/>
        <v>23910.95</v>
      </c>
      <c r="BB80" s="400">
        <f t="shared" si="419"/>
        <v>23930.75</v>
      </c>
      <c r="BC80" s="400">
        <f t="shared" si="419"/>
        <v>23947.35</v>
      </c>
      <c r="BD80" s="400">
        <f t="shared" si="419"/>
        <v>24050.34</v>
      </c>
      <c r="BE80" s="400">
        <f t="shared" ref="BE80:BJ80" si="420">SUM(BE78:BE79)</f>
        <v>23985.78</v>
      </c>
      <c r="BF80" s="400">
        <f t="shared" si="420"/>
        <v>23929.55</v>
      </c>
      <c r="BG80" s="400">
        <f t="shared" si="420"/>
        <v>23965.9</v>
      </c>
      <c r="BH80" s="400">
        <f t="shared" si="420"/>
        <v>23962.23</v>
      </c>
      <c r="BI80" s="400">
        <f t="shared" si="420"/>
        <v>24019.32</v>
      </c>
      <c r="BJ80" s="399">
        <f t="shared" si="420"/>
        <v>24011.15</v>
      </c>
      <c r="BK80" s="400">
        <f t="shared" ref="BK80:BV80" si="421">SUM(BK78:BK79)</f>
        <v>24174.42</v>
      </c>
      <c r="BL80" s="400">
        <f t="shared" si="421"/>
        <v>24077.919999999998</v>
      </c>
      <c r="BM80" s="400">
        <f t="shared" si="421"/>
        <v>24092.69</v>
      </c>
      <c r="BN80" s="400">
        <f t="shared" si="421"/>
        <v>24119</v>
      </c>
      <c r="BO80" s="400">
        <f t="shared" si="421"/>
        <v>24147</v>
      </c>
      <c r="BP80" s="400">
        <f t="shared" si="421"/>
        <v>24191</v>
      </c>
      <c r="BQ80" s="400">
        <f t="shared" si="421"/>
        <v>24301.08</v>
      </c>
      <c r="BR80" s="400">
        <f t="shared" si="421"/>
        <v>24192.5</v>
      </c>
      <c r="BS80" s="400">
        <f t="shared" si="421"/>
        <v>24319.14</v>
      </c>
      <c r="BT80" s="400">
        <f t="shared" si="421"/>
        <v>24319.690000000002</v>
      </c>
      <c r="BU80" s="400">
        <f t="shared" si="421"/>
        <v>24273.78</v>
      </c>
      <c r="BV80" s="399">
        <f t="shared" si="421"/>
        <v>24431.37</v>
      </c>
      <c r="BW80" s="400">
        <f t="shared" ref="BW80:CB80" si="422">SUM(BW78:BW79)</f>
        <v>24259.5</v>
      </c>
      <c r="BX80" s="400">
        <f t="shared" si="422"/>
        <v>24494.29</v>
      </c>
      <c r="BY80" s="400">
        <f t="shared" si="422"/>
        <v>24420.15</v>
      </c>
      <c r="BZ80" s="400">
        <f t="shared" si="422"/>
        <v>24398.02</v>
      </c>
      <c r="CA80" s="400">
        <f t="shared" si="422"/>
        <v>24245.190000000002</v>
      </c>
      <c r="CB80" s="400">
        <f t="shared" si="422"/>
        <v>24524.57</v>
      </c>
      <c r="CC80" s="400">
        <f t="shared" ref="CC80:CH80" si="423">SUM(CC78:CC79)</f>
        <v>24614.34</v>
      </c>
      <c r="CD80" s="400">
        <f t="shared" si="423"/>
        <v>24584.6</v>
      </c>
      <c r="CE80" s="400">
        <f t="shared" si="423"/>
        <v>24131.47</v>
      </c>
      <c r="CF80" s="400">
        <f t="shared" si="423"/>
        <v>24230.82</v>
      </c>
      <c r="CG80" s="400">
        <f t="shared" si="423"/>
        <v>24378.199999999997</v>
      </c>
      <c r="CH80" s="400">
        <f t="shared" si="423"/>
        <v>24076.63</v>
      </c>
      <c r="CI80" s="401">
        <f t="shared" ref="CI80:CN80" si="424">SUM(CI78:CI79)</f>
        <v>24319.72</v>
      </c>
      <c r="CJ80" s="398">
        <f t="shared" si="424"/>
        <v>26155.41</v>
      </c>
      <c r="CK80" s="398">
        <f t="shared" si="424"/>
        <v>24555.48</v>
      </c>
      <c r="CL80" s="398">
        <f t="shared" si="424"/>
        <v>24452.720000000001</v>
      </c>
      <c r="CM80" s="398">
        <f t="shared" si="424"/>
        <v>24610.949999999997</v>
      </c>
      <c r="CN80" s="398">
        <f t="shared" si="424"/>
        <v>24779.53</v>
      </c>
      <c r="CO80" s="398">
        <f t="shared" ref="CO80:CT80" si="425">SUM(CO78:CO79)</f>
        <v>24987.599999999999</v>
      </c>
      <c r="CP80" s="398">
        <f t="shared" si="425"/>
        <v>24759.559999999998</v>
      </c>
      <c r="CQ80" s="398">
        <f t="shared" si="425"/>
        <v>24818.190000000002</v>
      </c>
      <c r="CR80" s="398">
        <f t="shared" si="425"/>
        <v>24966.91</v>
      </c>
      <c r="CS80" s="398">
        <f t="shared" si="425"/>
        <v>24852.31</v>
      </c>
      <c r="CT80" s="399">
        <f t="shared" si="425"/>
        <v>24826.800000000003</v>
      </c>
      <c r="CU80" s="400">
        <f t="shared" ref="CU80:DJ80" si="426">SUM(CU78:CU79)</f>
        <v>24917.56</v>
      </c>
      <c r="CV80" s="400">
        <f t="shared" si="426"/>
        <v>24858.32</v>
      </c>
      <c r="CW80" s="400">
        <f t="shared" si="426"/>
        <v>24896.600000000002</v>
      </c>
      <c r="CX80" s="400">
        <f t="shared" si="426"/>
        <v>25008.28</v>
      </c>
      <c r="CY80" s="400">
        <f t="shared" si="426"/>
        <v>24945.739999999998</v>
      </c>
      <c r="CZ80" s="400">
        <f t="shared" si="426"/>
        <v>24955.020000000004</v>
      </c>
      <c r="DA80" s="400">
        <f t="shared" si="426"/>
        <v>24491.52</v>
      </c>
      <c r="DB80" s="400">
        <f t="shared" si="426"/>
        <v>25274.050000000003</v>
      </c>
      <c r="DC80" s="400">
        <f t="shared" si="426"/>
        <v>24922.07</v>
      </c>
      <c r="DD80" s="400">
        <f t="shared" si="426"/>
        <v>24994.15</v>
      </c>
      <c r="DE80" s="400">
        <f t="shared" si="426"/>
        <v>24962.78</v>
      </c>
      <c r="DF80" s="399">
        <f t="shared" si="426"/>
        <v>25046.5</v>
      </c>
      <c r="DG80" s="400">
        <f t="shared" si="426"/>
        <v>25105.23</v>
      </c>
      <c r="DH80" s="400">
        <f t="shared" si="426"/>
        <v>24962.22</v>
      </c>
      <c r="DI80" s="400">
        <f t="shared" si="426"/>
        <v>25034.730000000003</v>
      </c>
      <c r="DJ80" s="400">
        <f t="shared" si="426"/>
        <v>25037.510000000002</v>
      </c>
      <c r="DK80" s="400">
        <f t="shared" ref="DK80:FQ80" si="427">SUM(DK78:DK79)</f>
        <v>25015.61</v>
      </c>
      <c r="DL80" s="400">
        <f t="shared" si="427"/>
        <v>25034.010000000002</v>
      </c>
      <c r="DM80" s="400">
        <f t="shared" si="427"/>
        <v>25073.760000000002</v>
      </c>
      <c r="DN80" s="400">
        <f t="shared" si="427"/>
        <v>25023.23</v>
      </c>
      <c r="DO80" s="400">
        <f t="shared" si="427"/>
        <v>25012.5</v>
      </c>
      <c r="DP80" s="400">
        <f t="shared" si="427"/>
        <v>25124.27</v>
      </c>
      <c r="DQ80" s="400">
        <f t="shared" si="427"/>
        <v>25044.33</v>
      </c>
      <c r="DR80" s="400">
        <f t="shared" si="427"/>
        <v>24875.99</v>
      </c>
      <c r="DS80" s="400">
        <f t="shared" si="427"/>
        <v>25405.77</v>
      </c>
      <c r="DT80" s="400">
        <f t="shared" si="427"/>
        <v>25265.78</v>
      </c>
      <c r="DU80" s="400">
        <f t="shared" si="427"/>
        <v>25136.03</v>
      </c>
      <c r="DV80" s="402">
        <f t="shared" si="427"/>
        <v>24932.05</v>
      </c>
      <c r="DW80" s="402">
        <f t="shared" si="427"/>
        <v>25192.959999999999</v>
      </c>
      <c r="DX80" s="402">
        <f t="shared" si="427"/>
        <v>24899.72</v>
      </c>
      <c r="DY80" s="402">
        <f t="shared" si="427"/>
        <v>25597.629999999997</v>
      </c>
      <c r="DZ80" s="402">
        <f t="shared" si="427"/>
        <v>25218.120000000003</v>
      </c>
      <c r="EA80" s="402">
        <f t="shared" si="427"/>
        <v>25261.67</v>
      </c>
      <c r="EB80" s="402">
        <f t="shared" si="427"/>
        <v>25239.59</v>
      </c>
      <c r="EC80" s="402">
        <f t="shared" si="427"/>
        <v>24989.32</v>
      </c>
      <c r="ED80" s="489">
        <f t="shared" si="427"/>
        <v>25500.09</v>
      </c>
      <c r="EE80" s="489">
        <f t="shared" si="427"/>
        <v>25399.4</v>
      </c>
      <c r="EF80" s="489">
        <f t="shared" si="427"/>
        <v>25334.32</v>
      </c>
      <c r="EG80" s="489">
        <f t="shared" si="427"/>
        <v>25380.73</v>
      </c>
      <c r="EH80" s="489">
        <f t="shared" si="427"/>
        <v>25317.75</v>
      </c>
      <c r="EI80" s="489">
        <f t="shared" si="427"/>
        <v>25309.54</v>
      </c>
      <c r="EJ80" s="489">
        <f t="shared" si="427"/>
        <v>25416.45</v>
      </c>
      <c r="EK80" s="489">
        <f t="shared" si="427"/>
        <v>25190.53</v>
      </c>
      <c r="EL80" s="489">
        <f t="shared" si="427"/>
        <v>25362.26</v>
      </c>
      <c r="EM80" s="489">
        <f t="shared" si="427"/>
        <v>25306.120000000003</v>
      </c>
      <c r="EN80" s="489">
        <f t="shared" si="427"/>
        <v>25371.43</v>
      </c>
      <c r="EO80" s="489">
        <f t="shared" si="427"/>
        <v>25344.93</v>
      </c>
      <c r="EP80" s="489">
        <f t="shared" si="427"/>
        <v>25552.400000000001</v>
      </c>
      <c r="EQ80" s="489">
        <f t="shared" si="427"/>
        <v>25481.010000000002</v>
      </c>
      <c r="ER80" s="489">
        <f t="shared" si="427"/>
        <v>25594.29</v>
      </c>
      <c r="ES80" s="489">
        <f t="shared" si="427"/>
        <v>25541.27</v>
      </c>
      <c r="ET80" s="489">
        <f t="shared" si="427"/>
        <v>25458.190000000002</v>
      </c>
      <c r="EU80" s="489">
        <f t="shared" si="427"/>
        <v>25555.190000000002</v>
      </c>
      <c r="EV80" s="489">
        <f t="shared" si="427"/>
        <v>25493.050000000003</v>
      </c>
      <c r="EW80" s="489">
        <f t="shared" si="427"/>
        <v>25612.6</v>
      </c>
      <c r="EX80" s="489">
        <f t="shared" si="427"/>
        <v>25453.32</v>
      </c>
      <c r="EY80" s="489">
        <f t="shared" si="427"/>
        <v>25694.34</v>
      </c>
      <c r="EZ80" s="489">
        <f t="shared" si="427"/>
        <v>25754.720000000001</v>
      </c>
      <c r="FA80" s="489">
        <f t="shared" si="427"/>
        <v>25088.73</v>
      </c>
      <c r="FB80" s="489">
        <f t="shared" si="427"/>
        <v>26622.55</v>
      </c>
      <c r="FC80" s="489">
        <f t="shared" si="427"/>
        <v>25951.190000000002</v>
      </c>
      <c r="FD80" s="489">
        <f t="shared" si="427"/>
        <v>25648.11</v>
      </c>
      <c r="FE80" s="497">
        <f t="shared" si="427"/>
        <v>26034.55</v>
      </c>
      <c r="FF80" s="497">
        <f t="shared" si="427"/>
        <v>25684.13</v>
      </c>
      <c r="FG80" s="497">
        <f t="shared" si="427"/>
        <v>25581.239999999998</v>
      </c>
      <c r="FH80" s="497">
        <f t="shared" si="427"/>
        <v>25476.91</v>
      </c>
      <c r="FI80" s="497">
        <f t="shared" si="427"/>
        <v>23466.489999999998</v>
      </c>
      <c r="FJ80" s="497">
        <f t="shared" si="427"/>
        <v>21984.48</v>
      </c>
      <c r="FK80" s="497">
        <f t="shared" si="427"/>
        <v>30361.260000000002</v>
      </c>
      <c r="FL80" s="497">
        <f t="shared" si="427"/>
        <v>30852.33</v>
      </c>
      <c r="FM80" s="497">
        <f t="shared" si="427"/>
        <v>24628.79</v>
      </c>
      <c r="FN80" s="497">
        <f t="shared" si="427"/>
        <v>24247.239999999998</v>
      </c>
      <c r="FO80" s="497">
        <f t="shared" si="427"/>
        <v>24272.89</v>
      </c>
      <c r="FP80" s="497">
        <f t="shared" si="427"/>
        <v>24082.120000000003</v>
      </c>
      <c r="FQ80" s="497">
        <f t="shared" si="427"/>
        <v>23845.05</v>
      </c>
      <c r="FR80" s="497">
        <f t="shared" ref="FR80:FT80" si="428">SUM(FR78:FR79)</f>
        <v>23632.86</v>
      </c>
      <c r="FS80" s="497">
        <f t="shared" si="428"/>
        <v>23498.2</v>
      </c>
      <c r="FT80" s="497">
        <f t="shared" si="428"/>
        <v>23355.559999999998</v>
      </c>
    </row>
    <row r="81" spans="2:176" s="345" customFormat="1" ht="13.5" customHeight="1" x14ac:dyDescent="0.25">
      <c r="B81" s="443" t="s">
        <v>10</v>
      </c>
      <c r="C81" s="444">
        <f t="shared" ref="C81:P81" si="429">SUM(C78)/C80</f>
        <v>0.99902033404709156</v>
      </c>
      <c r="D81" s="445">
        <f t="shared" si="429"/>
        <v>0.99859503300556574</v>
      </c>
      <c r="E81" s="445">
        <f t="shared" si="429"/>
        <v>0.9958659351843131</v>
      </c>
      <c r="F81" s="445">
        <f t="shared" si="429"/>
        <v>0.9952914242016454</v>
      </c>
      <c r="G81" s="445">
        <f t="shared" si="429"/>
        <v>0.99461963980004875</v>
      </c>
      <c r="H81" s="445">
        <f t="shared" si="429"/>
        <v>0.99340782103817804</v>
      </c>
      <c r="I81" s="445">
        <f t="shared" si="429"/>
        <v>0.9925836264975475</v>
      </c>
      <c r="J81" s="445">
        <f t="shared" si="429"/>
        <v>0.99063812245747263</v>
      </c>
      <c r="K81" s="446">
        <f t="shared" si="429"/>
        <v>0.9886416529810953</v>
      </c>
      <c r="L81" s="445">
        <f t="shared" si="429"/>
        <v>0.986969258071828</v>
      </c>
      <c r="M81" s="445">
        <f t="shared" si="429"/>
        <v>0.98317337229125057</v>
      </c>
      <c r="N81" s="447">
        <f t="shared" si="429"/>
        <v>0.98408552704012398</v>
      </c>
      <c r="O81" s="446">
        <f t="shared" si="429"/>
        <v>0.98279532519442148</v>
      </c>
      <c r="P81" s="446">
        <f t="shared" si="429"/>
        <v>0.97322786735625189</v>
      </c>
      <c r="Q81" s="445">
        <f>SUM(Q78)/Q80</f>
        <v>0.96604414261460103</v>
      </c>
      <c r="R81" s="445">
        <f>SUM(R78)/R80</f>
        <v>0.95567622522197848</v>
      </c>
      <c r="S81" s="445">
        <f>SUM(S78)/S80</f>
        <v>0.95827796259849729</v>
      </c>
      <c r="T81" s="445">
        <f>SUM(T78)/T80</f>
        <v>0.95604245652460196</v>
      </c>
      <c r="U81" s="445">
        <f t="shared" ref="U81:Z81" si="430">SUM(U78)/U80</f>
        <v>0.9526721621157479</v>
      </c>
      <c r="V81" s="445">
        <f t="shared" si="430"/>
        <v>0.95662527086108606</v>
      </c>
      <c r="W81" s="445">
        <f t="shared" si="430"/>
        <v>0.95708742125941049</v>
      </c>
      <c r="X81" s="445">
        <f t="shared" si="430"/>
        <v>0.9567726738857717</v>
      </c>
      <c r="Y81" s="445">
        <f t="shared" si="430"/>
        <v>0.95222210535929075</v>
      </c>
      <c r="Z81" s="447">
        <f t="shared" si="430"/>
        <v>0.95181012224983308</v>
      </c>
      <c r="AA81" s="445">
        <f t="shared" ref="AA81:AF81" si="431">SUM(AA78)/AA80</f>
        <v>0.94816873554654435</v>
      </c>
      <c r="AB81" s="445">
        <f t="shared" si="431"/>
        <v>0.94872139868607952</v>
      </c>
      <c r="AC81" s="445">
        <f t="shared" si="431"/>
        <v>0.90360890475686817</v>
      </c>
      <c r="AD81" s="445">
        <f t="shared" si="431"/>
        <v>0.90350496234981459</v>
      </c>
      <c r="AE81" s="445">
        <f t="shared" si="431"/>
        <v>0.89441892263895195</v>
      </c>
      <c r="AF81" s="445">
        <f t="shared" si="431"/>
        <v>0.91126107852188964</v>
      </c>
      <c r="AG81" s="445">
        <f t="shared" ref="AG81:AL81" si="432">SUM(AG78)/AG80</f>
        <v>0.8940231263383297</v>
      </c>
      <c r="AH81" s="445">
        <f t="shared" si="432"/>
        <v>0.89161056903139768</v>
      </c>
      <c r="AI81" s="445">
        <f t="shared" si="432"/>
        <v>0.88988867588343834</v>
      </c>
      <c r="AJ81" s="445">
        <f t="shared" si="432"/>
        <v>0.88818773296250009</v>
      </c>
      <c r="AK81" s="445">
        <f t="shared" si="432"/>
        <v>0.88592948621403433</v>
      </c>
      <c r="AL81" s="447">
        <f t="shared" si="432"/>
        <v>0.88120883422128793</v>
      </c>
      <c r="AM81" s="445">
        <f t="shared" ref="AM81:AR81" si="433">SUM(AM78)/AM80</f>
        <v>0.8799410886525223</v>
      </c>
      <c r="AN81" s="445">
        <f t="shared" si="433"/>
        <v>0.87713600901943256</v>
      </c>
      <c r="AO81" s="445">
        <f t="shared" si="433"/>
        <v>0.87442894007050931</v>
      </c>
      <c r="AP81" s="445">
        <f t="shared" si="433"/>
        <v>0.87315343815148527</v>
      </c>
      <c r="AQ81" s="445">
        <f t="shared" si="433"/>
        <v>0.87094401179723746</v>
      </c>
      <c r="AR81" s="445">
        <f t="shared" si="433"/>
        <v>0.86989469448891577</v>
      </c>
      <c r="AS81" s="445">
        <f t="shared" ref="AS81:AX81" si="434">SUM(AS78)/AS80</f>
        <v>0.86658786940956434</v>
      </c>
      <c r="AT81" s="445">
        <f t="shared" si="434"/>
        <v>0.86660591628265049</v>
      </c>
      <c r="AU81" s="445">
        <f t="shared" si="434"/>
        <v>0.86421182011565856</v>
      </c>
      <c r="AV81" s="445">
        <f t="shared" si="434"/>
        <v>0.86258353878183891</v>
      </c>
      <c r="AW81" s="445">
        <f t="shared" si="434"/>
        <v>0.861668702648685</v>
      </c>
      <c r="AX81" s="447">
        <f t="shared" si="434"/>
        <v>0.85857293680906765</v>
      </c>
      <c r="AY81" s="445">
        <f t="shared" ref="AY81:BD81" si="435">SUM(AY78)/AY80</f>
        <v>0.84040373274496916</v>
      </c>
      <c r="AZ81" s="445">
        <f t="shared" si="435"/>
        <v>0.85049310093618502</v>
      </c>
      <c r="BA81" s="445">
        <f t="shared" si="435"/>
        <v>0.84948318657351551</v>
      </c>
      <c r="BB81" s="445">
        <f t="shared" si="435"/>
        <v>0.8481033816324185</v>
      </c>
      <c r="BC81" s="445">
        <f t="shared" si="435"/>
        <v>0.84599548593059359</v>
      </c>
      <c r="BD81" s="445">
        <f t="shared" si="435"/>
        <v>0.84332861822327665</v>
      </c>
      <c r="BE81" s="445">
        <f t="shared" ref="BE81:BJ81" si="436">SUM(BE78)/BE80</f>
        <v>0.85612308626194356</v>
      </c>
      <c r="BF81" s="445">
        <f t="shared" si="436"/>
        <v>0.8521075406766947</v>
      </c>
      <c r="BG81" s="445">
        <f t="shared" si="436"/>
        <v>0.85045418699068265</v>
      </c>
      <c r="BH81" s="445">
        <f t="shared" si="436"/>
        <v>0.84837220909740041</v>
      </c>
      <c r="BI81" s="445">
        <f t="shared" si="436"/>
        <v>0.83120213228351181</v>
      </c>
      <c r="BJ81" s="447">
        <f t="shared" si="436"/>
        <v>0.82638649127592811</v>
      </c>
      <c r="BK81" s="445">
        <f t="shared" ref="BK81:BV81" si="437">SUM(BK78)/BK80</f>
        <v>0.80235306576124676</v>
      </c>
      <c r="BL81" s="445">
        <f t="shared" si="437"/>
        <v>0.79848757700000661</v>
      </c>
      <c r="BM81" s="445">
        <f t="shared" si="437"/>
        <v>0.79491704745298264</v>
      </c>
      <c r="BN81" s="445">
        <f t="shared" si="437"/>
        <v>0.78858990837099385</v>
      </c>
      <c r="BO81" s="445">
        <f t="shared" si="437"/>
        <v>0.78589472812357641</v>
      </c>
      <c r="BP81" s="445">
        <f t="shared" si="437"/>
        <v>0.78372121863502953</v>
      </c>
      <c r="BQ81" s="445">
        <f t="shared" si="437"/>
        <v>0.77946083054744897</v>
      </c>
      <c r="BR81" s="445">
        <f t="shared" si="437"/>
        <v>0.78172450139506044</v>
      </c>
      <c r="BS81" s="445">
        <f t="shared" si="437"/>
        <v>0.77565736288372045</v>
      </c>
      <c r="BT81" s="445">
        <f t="shared" si="437"/>
        <v>0.77373601390478242</v>
      </c>
      <c r="BU81" s="445">
        <f t="shared" si="437"/>
        <v>0.7720791734950222</v>
      </c>
      <c r="BV81" s="447">
        <f t="shared" si="437"/>
        <v>0.7671424074867681</v>
      </c>
      <c r="BW81" s="445">
        <f t="shared" ref="BW81:CB81" si="438">SUM(BW78)/BW80</f>
        <v>0.7650701786928833</v>
      </c>
      <c r="BX81" s="445">
        <f t="shared" si="438"/>
        <v>0.76041640725246573</v>
      </c>
      <c r="BY81" s="445">
        <f t="shared" si="438"/>
        <v>0.75619068678939316</v>
      </c>
      <c r="BZ81" s="445">
        <f t="shared" si="438"/>
        <v>0.7543165388010995</v>
      </c>
      <c r="CA81" s="445">
        <f t="shared" si="438"/>
        <v>0.7515482452395712</v>
      </c>
      <c r="CB81" s="445">
        <f t="shared" si="438"/>
        <v>0.75396673621596622</v>
      </c>
      <c r="CC81" s="445">
        <f t="shared" ref="CC81:CH81" si="439">SUM(CC78)/CC80</f>
        <v>0.73836470935235321</v>
      </c>
      <c r="CD81" s="445">
        <f t="shared" si="439"/>
        <v>0.73731929744636893</v>
      </c>
      <c r="CE81" s="445">
        <f t="shared" si="439"/>
        <v>0.73606746708758308</v>
      </c>
      <c r="CF81" s="445">
        <f t="shared" si="439"/>
        <v>0.73261903641725701</v>
      </c>
      <c r="CG81" s="445">
        <f t="shared" si="439"/>
        <v>0.72547891148649213</v>
      </c>
      <c r="CH81" s="445">
        <f t="shared" si="439"/>
        <v>0.73273502147102809</v>
      </c>
      <c r="CI81" s="407">
        <f t="shared" ref="CI81:DJ81" si="440">SUM(CI78)/CI80</f>
        <v>0.72406055661825053</v>
      </c>
      <c r="CJ81" s="405">
        <f t="shared" si="440"/>
        <v>0.73493284945638404</v>
      </c>
      <c r="CK81" s="405">
        <f t="shared" si="440"/>
        <v>0.72271525541345549</v>
      </c>
      <c r="CL81" s="405">
        <f t="shared" si="440"/>
        <v>0.71865215812392236</v>
      </c>
      <c r="CM81" s="405">
        <f t="shared" si="440"/>
        <v>0.7132877845024268</v>
      </c>
      <c r="CN81" s="405">
        <f t="shared" si="440"/>
        <v>0.70586891680350672</v>
      </c>
      <c r="CO81" s="405">
        <f t="shared" si="440"/>
        <v>0.69881701323856626</v>
      </c>
      <c r="CP81" s="405">
        <f t="shared" si="440"/>
        <v>0.70074710536051532</v>
      </c>
      <c r="CQ81" s="405">
        <f t="shared" si="440"/>
        <v>0.6930432880077072</v>
      </c>
      <c r="CR81" s="405">
        <f t="shared" si="440"/>
        <v>0.6808027104675749</v>
      </c>
      <c r="CS81" s="405">
        <f t="shared" si="440"/>
        <v>0.68026593906160027</v>
      </c>
      <c r="CT81" s="406">
        <f t="shared" si="440"/>
        <v>0.67467011455362746</v>
      </c>
      <c r="CU81" s="405">
        <f t="shared" si="440"/>
        <v>0.67004915409052901</v>
      </c>
      <c r="CV81" s="405">
        <f t="shared" si="440"/>
        <v>0.6685942573753979</v>
      </c>
      <c r="CW81" s="405">
        <f t="shared" si="440"/>
        <v>0.66416016644843068</v>
      </c>
      <c r="CX81" s="405">
        <f t="shared" si="440"/>
        <v>0.66320474658793016</v>
      </c>
      <c r="CY81" s="405">
        <f t="shared" si="440"/>
        <v>0.66167690355146813</v>
      </c>
      <c r="CZ81" s="405">
        <f t="shared" si="440"/>
        <v>0.6599906551868121</v>
      </c>
      <c r="DA81" s="405">
        <f t="shared" si="440"/>
        <v>0.6688649785721752</v>
      </c>
      <c r="DB81" s="405">
        <f t="shared" si="440"/>
        <v>0.64473323428575946</v>
      </c>
      <c r="DC81" s="405">
        <f t="shared" si="440"/>
        <v>0.65054708537452943</v>
      </c>
      <c r="DD81" s="405">
        <f t="shared" si="440"/>
        <v>0.64556626250542615</v>
      </c>
      <c r="DE81" s="405">
        <f t="shared" si="440"/>
        <v>0.64515650901061505</v>
      </c>
      <c r="DF81" s="406">
        <f t="shared" si="440"/>
        <v>0.64225780049108661</v>
      </c>
      <c r="DG81" s="405">
        <f t="shared" si="440"/>
        <v>0.64171130875917093</v>
      </c>
      <c r="DH81" s="405">
        <f t="shared" si="440"/>
        <v>0.63177473798404149</v>
      </c>
      <c r="DI81" s="405">
        <f t="shared" si="440"/>
        <v>0.62852804883455893</v>
      </c>
      <c r="DJ81" s="405">
        <f t="shared" si="440"/>
        <v>0.62658067835020337</v>
      </c>
      <c r="DK81" s="405">
        <f t="shared" ref="DK81:FQ81" si="441">SUM(DK78)/DK80</f>
        <v>0.62477868818709592</v>
      </c>
      <c r="DL81" s="405">
        <f t="shared" si="441"/>
        <v>0.6256392803230485</v>
      </c>
      <c r="DM81" s="405">
        <f t="shared" si="441"/>
        <v>0.62467854841076886</v>
      </c>
      <c r="DN81" s="405">
        <f t="shared" si="441"/>
        <v>0.62466636001827103</v>
      </c>
      <c r="DO81" s="405">
        <f t="shared" si="441"/>
        <v>0.62441779110444773</v>
      </c>
      <c r="DP81" s="405">
        <f t="shared" si="441"/>
        <v>0.62094978281956048</v>
      </c>
      <c r="DQ81" s="405">
        <f t="shared" si="441"/>
        <v>0.62181499764617376</v>
      </c>
      <c r="DR81" s="405">
        <f t="shared" si="441"/>
        <v>0.62776556832511987</v>
      </c>
      <c r="DS81" s="405">
        <f t="shared" si="441"/>
        <v>0.61284936453411964</v>
      </c>
      <c r="DT81" s="405">
        <f t="shared" si="441"/>
        <v>0.61339804272814857</v>
      </c>
      <c r="DU81" s="405">
        <f t="shared" si="441"/>
        <v>0.61521887107868667</v>
      </c>
      <c r="DV81" s="408">
        <f t="shared" si="441"/>
        <v>0.61469353703365748</v>
      </c>
      <c r="DW81" s="408">
        <f t="shared" si="441"/>
        <v>0.61096234821156392</v>
      </c>
      <c r="DX81" s="408">
        <f t="shared" si="441"/>
        <v>0.61616917780601543</v>
      </c>
      <c r="DY81" s="408">
        <f t="shared" si="441"/>
        <v>0.59789324246033715</v>
      </c>
      <c r="DZ81" s="408">
        <f t="shared" si="441"/>
        <v>0.60129819352116654</v>
      </c>
      <c r="EA81" s="408">
        <f t="shared" si="441"/>
        <v>0.60031700200343052</v>
      </c>
      <c r="EB81" s="408">
        <f t="shared" si="441"/>
        <v>0.60157355963389259</v>
      </c>
      <c r="EC81" s="408">
        <f t="shared" si="441"/>
        <v>0.60400002881230863</v>
      </c>
      <c r="ED81" s="491">
        <f t="shared" si="441"/>
        <v>0.59105712960228773</v>
      </c>
      <c r="EE81" s="491">
        <f t="shared" si="441"/>
        <v>0.59409828578627832</v>
      </c>
      <c r="EF81" s="491">
        <f t="shared" si="441"/>
        <v>0.5931629504956123</v>
      </c>
      <c r="EG81" s="491">
        <f t="shared" si="441"/>
        <v>0.5909798496733546</v>
      </c>
      <c r="EH81" s="491">
        <f t="shared" si="441"/>
        <v>0.59267430952592548</v>
      </c>
      <c r="EI81" s="491">
        <f t="shared" si="441"/>
        <v>0.59583066306222876</v>
      </c>
      <c r="EJ81" s="491">
        <f t="shared" si="441"/>
        <v>0.59674069352722348</v>
      </c>
      <c r="EK81" s="491">
        <f t="shared" si="441"/>
        <v>0.59547734803515451</v>
      </c>
      <c r="EL81" s="491">
        <f t="shared" si="441"/>
        <v>0.59408664685244927</v>
      </c>
      <c r="EM81" s="491">
        <f t="shared" si="441"/>
        <v>0.59369393648650992</v>
      </c>
      <c r="EN81" s="491">
        <f t="shared" si="441"/>
        <v>0.59143059732935832</v>
      </c>
      <c r="EO81" s="491">
        <f t="shared" si="441"/>
        <v>0.59444906732825853</v>
      </c>
      <c r="EP81" s="491">
        <f t="shared" si="441"/>
        <v>0.59100201937978425</v>
      </c>
      <c r="EQ81" s="491">
        <f t="shared" si="441"/>
        <v>0.5918223021771899</v>
      </c>
      <c r="ER81" s="491">
        <f t="shared" si="441"/>
        <v>0.59014764621327642</v>
      </c>
      <c r="ES81" s="491">
        <f t="shared" si="441"/>
        <v>0.5930687863211187</v>
      </c>
      <c r="ET81" s="491">
        <f t="shared" si="441"/>
        <v>0.59273931100364941</v>
      </c>
      <c r="EU81" s="491">
        <f t="shared" si="441"/>
        <v>0.59147202583897829</v>
      </c>
      <c r="EV81" s="491">
        <f t="shared" si="441"/>
        <v>0.59440121915580912</v>
      </c>
      <c r="EW81" s="491">
        <f t="shared" si="441"/>
        <v>0.59328494569079282</v>
      </c>
      <c r="EX81" s="491">
        <f t="shared" si="441"/>
        <v>0.59455465927431073</v>
      </c>
      <c r="EY81" s="491">
        <f t="shared" si="441"/>
        <v>0.59370935388883306</v>
      </c>
      <c r="EZ81" s="491">
        <f t="shared" si="441"/>
        <v>0.59031548391906408</v>
      </c>
      <c r="FA81" s="491">
        <f t="shared" si="441"/>
        <v>0.58180186880722939</v>
      </c>
      <c r="FB81" s="491">
        <f t="shared" si="441"/>
        <v>0.60439214124867824</v>
      </c>
      <c r="FC81" s="491">
        <f t="shared" si="441"/>
        <v>0.58855643999369578</v>
      </c>
      <c r="FD81" s="491">
        <f t="shared" si="441"/>
        <v>0.59074333352438058</v>
      </c>
      <c r="FE81" s="491">
        <f t="shared" si="441"/>
        <v>0.58938525920363516</v>
      </c>
      <c r="FF81" s="491">
        <f t="shared" si="441"/>
        <v>0.58613470652889543</v>
      </c>
      <c r="FG81" s="491">
        <f t="shared" si="441"/>
        <v>0.58449434038381254</v>
      </c>
      <c r="FH81" s="491">
        <f t="shared" si="441"/>
        <v>0.58163725506743169</v>
      </c>
      <c r="FI81" s="491">
        <f t="shared" si="441"/>
        <v>0.54487654523535478</v>
      </c>
      <c r="FJ81" s="491">
        <f t="shared" si="441"/>
        <v>0.51281267512354167</v>
      </c>
      <c r="FK81" s="491">
        <f t="shared" si="441"/>
        <v>0.64708809845177695</v>
      </c>
      <c r="FL81" s="491">
        <f t="shared" si="441"/>
        <v>0.6488171233744745</v>
      </c>
      <c r="FM81" s="491">
        <f t="shared" si="441"/>
        <v>0.55961620526221545</v>
      </c>
      <c r="FN81" s="491">
        <f t="shared" si="441"/>
        <v>0.54918745391228041</v>
      </c>
      <c r="FO81" s="491">
        <f t="shared" si="441"/>
        <v>0.54531825423342672</v>
      </c>
      <c r="FP81" s="491">
        <f t="shared" si="441"/>
        <v>0.54174466367578933</v>
      </c>
      <c r="FQ81" s="491">
        <f t="shared" si="441"/>
        <v>0.53553043503788</v>
      </c>
      <c r="FR81" s="491">
        <f t="shared" ref="FR81:FT81" si="442">SUM(FR78)/FR80</f>
        <v>0.52997775131744529</v>
      </c>
      <c r="FS81" s="491">
        <f t="shared" si="442"/>
        <v>0.52430654262879706</v>
      </c>
      <c r="FT81" s="491">
        <f t="shared" si="442"/>
        <v>0.52670028036150707</v>
      </c>
    </row>
    <row r="82" spans="2:176" s="345" customFormat="1" ht="13.5" customHeight="1" thickBot="1" x14ac:dyDescent="0.3">
      <c r="B82" s="417" t="s">
        <v>11</v>
      </c>
      <c r="C82" s="448">
        <f t="shared" ref="C82:Q82" si="443">SUM(C79/C80)</f>
        <v>9.7966595290833666E-4</v>
      </c>
      <c r="D82" s="449">
        <f t="shared" si="443"/>
        <v>1.4049669944343037E-3</v>
      </c>
      <c r="E82" s="449">
        <f t="shared" si="443"/>
        <v>4.134064815686911E-3</v>
      </c>
      <c r="F82" s="449">
        <f t="shared" si="443"/>
        <v>4.7085757983545903E-3</v>
      </c>
      <c r="G82" s="449">
        <f t="shared" si="443"/>
        <v>5.3803601999512203E-3</v>
      </c>
      <c r="H82" s="449">
        <f t="shared" si="443"/>
        <v>6.5921789618219118E-3</v>
      </c>
      <c r="I82" s="449">
        <f t="shared" si="443"/>
        <v>7.416373502452495E-3</v>
      </c>
      <c r="J82" s="449">
        <f t="shared" si="443"/>
        <v>9.3618775425273644E-3</v>
      </c>
      <c r="K82" s="450">
        <f t="shared" si="443"/>
        <v>1.1358347018904653E-2</v>
      </c>
      <c r="L82" s="449">
        <f t="shared" si="443"/>
        <v>1.3030741928172022E-2</v>
      </c>
      <c r="M82" s="449">
        <f t="shared" si="443"/>
        <v>1.6826627708749466E-2</v>
      </c>
      <c r="N82" s="451">
        <f t="shared" si="443"/>
        <v>1.5914472959876018E-2</v>
      </c>
      <c r="O82" s="450">
        <f t="shared" si="443"/>
        <v>1.7204674805578486E-2</v>
      </c>
      <c r="P82" s="450">
        <f t="shared" si="443"/>
        <v>2.6772132643748097E-2</v>
      </c>
      <c r="Q82" s="449">
        <f t="shared" si="443"/>
        <v>3.3955857385398983E-2</v>
      </c>
      <c r="R82" s="449">
        <f>SUM(R79/R80)</f>
        <v>4.4323774778021553E-2</v>
      </c>
      <c r="S82" s="449">
        <f>SUM(S79/S80)</f>
        <v>4.1722037401502689E-2</v>
      </c>
      <c r="T82" s="449">
        <f>SUM(T79/T80)</f>
        <v>4.3957543475398021E-2</v>
      </c>
      <c r="U82" s="449">
        <f t="shared" ref="U82:Z82" si="444">SUM(U79/U80)</f>
        <v>4.73278378842521E-2</v>
      </c>
      <c r="V82" s="449">
        <f t="shared" si="444"/>
        <v>4.3374729138913909E-2</v>
      </c>
      <c r="W82" s="449">
        <f t="shared" si="444"/>
        <v>4.2912578740589541E-2</v>
      </c>
      <c r="X82" s="449">
        <f t="shared" si="444"/>
        <v>4.322732611422838E-2</v>
      </c>
      <c r="Y82" s="449">
        <f t="shared" si="444"/>
        <v>4.7777894640709237E-2</v>
      </c>
      <c r="Z82" s="451">
        <f t="shared" si="444"/>
        <v>4.8189877750166914E-2</v>
      </c>
      <c r="AA82" s="449">
        <f t="shared" ref="AA82:AF82" si="445">SUM(AA79/AA80)</f>
        <v>5.1831264453455712E-2</v>
      </c>
      <c r="AB82" s="449">
        <f t="shared" si="445"/>
        <v>5.1278601313920355E-2</v>
      </c>
      <c r="AC82" s="449">
        <f t="shared" si="445"/>
        <v>9.6391095243131775E-2</v>
      </c>
      <c r="AD82" s="449">
        <f t="shared" si="445"/>
        <v>9.6495037650185495E-2</v>
      </c>
      <c r="AE82" s="449">
        <f t="shared" si="445"/>
        <v>0.10558107736104796</v>
      </c>
      <c r="AF82" s="449">
        <f t="shared" si="445"/>
        <v>8.87389214781103E-2</v>
      </c>
      <c r="AG82" s="449">
        <f t="shared" ref="AG82:AL82" si="446">SUM(AG79/AG80)</f>
        <v>0.10597687366167023</v>
      </c>
      <c r="AH82" s="449">
        <f t="shared" si="446"/>
        <v>0.10838943096860225</v>
      </c>
      <c r="AI82" s="449">
        <f t="shared" si="446"/>
        <v>0.11011132411656165</v>
      </c>
      <c r="AJ82" s="449">
        <f t="shared" si="446"/>
        <v>0.11181226703749991</v>
      </c>
      <c r="AK82" s="449">
        <f t="shared" si="446"/>
        <v>0.11407051378596572</v>
      </c>
      <c r="AL82" s="451">
        <f t="shared" si="446"/>
        <v>0.11879116577871215</v>
      </c>
      <c r="AM82" s="449">
        <f t="shared" ref="AM82:AR82" si="447">SUM(AM79/AM80)</f>
        <v>0.12005891134747758</v>
      </c>
      <c r="AN82" s="449">
        <f t="shared" si="447"/>
        <v>0.12286399098056749</v>
      </c>
      <c r="AO82" s="449">
        <f t="shared" si="447"/>
        <v>0.12557105992949075</v>
      </c>
      <c r="AP82" s="449">
        <f t="shared" si="447"/>
        <v>0.12684656184851473</v>
      </c>
      <c r="AQ82" s="449">
        <f t="shared" si="447"/>
        <v>0.12905598820276246</v>
      </c>
      <c r="AR82" s="449">
        <f t="shared" si="447"/>
        <v>0.13010530551108421</v>
      </c>
      <c r="AS82" s="449">
        <f t="shared" ref="AS82:AX82" si="448">SUM(AS79/AS80)</f>
        <v>0.13341213059043566</v>
      </c>
      <c r="AT82" s="449">
        <f t="shared" si="448"/>
        <v>0.13339408371734945</v>
      </c>
      <c r="AU82" s="449">
        <f t="shared" si="448"/>
        <v>0.13578817988434139</v>
      </c>
      <c r="AV82" s="449">
        <f t="shared" si="448"/>
        <v>0.13741646121816109</v>
      </c>
      <c r="AW82" s="449">
        <f t="shared" si="448"/>
        <v>0.13833129735131508</v>
      </c>
      <c r="AX82" s="451">
        <f t="shared" si="448"/>
        <v>0.14142706319093232</v>
      </c>
      <c r="AY82" s="449">
        <f t="shared" ref="AY82:BD82" si="449">SUM(AY79/AY80)</f>
        <v>0.15959626725503087</v>
      </c>
      <c r="AZ82" s="449">
        <f t="shared" si="449"/>
        <v>0.14950689906381498</v>
      </c>
      <c r="BA82" s="449">
        <f t="shared" si="449"/>
        <v>0.15051681342648451</v>
      </c>
      <c r="BB82" s="449">
        <f t="shared" si="449"/>
        <v>0.15189661836758145</v>
      </c>
      <c r="BC82" s="449">
        <f t="shared" si="449"/>
        <v>0.15400451406940643</v>
      </c>
      <c r="BD82" s="449">
        <f t="shared" si="449"/>
        <v>0.15667138177672332</v>
      </c>
      <c r="BE82" s="449">
        <f t="shared" ref="BE82:BP82" si="450">SUM(BE79/BE80)</f>
        <v>0.14387691373805647</v>
      </c>
      <c r="BF82" s="449">
        <f t="shared" si="450"/>
        <v>0.1478924593233053</v>
      </c>
      <c r="BG82" s="449">
        <f t="shared" si="450"/>
        <v>0.14954581300931741</v>
      </c>
      <c r="BH82" s="449">
        <f t="shared" si="450"/>
        <v>0.15162779090259965</v>
      </c>
      <c r="BI82" s="449">
        <f t="shared" si="450"/>
        <v>0.16879786771648822</v>
      </c>
      <c r="BJ82" s="451">
        <f t="shared" si="450"/>
        <v>0.17361350872407191</v>
      </c>
      <c r="BK82" s="449">
        <f t="shared" si="450"/>
        <v>0.19764693423875321</v>
      </c>
      <c r="BL82" s="449">
        <f t="shared" si="450"/>
        <v>0.20151242299999336</v>
      </c>
      <c r="BM82" s="449">
        <f t="shared" si="450"/>
        <v>0.20508295254701739</v>
      </c>
      <c r="BN82" s="449">
        <f t="shared" si="450"/>
        <v>0.21141009162900617</v>
      </c>
      <c r="BO82" s="449">
        <f t="shared" si="450"/>
        <v>0.21410527187642356</v>
      </c>
      <c r="BP82" s="449">
        <f t="shared" si="450"/>
        <v>0.21627878136497045</v>
      </c>
      <c r="BQ82" s="449">
        <f t="shared" ref="BQ82:CB82" si="451">SUM(BQ79/BQ80)</f>
        <v>0.22053916945255106</v>
      </c>
      <c r="BR82" s="449">
        <f t="shared" si="451"/>
        <v>0.21827549860493956</v>
      </c>
      <c r="BS82" s="449">
        <f t="shared" si="451"/>
        <v>0.22434263711627961</v>
      </c>
      <c r="BT82" s="449">
        <f t="shared" si="451"/>
        <v>0.22626398609521747</v>
      </c>
      <c r="BU82" s="449">
        <f t="shared" si="451"/>
        <v>0.2279208265049778</v>
      </c>
      <c r="BV82" s="451">
        <f t="shared" si="451"/>
        <v>0.23285759251323196</v>
      </c>
      <c r="BW82" s="449">
        <f t="shared" si="451"/>
        <v>0.23492982130711679</v>
      </c>
      <c r="BX82" s="449">
        <f t="shared" si="451"/>
        <v>0.23958359274753421</v>
      </c>
      <c r="BY82" s="449">
        <f t="shared" si="451"/>
        <v>0.24380931321060678</v>
      </c>
      <c r="BZ82" s="449">
        <f t="shared" si="451"/>
        <v>0.24568346119890055</v>
      </c>
      <c r="CA82" s="449">
        <f t="shared" si="451"/>
        <v>0.24845175476042874</v>
      </c>
      <c r="CB82" s="449">
        <f t="shared" si="451"/>
        <v>0.24603326378403373</v>
      </c>
      <c r="CC82" s="449">
        <f t="shared" ref="CC82:CH82" si="452">SUM(CC79/CC80)</f>
        <v>0.26163529064764685</v>
      </c>
      <c r="CD82" s="449">
        <f t="shared" si="452"/>
        <v>0.26268070255363113</v>
      </c>
      <c r="CE82" s="449">
        <f t="shared" si="452"/>
        <v>0.26393253291241686</v>
      </c>
      <c r="CF82" s="449">
        <f t="shared" si="452"/>
        <v>0.26738096358274294</v>
      </c>
      <c r="CG82" s="449">
        <f t="shared" si="452"/>
        <v>0.27452108851350798</v>
      </c>
      <c r="CH82" s="449">
        <f t="shared" si="452"/>
        <v>0.26726497852897185</v>
      </c>
      <c r="CI82" s="414">
        <f t="shared" ref="CI82:DJ82" si="453">SUM(CI79/CI80)</f>
        <v>0.27593944338174947</v>
      </c>
      <c r="CJ82" s="412">
        <f t="shared" si="453"/>
        <v>0.26506715054361601</v>
      </c>
      <c r="CK82" s="412">
        <f t="shared" si="453"/>
        <v>0.2772847445865444</v>
      </c>
      <c r="CL82" s="412">
        <f t="shared" si="453"/>
        <v>0.28134784187607759</v>
      </c>
      <c r="CM82" s="412">
        <f t="shared" si="453"/>
        <v>0.28671221549757325</v>
      </c>
      <c r="CN82" s="412">
        <f t="shared" si="453"/>
        <v>0.29413108319649328</v>
      </c>
      <c r="CO82" s="412">
        <f t="shared" si="453"/>
        <v>0.30118298676143368</v>
      </c>
      <c r="CP82" s="412">
        <f t="shared" si="453"/>
        <v>0.29925289463948473</v>
      </c>
      <c r="CQ82" s="412">
        <f t="shared" si="453"/>
        <v>0.30695671199229269</v>
      </c>
      <c r="CR82" s="412">
        <f t="shared" si="453"/>
        <v>0.3191972895324251</v>
      </c>
      <c r="CS82" s="412">
        <f t="shared" si="453"/>
        <v>0.31973406093839968</v>
      </c>
      <c r="CT82" s="413">
        <f t="shared" si="453"/>
        <v>0.32532988544637242</v>
      </c>
      <c r="CU82" s="412">
        <f t="shared" si="453"/>
        <v>0.32995084590947105</v>
      </c>
      <c r="CV82" s="412">
        <f t="shared" si="453"/>
        <v>0.33140574262460215</v>
      </c>
      <c r="CW82" s="412">
        <f t="shared" si="453"/>
        <v>0.33583983355156927</v>
      </c>
      <c r="CX82" s="412">
        <f t="shared" si="453"/>
        <v>0.33679525341206995</v>
      </c>
      <c r="CY82" s="412">
        <f t="shared" si="453"/>
        <v>0.33832309644853187</v>
      </c>
      <c r="CZ82" s="412">
        <f t="shared" si="453"/>
        <v>0.34000934481318784</v>
      </c>
      <c r="DA82" s="412">
        <f t="shared" si="453"/>
        <v>0.3311350214278248</v>
      </c>
      <c r="DB82" s="412">
        <f t="shared" si="453"/>
        <v>0.35526676571424048</v>
      </c>
      <c r="DC82" s="412">
        <f t="shared" si="453"/>
        <v>0.34945291462547051</v>
      </c>
      <c r="DD82" s="412">
        <f t="shared" si="453"/>
        <v>0.35443373749457374</v>
      </c>
      <c r="DE82" s="412">
        <f t="shared" si="453"/>
        <v>0.354843490989385</v>
      </c>
      <c r="DF82" s="413">
        <f t="shared" si="453"/>
        <v>0.35774219950891345</v>
      </c>
      <c r="DG82" s="412">
        <f t="shared" si="453"/>
        <v>0.35828869124082913</v>
      </c>
      <c r="DH82" s="412">
        <f t="shared" si="453"/>
        <v>0.36822526201595845</v>
      </c>
      <c r="DI82" s="412">
        <f t="shared" si="453"/>
        <v>0.37147195116544096</v>
      </c>
      <c r="DJ82" s="412">
        <f t="shared" si="453"/>
        <v>0.37341932164979663</v>
      </c>
      <c r="DK82" s="412">
        <f t="shared" ref="DK82:FQ82" si="454">SUM(DK79/DK80)</f>
        <v>0.37522131181290397</v>
      </c>
      <c r="DL82" s="412">
        <f t="shared" si="454"/>
        <v>0.37436071967695145</v>
      </c>
      <c r="DM82" s="412">
        <f t="shared" si="454"/>
        <v>0.37532145158923108</v>
      </c>
      <c r="DN82" s="412">
        <f t="shared" si="454"/>
        <v>0.37533363998172897</v>
      </c>
      <c r="DO82" s="412">
        <f t="shared" si="454"/>
        <v>0.37558220889555222</v>
      </c>
      <c r="DP82" s="412">
        <f t="shared" si="454"/>
        <v>0.37905021718043946</v>
      </c>
      <c r="DQ82" s="412">
        <f t="shared" si="454"/>
        <v>0.37818500235382613</v>
      </c>
      <c r="DR82" s="412">
        <f t="shared" si="454"/>
        <v>0.37223443167488007</v>
      </c>
      <c r="DS82" s="412">
        <f t="shared" si="454"/>
        <v>0.38715063546588041</v>
      </c>
      <c r="DT82" s="412">
        <f t="shared" si="454"/>
        <v>0.38660195727185148</v>
      </c>
      <c r="DU82" s="412">
        <f t="shared" si="454"/>
        <v>0.38478112892131339</v>
      </c>
      <c r="DV82" s="415">
        <f t="shared" si="454"/>
        <v>0.38530646296634252</v>
      </c>
      <c r="DW82" s="415">
        <f t="shared" si="454"/>
        <v>0.38903765178843613</v>
      </c>
      <c r="DX82" s="415">
        <f t="shared" si="454"/>
        <v>0.38383082219398451</v>
      </c>
      <c r="DY82" s="415">
        <f t="shared" si="454"/>
        <v>0.40210675753966285</v>
      </c>
      <c r="DZ82" s="415">
        <f t="shared" si="454"/>
        <v>0.39870180647883346</v>
      </c>
      <c r="EA82" s="415">
        <f t="shared" si="454"/>
        <v>0.39968299799656953</v>
      </c>
      <c r="EB82" s="415">
        <f t="shared" si="454"/>
        <v>0.39842644036610741</v>
      </c>
      <c r="EC82" s="415">
        <f t="shared" si="454"/>
        <v>0.39599997118769142</v>
      </c>
      <c r="ED82" s="493">
        <f t="shared" si="454"/>
        <v>0.40894287039771232</v>
      </c>
      <c r="EE82" s="493">
        <f t="shared" si="454"/>
        <v>0.40590171421372157</v>
      </c>
      <c r="EF82" s="493">
        <f t="shared" si="454"/>
        <v>0.40683704950438776</v>
      </c>
      <c r="EG82" s="493">
        <f t="shared" si="454"/>
        <v>0.40902015032664546</v>
      </c>
      <c r="EH82" s="493">
        <f t="shared" si="454"/>
        <v>0.40732569047407452</v>
      </c>
      <c r="EI82" s="493">
        <f t="shared" si="454"/>
        <v>0.4041693369377713</v>
      </c>
      <c r="EJ82" s="493">
        <f t="shared" si="454"/>
        <v>0.40325930647277647</v>
      </c>
      <c r="EK82" s="493">
        <f t="shared" si="454"/>
        <v>0.40452265196484549</v>
      </c>
      <c r="EL82" s="493">
        <f t="shared" si="454"/>
        <v>0.40591335314755073</v>
      </c>
      <c r="EM82" s="493">
        <f t="shared" si="454"/>
        <v>0.40630606351349002</v>
      </c>
      <c r="EN82" s="493">
        <f t="shared" si="454"/>
        <v>0.40856940267064173</v>
      </c>
      <c r="EO82" s="493">
        <f t="shared" si="454"/>
        <v>0.40555093267174142</v>
      </c>
      <c r="EP82" s="493">
        <f t="shared" si="454"/>
        <v>0.40899798062021564</v>
      </c>
      <c r="EQ82" s="493">
        <f t="shared" si="454"/>
        <v>0.40817769782280999</v>
      </c>
      <c r="ER82" s="493">
        <f t="shared" si="454"/>
        <v>0.40985235378672347</v>
      </c>
      <c r="ES82" s="493">
        <f t="shared" si="454"/>
        <v>0.4069312136788813</v>
      </c>
      <c r="ET82" s="493">
        <f t="shared" si="454"/>
        <v>0.40726068899635048</v>
      </c>
      <c r="EU82" s="493">
        <f t="shared" si="454"/>
        <v>0.40852797416102166</v>
      </c>
      <c r="EV82" s="493">
        <f t="shared" si="454"/>
        <v>0.40559878084419088</v>
      </c>
      <c r="EW82" s="493">
        <f t="shared" si="454"/>
        <v>0.40671505430920724</v>
      </c>
      <c r="EX82" s="493">
        <f t="shared" si="454"/>
        <v>0.40544534072568922</v>
      </c>
      <c r="EY82" s="493">
        <f t="shared" si="454"/>
        <v>0.40629064611116694</v>
      </c>
      <c r="EZ82" s="493">
        <f t="shared" si="454"/>
        <v>0.40968451608093581</v>
      </c>
      <c r="FA82" s="493">
        <f t="shared" si="454"/>
        <v>0.41819813119277061</v>
      </c>
      <c r="FB82" s="493">
        <f t="shared" si="454"/>
        <v>0.39560785875132176</v>
      </c>
      <c r="FC82" s="493">
        <f t="shared" si="454"/>
        <v>0.41144356000630411</v>
      </c>
      <c r="FD82" s="493">
        <f t="shared" si="454"/>
        <v>0.40925666647561942</v>
      </c>
      <c r="FE82" s="493">
        <f t="shared" si="454"/>
        <v>0.41061474079636484</v>
      </c>
      <c r="FF82" s="493">
        <f t="shared" si="454"/>
        <v>0.41386529347110451</v>
      </c>
      <c r="FG82" s="493">
        <f t="shared" si="454"/>
        <v>0.41550565961618752</v>
      </c>
      <c r="FH82" s="493">
        <f t="shared" si="454"/>
        <v>0.41836274493256836</v>
      </c>
      <c r="FI82" s="493">
        <f t="shared" si="454"/>
        <v>0.45512345476464527</v>
      </c>
      <c r="FJ82" s="493">
        <f t="shared" si="454"/>
        <v>0.48718732487645827</v>
      </c>
      <c r="FK82" s="493">
        <f t="shared" si="454"/>
        <v>0.35291190154822294</v>
      </c>
      <c r="FL82" s="493">
        <f t="shared" si="454"/>
        <v>0.3511828766255255</v>
      </c>
      <c r="FM82" s="493">
        <f t="shared" si="454"/>
        <v>0.44038379473778455</v>
      </c>
      <c r="FN82" s="493">
        <f t="shared" si="454"/>
        <v>0.4508125460877197</v>
      </c>
      <c r="FO82" s="493">
        <f t="shared" si="454"/>
        <v>0.45468174576657333</v>
      </c>
      <c r="FP82" s="493">
        <f t="shared" si="454"/>
        <v>0.45825533632421062</v>
      </c>
      <c r="FQ82" s="493">
        <f t="shared" si="454"/>
        <v>0.46446956496212</v>
      </c>
      <c r="FR82" s="493">
        <f t="shared" ref="FR82:FT82" si="455">SUM(FR79/FR80)</f>
        <v>0.47002224868255466</v>
      </c>
      <c r="FS82" s="493">
        <f t="shared" si="455"/>
        <v>0.47569345737120289</v>
      </c>
      <c r="FT82" s="493">
        <f t="shared" si="455"/>
        <v>0.47329971963849299</v>
      </c>
    </row>
    <row r="83" spans="2:176" s="345" customFormat="1" ht="13.5" customHeight="1" x14ac:dyDescent="0.25">
      <c r="B83" s="453"/>
      <c r="H83" s="418"/>
      <c r="K83" s="419"/>
      <c r="N83" s="433"/>
      <c r="O83" s="419"/>
      <c r="P83" s="419"/>
      <c r="Z83" s="344"/>
      <c r="AL83" s="433"/>
      <c r="AX83" s="433"/>
      <c r="BJ83" s="433"/>
      <c r="BV83" s="433"/>
      <c r="CI83" s="386"/>
      <c r="CJ83" s="387"/>
      <c r="CK83" s="387"/>
      <c r="CL83" s="387"/>
      <c r="CM83" s="387"/>
      <c r="CN83" s="387"/>
      <c r="CO83" s="387"/>
      <c r="CP83" s="387"/>
      <c r="CQ83" s="387"/>
      <c r="CR83" s="387"/>
      <c r="CS83" s="387"/>
      <c r="CT83" s="454"/>
      <c r="CU83" s="347"/>
      <c r="CV83" s="347"/>
      <c r="CW83" s="347"/>
      <c r="CX83" s="347"/>
      <c r="CY83" s="347"/>
      <c r="CZ83" s="347"/>
      <c r="DA83" s="347"/>
      <c r="DB83" s="347"/>
      <c r="DC83" s="347"/>
      <c r="DD83" s="347"/>
      <c r="DE83" s="347"/>
      <c r="DF83" s="348"/>
      <c r="DN83" s="435"/>
      <c r="DO83" s="364"/>
      <c r="DS83" s="364"/>
      <c r="DT83" s="364"/>
      <c r="DU83" s="364"/>
      <c r="DV83" s="364"/>
      <c r="DW83" s="364"/>
      <c r="DX83" s="364"/>
      <c r="DZ83" s="388"/>
    </row>
    <row r="84" spans="2:176" s="68" customFormat="1" ht="13.5" customHeigh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71"/>
      <c r="L84" s="69"/>
      <c r="M84" s="69"/>
      <c r="N84" s="89"/>
      <c r="O84" s="71"/>
      <c r="P84" s="71"/>
      <c r="Q84" s="69"/>
      <c r="Z84" s="89"/>
      <c r="AL84" s="89"/>
      <c r="AX84" s="89"/>
      <c r="BJ84" s="89"/>
      <c r="BV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N84" s="328"/>
      <c r="DO84" s="297"/>
      <c r="DS84" s="297"/>
      <c r="DT84" s="297"/>
      <c r="DU84" s="297"/>
      <c r="DV84" s="351"/>
      <c r="DW84" s="351"/>
      <c r="DX84" s="351"/>
      <c r="DZ84" s="297"/>
    </row>
    <row r="85" spans="2:176" s="68" customFormat="1" ht="13.5" customHeight="1" x14ac:dyDescent="0.25">
      <c r="B85" s="87" t="s">
        <v>1</v>
      </c>
      <c r="C85" s="103">
        <f>SUM(C51,C61,C71,C78)</f>
        <v>2970549.29</v>
      </c>
      <c r="D85" s="69">
        <f t="shared" ref="D85:N86" si="456">SUM(D51,D61,D71,D78)</f>
        <v>2970549.29</v>
      </c>
      <c r="E85" s="69">
        <f t="shared" si="456"/>
        <v>2973806.6210000003</v>
      </c>
      <c r="F85" s="69">
        <f t="shared" si="456"/>
        <v>3572330.7950000004</v>
      </c>
      <c r="G85" s="69">
        <f t="shared" si="456"/>
        <v>4135163.4899999998</v>
      </c>
      <c r="H85" s="69">
        <f t="shared" si="456"/>
        <v>4406298.3530000001</v>
      </c>
      <c r="I85" s="69">
        <f t="shared" si="456"/>
        <v>4904946.4589999998</v>
      </c>
      <c r="J85" s="69">
        <f t="shared" si="456"/>
        <v>5374690.7110000001</v>
      </c>
      <c r="K85" s="109">
        <f t="shared" si="456"/>
        <v>5160916.6260000002</v>
      </c>
      <c r="L85" s="69">
        <f t="shared" si="456"/>
        <v>4672116.1529999999</v>
      </c>
      <c r="M85" s="69">
        <f t="shared" si="456"/>
        <v>3656356.6689999998</v>
      </c>
      <c r="N85" s="89">
        <f t="shared" si="456"/>
        <v>3104150.6810000003</v>
      </c>
      <c r="O85" s="71">
        <f t="shared" ref="O85:Q86" si="457">SUM(O51,O61,O71,O78)</f>
        <v>3527835</v>
      </c>
      <c r="P85" s="71">
        <f t="shared" si="457"/>
        <v>3471354</v>
      </c>
      <c r="Q85" s="69">
        <f t="shared" si="457"/>
        <v>3213287</v>
      </c>
      <c r="R85" s="69">
        <f t="shared" ref="R85:T86" si="458">SUM(R51,R61,R71,R78)</f>
        <v>2940430.98</v>
      </c>
      <c r="S85" s="69">
        <f t="shared" si="458"/>
        <v>3500986.92</v>
      </c>
      <c r="T85" s="69">
        <f t="shared" si="458"/>
        <v>4431628.254999999</v>
      </c>
      <c r="U85" s="69">
        <f t="shared" ref="U85:Z85" si="459">SUM(U51,U61,U71,U78)</f>
        <v>4691896.0199999996</v>
      </c>
      <c r="V85" s="69">
        <f t="shared" si="459"/>
        <v>4747632.8900000006</v>
      </c>
      <c r="W85" s="69">
        <f t="shared" si="459"/>
        <v>4845012.5299999993</v>
      </c>
      <c r="X85" s="69">
        <f t="shared" si="459"/>
        <v>3970876.9</v>
      </c>
      <c r="Y85" s="69">
        <f t="shared" si="459"/>
        <v>3416555.16</v>
      </c>
      <c r="Z85" s="89">
        <f t="shared" si="459"/>
        <v>3111195.29</v>
      </c>
      <c r="AA85" s="69">
        <f t="shared" ref="AA85:AC86" si="460">SUM(AA51,AA61,AA71,AA78)</f>
        <v>3246368.65</v>
      </c>
      <c r="AB85" s="69">
        <f t="shared" si="460"/>
        <v>3031467.5600000005</v>
      </c>
      <c r="AC85" s="69">
        <f t="shared" si="460"/>
        <v>2869279.29</v>
      </c>
      <c r="AD85" s="69">
        <f t="shared" ref="AD85:AF86" si="461">SUM(AD51,AD61,AD71,AD78)</f>
        <v>2863346.59</v>
      </c>
      <c r="AE85" s="69">
        <f t="shared" si="461"/>
        <v>3051668.21</v>
      </c>
      <c r="AF85" s="69">
        <f t="shared" si="461"/>
        <v>3615653.4800000004</v>
      </c>
      <c r="AG85" s="69">
        <f t="shared" ref="AG85:AI86" si="462">SUM(AG51,AG61,AG71,AG78)</f>
        <v>4140352.61</v>
      </c>
      <c r="AH85" s="69">
        <f t="shared" si="462"/>
        <v>4384921.580000001</v>
      </c>
      <c r="AI85" s="69">
        <f t="shared" si="462"/>
        <v>4166563.63</v>
      </c>
      <c r="AJ85" s="69">
        <f t="shared" ref="AJ85:AL86" si="463">SUM(AJ51,AJ61,AJ71,AJ78)</f>
        <v>3979219.2369999993</v>
      </c>
      <c r="AK85" s="69">
        <f t="shared" si="463"/>
        <v>3362835.6940000006</v>
      </c>
      <c r="AL85" s="89">
        <f t="shared" si="463"/>
        <v>2762318.1389999995</v>
      </c>
      <c r="AM85" s="69">
        <f t="shared" ref="AM85:AO86" si="464">SUM(AM51,AM61,AM71,AM78)</f>
        <v>3031951.49</v>
      </c>
      <c r="AN85" s="69">
        <f t="shared" si="464"/>
        <v>2891653.95</v>
      </c>
      <c r="AO85" s="69">
        <f t="shared" si="464"/>
        <v>2544560.4699999997</v>
      </c>
      <c r="AP85" s="69">
        <f t="shared" ref="AP85:AR86" si="465">SUM(AP51,AP61,AP71,AP78)</f>
        <v>2692122.1</v>
      </c>
      <c r="AQ85" s="69">
        <f t="shared" si="465"/>
        <v>2671375.9</v>
      </c>
      <c r="AR85" s="69">
        <f t="shared" si="465"/>
        <v>3376586.9499999997</v>
      </c>
      <c r="AS85" s="69">
        <f t="shared" ref="AS85:AU86" si="466">SUM(AS51,AS61,AS71,AS78)</f>
        <v>4165355.12</v>
      </c>
      <c r="AT85" s="69">
        <f t="shared" si="466"/>
        <v>3969904.8299999996</v>
      </c>
      <c r="AU85" s="69">
        <f t="shared" si="466"/>
        <v>3925971.92</v>
      </c>
      <c r="AV85" s="69">
        <f t="shared" ref="AV85:AX86" si="467">SUM(AV51,AV61,AV71,AV78)</f>
        <v>3797021.8999999994</v>
      </c>
      <c r="AW85" s="69">
        <f t="shared" si="467"/>
        <v>2837499.7</v>
      </c>
      <c r="AX85" s="89">
        <f t="shared" si="467"/>
        <v>2674483.8200000003</v>
      </c>
      <c r="AY85" s="69">
        <f t="shared" ref="AY85:BD86" si="468">SUM(AY51,AY61,AY71,AY78)</f>
        <v>2738587.75</v>
      </c>
      <c r="AZ85" s="69">
        <f t="shared" si="468"/>
        <v>2470024.8400000003</v>
      </c>
      <c r="BA85" s="69">
        <f t="shared" si="468"/>
        <v>2513380.1400000006</v>
      </c>
      <c r="BB85" s="69">
        <f t="shared" si="468"/>
        <v>2624089.92</v>
      </c>
      <c r="BC85" s="69">
        <f t="shared" si="468"/>
        <v>2965299.49</v>
      </c>
      <c r="BD85" s="69">
        <f t="shared" si="468"/>
        <v>3349529.1499999994</v>
      </c>
      <c r="BE85" s="69">
        <f t="shared" ref="BE85:BG86" si="469">SUM(BE51,BE61,BE71,BE78)</f>
        <v>3673083.55</v>
      </c>
      <c r="BF85" s="69">
        <f t="shared" si="469"/>
        <v>3736397.71</v>
      </c>
      <c r="BG85" s="69">
        <f t="shared" si="469"/>
        <v>3853162.0099999993</v>
      </c>
      <c r="BH85" s="69">
        <f t="shared" ref="BH85:BS86" si="470">SUM(BH51,BH61,BH71,BH78)</f>
        <v>3354090.52</v>
      </c>
      <c r="BI85" s="69">
        <f t="shared" si="470"/>
        <v>2645596.2200000002</v>
      </c>
      <c r="BJ85" s="89">
        <f t="shared" si="470"/>
        <v>2453599.9300000002</v>
      </c>
      <c r="BK85" s="69">
        <f t="shared" si="470"/>
        <v>2633436.67</v>
      </c>
      <c r="BL85" s="69">
        <f t="shared" si="470"/>
        <v>2640508.48</v>
      </c>
      <c r="BM85" s="69">
        <f t="shared" si="470"/>
        <v>2323275.61</v>
      </c>
      <c r="BN85" s="69">
        <f t="shared" si="470"/>
        <v>2406185</v>
      </c>
      <c r="BO85" s="69">
        <f t="shared" si="470"/>
        <v>2466166</v>
      </c>
      <c r="BP85" s="69">
        <f t="shared" si="470"/>
        <v>2933099</v>
      </c>
      <c r="BQ85" s="69">
        <f t="shared" si="470"/>
        <v>3402547.6399999997</v>
      </c>
      <c r="BR85" s="69">
        <f t="shared" si="470"/>
        <v>3369878.25</v>
      </c>
      <c r="BS85" s="69">
        <f t="shared" si="470"/>
        <v>3625436.7199999997</v>
      </c>
      <c r="BT85" s="69">
        <f>SUM(BT51,BT61,BT71,BT78)</f>
        <v>3361801.64</v>
      </c>
      <c r="BU85" s="69">
        <f>SUM(BU51,BU61,BU71,BU78)</f>
        <v>2757542.3799999994</v>
      </c>
      <c r="BV85" s="89">
        <f>SUM(BV51,BV61,BV71,BV78)</f>
        <v>2524775.5299999998</v>
      </c>
      <c r="BW85" s="69">
        <f t="shared" ref="BW85:CB85" si="471">SUM(BW51,BW61,BW71,BW78)</f>
        <v>2572988.4700000002</v>
      </c>
      <c r="BX85" s="69">
        <f t="shared" si="471"/>
        <v>2503081.19</v>
      </c>
      <c r="BY85" s="69">
        <f t="shared" si="471"/>
        <v>2340101.2000000002</v>
      </c>
      <c r="BZ85" s="69">
        <f t="shared" si="471"/>
        <v>2370572.6800000002</v>
      </c>
      <c r="CA85" s="69">
        <f t="shared" si="471"/>
        <v>2456946.02</v>
      </c>
      <c r="CB85" s="69">
        <f t="shared" si="471"/>
        <v>3100036.4</v>
      </c>
      <c r="CC85" s="69">
        <f t="shared" ref="CC85:CH85" si="472">SUM(CC51,CC61,CC71,CC78)</f>
        <v>3434729.3800000004</v>
      </c>
      <c r="CD85" s="69">
        <f t="shared" si="472"/>
        <v>3522384.3400000003</v>
      </c>
      <c r="CE85" s="69">
        <f t="shared" si="472"/>
        <v>3437683.35</v>
      </c>
      <c r="CF85" s="69">
        <f t="shared" si="472"/>
        <v>1807796.6099999999</v>
      </c>
      <c r="CG85" s="69">
        <f t="shared" si="472"/>
        <v>2833614.71</v>
      </c>
      <c r="CH85" s="69">
        <f t="shared" si="472"/>
        <v>2226259.67</v>
      </c>
      <c r="CI85" s="201">
        <f t="shared" ref="CI85:CK86" si="473">SUM(CI51,CI61,CI71,CI78)</f>
        <v>2437372.3600000003</v>
      </c>
      <c r="CJ85" s="69">
        <f t="shared" si="473"/>
        <v>2109237.63</v>
      </c>
      <c r="CK85" s="69">
        <f t="shared" si="473"/>
        <v>1952050.27</v>
      </c>
      <c r="CL85" s="69">
        <f t="shared" ref="CL85:DJ85" si="474">SUM(CL51,CL61,CL71,CL78)</f>
        <v>2014353.13</v>
      </c>
      <c r="CM85" s="69">
        <f t="shared" si="474"/>
        <v>2183121.63</v>
      </c>
      <c r="CN85" s="69">
        <f t="shared" si="474"/>
        <v>2635403.4899999998</v>
      </c>
      <c r="CO85" s="69">
        <f t="shared" si="474"/>
        <v>3076251.48</v>
      </c>
      <c r="CP85" s="69">
        <f t="shared" si="474"/>
        <v>3150591.78</v>
      </c>
      <c r="CQ85" s="69">
        <f t="shared" si="474"/>
        <v>2926343.51</v>
      </c>
      <c r="CR85" s="69">
        <f t="shared" si="474"/>
        <v>2398060.77</v>
      </c>
      <c r="CS85" s="69">
        <f t="shared" si="474"/>
        <v>2008346.4799999997</v>
      </c>
      <c r="CT85" s="89">
        <f t="shared" si="474"/>
        <v>1785368.8599999999</v>
      </c>
      <c r="CU85" s="69">
        <f t="shared" si="474"/>
        <v>2097289.29</v>
      </c>
      <c r="CV85" s="69">
        <f t="shared" si="474"/>
        <v>1780715.5299999998</v>
      </c>
      <c r="CW85" s="69">
        <f t="shared" si="474"/>
        <v>1724840.06</v>
      </c>
      <c r="CX85" s="69">
        <f t="shared" si="474"/>
        <v>1622099.72</v>
      </c>
      <c r="CY85" s="69">
        <f t="shared" si="474"/>
        <v>1653033.07</v>
      </c>
      <c r="CZ85" s="69">
        <f t="shared" si="474"/>
        <v>2243531.7400000002</v>
      </c>
      <c r="DA85" s="69">
        <f t="shared" si="474"/>
        <v>2554930.9</v>
      </c>
      <c r="DB85" s="69">
        <f t="shared" si="474"/>
        <v>2513614.0399999996</v>
      </c>
      <c r="DC85" s="69">
        <f t="shared" si="474"/>
        <v>2656077.4499999997</v>
      </c>
      <c r="DD85" s="69">
        <f t="shared" si="474"/>
        <v>2252077.3099999996</v>
      </c>
      <c r="DE85" s="69">
        <f t="shared" si="474"/>
        <v>1753661.19</v>
      </c>
      <c r="DF85" s="89">
        <f t="shared" si="474"/>
        <v>1584373.8200000003</v>
      </c>
      <c r="DG85" s="69">
        <f t="shared" si="474"/>
        <v>1719445.7800000003</v>
      </c>
      <c r="DH85" s="69">
        <f t="shared" si="474"/>
        <v>1707882.7599999998</v>
      </c>
      <c r="DI85" s="69">
        <f t="shared" si="474"/>
        <v>1551149.9900000002</v>
      </c>
      <c r="DJ85" s="69">
        <f t="shared" si="474"/>
        <v>1562007.8900000001</v>
      </c>
      <c r="DK85" s="69">
        <f t="shared" ref="DK85:DU85" si="475">SUM(DK51,DK61,DK71,DK78)</f>
        <v>1859706.31</v>
      </c>
      <c r="DL85" s="69">
        <f t="shared" si="475"/>
        <v>2163932.11</v>
      </c>
      <c r="DM85" s="69">
        <f t="shared" si="475"/>
        <v>2629008.31</v>
      </c>
      <c r="DN85" s="69">
        <f t="shared" si="475"/>
        <v>2669691.7749999994</v>
      </c>
      <c r="DO85" s="69">
        <f t="shared" si="475"/>
        <v>2784057.35</v>
      </c>
      <c r="DP85" s="69">
        <f t="shared" si="475"/>
        <v>2360257.4900000002</v>
      </c>
      <c r="DQ85" s="69">
        <f t="shared" si="475"/>
        <v>1775962.95</v>
      </c>
      <c r="DR85" s="69">
        <f t="shared" si="475"/>
        <v>1648432.01</v>
      </c>
      <c r="DS85" s="69">
        <f t="shared" si="475"/>
        <v>1760920.72</v>
      </c>
      <c r="DT85" s="69">
        <f t="shared" si="475"/>
        <v>1574838.48</v>
      </c>
      <c r="DU85" s="69">
        <f t="shared" si="475"/>
        <v>1525141.14</v>
      </c>
      <c r="DV85" s="351">
        <v>1693834.7</v>
      </c>
      <c r="DW85" s="351">
        <v>1810150.97</v>
      </c>
      <c r="DX85" s="351">
        <v>2173933.67</v>
      </c>
      <c r="DY85" s="351">
        <v>2455206.35</v>
      </c>
      <c r="DZ85" s="351">
        <v>2429277.02</v>
      </c>
      <c r="EA85" s="351">
        <v>2647796.71</v>
      </c>
      <c r="EB85" s="68">
        <v>2232263.89</v>
      </c>
      <c r="EC85" s="68">
        <v>1883138.36</v>
      </c>
      <c r="ED85" s="68">
        <v>1698581.62</v>
      </c>
      <c r="EE85" s="359">
        <f t="shared" ref="EE85:ET86" si="476">SUM(EE51,EE61,EE71,EE78)</f>
        <v>1743950.66</v>
      </c>
      <c r="EF85" s="359">
        <f t="shared" si="476"/>
        <v>1608074.8699999999</v>
      </c>
      <c r="EG85" s="359">
        <f t="shared" si="476"/>
        <v>1422206.01</v>
      </c>
      <c r="EH85" s="359">
        <f t="shared" si="476"/>
        <v>1512609.84</v>
      </c>
      <c r="EI85" s="359">
        <f t="shared" si="476"/>
        <v>1588861.1699999997</v>
      </c>
      <c r="EJ85" s="359">
        <f t="shared" si="476"/>
        <v>1966464.03</v>
      </c>
      <c r="EK85" s="359">
        <f t="shared" si="476"/>
        <v>2352327.86</v>
      </c>
      <c r="EL85" s="359">
        <f t="shared" si="476"/>
        <v>2358191.3899999997</v>
      </c>
      <c r="EM85" s="359">
        <f t="shared" si="476"/>
        <v>2410366.2599999998</v>
      </c>
      <c r="EN85" s="359">
        <f t="shared" si="476"/>
        <v>2209612.83</v>
      </c>
      <c r="EO85" s="359">
        <f t="shared" si="476"/>
        <v>1708222.53</v>
      </c>
      <c r="EP85" s="359">
        <f t="shared" si="476"/>
        <v>1571803.4900000002</v>
      </c>
      <c r="EQ85" s="359">
        <f t="shared" si="476"/>
        <v>1784820.13</v>
      </c>
      <c r="ER85" s="359">
        <f t="shared" si="476"/>
        <v>1624670.21</v>
      </c>
      <c r="ES85" s="359">
        <f t="shared" si="476"/>
        <v>1498355.17</v>
      </c>
      <c r="ET85" s="359">
        <f t="shared" si="476"/>
        <v>1365283.9400000002</v>
      </c>
      <c r="EU85" s="359">
        <f t="shared" ref="EU85:FJ86" si="477">SUM(EU51,EU61,EU71,EU78)</f>
        <v>1547199.9200000002</v>
      </c>
      <c r="EV85" s="359">
        <f t="shared" si="477"/>
        <v>1811929.6000000003</v>
      </c>
      <c r="EW85" s="359">
        <f t="shared" si="477"/>
        <v>2116904.1799999997</v>
      </c>
      <c r="EX85" s="359">
        <f t="shared" si="477"/>
        <v>2191659.98</v>
      </c>
      <c r="EY85" s="359">
        <f t="shared" si="477"/>
        <v>2234245.85</v>
      </c>
      <c r="EZ85" s="359">
        <f t="shared" si="477"/>
        <v>1914578.45</v>
      </c>
      <c r="FA85" s="359">
        <f t="shared" si="477"/>
        <v>1598059.5699999998</v>
      </c>
      <c r="FB85" s="359">
        <f t="shared" si="477"/>
        <v>1381473.19</v>
      </c>
      <c r="FC85" s="359">
        <f t="shared" si="477"/>
        <v>1523818.03</v>
      </c>
      <c r="FD85" s="359">
        <f t="shared" si="477"/>
        <v>1475983.33</v>
      </c>
      <c r="FE85" s="359">
        <f t="shared" si="477"/>
        <v>1410421.7799999998</v>
      </c>
      <c r="FF85" s="359">
        <f t="shared" si="477"/>
        <v>1353826.53</v>
      </c>
      <c r="FG85" s="359">
        <f t="shared" si="477"/>
        <v>1460566.78</v>
      </c>
      <c r="FH85" s="359">
        <f t="shared" si="477"/>
        <v>1730584.8800000001</v>
      </c>
      <c r="FI85" s="359">
        <f t="shared" si="477"/>
        <v>2001173.0999999999</v>
      </c>
      <c r="FJ85" s="359">
        <f t="shared" si="477"/>
        <v>2279836.0299999998</v>
      </c>
      <c r="FK85" s="359">
        <f t="shared" ref="FK85:FQ86" si="478">SUM(FK51,FK61,FK71,FK78)</f>
        <v>2087045.6600000001</v>
      </c>
      <c r="FL85" s="359">
        <f t="shared" si="478"/>
        <v>1800155.9000000001</v>
      </c>
      <c r="FM85" s="359">
        <f t="shared" si="478"/>
        <v>1489314.73</v>
      </c>
      <c r="FN85" s="359">
        <f t="shared" si="478"/>
        <v>1314870.5220000001</v>
      </c>
      <c r="FO85" s="359">
        <f t="shared" si="478"/>
        <v>1432661.13</v>
      </c>
      <c r="FP85" s="359">
        <f t="shared" si="478"/>
        <v>1297128.1800000002</v>
      </c>
      <c r="FQ85" s="359">
        <f t="shared" si="478"/>
        <v>1204628.1499999999</v>
      </c>
      <c r="FR85" s="359">
        <f t="shared" ref="FR85:FT85" si="479">SUM(FR51,FR61,FR71,FR78)</f>
        <v>1271484.1499999999</v>
      </c>
      <c r="FS85" s="359">
        <f t="shared" si="479"/>
        <v>1342874.86</v>
      </c>
      <c r="FT85" s="359">
        <f t="shared" si="479"/>
        <v>1736581.0899999999</v>
      </c>
    </row>
    <row r="86" spans="2:176" s="68" customFormat="1" ht="13.5" customHeight="1" thickBot="1" x14ac:dyDescent="0.3">
      <c r="B86" s="90" t="s">
        <v>8</v>
      </c>
      <c r="C86" s="104">
        <f>SUM(C52,C62,C72,C79)</f>
        <v>201968.30599999998</v>
      </c>
      <c r="D86" s="92">
        <f t="shared" si="456"/>
        <v>770268.40199999989</v>
      </c>
      <c r="E86" s="92">
        <f t="shared" si="456"/>
        <v>1479391.567</v>
      </c>
      <c r="F86" s="92">
        <f t="shared" si="456"/>
        <v>1247141.7349999999</v>
      </c>
      <c r="G86" s="92">
        <f t="shared" si="456"/>
        <v>1509987.3229999999</v>
      </c>
      <c r="H86" s="92">
        <f t="shared" si="456"/>
        <v>1330292.584</v>
      </c>
      <c r="I86" s="92">
        <f t="shared" si="456"/>
        <v>1963080.8320000002</v>
      </c>
      <c r="J86" s="92">
        <f t="shared" si="456"/>
        <v>1542745.9450000005</v>
      </c>
      <c r="K86" s="110">
        <f t="shared" si="456"/>
        <v>1914981.4030000002</v>
      </c>
      <c r="L86" s="92">
        <f t="shared" si="456"/>
        <v>1877847.6719999998</v>
      </c>
      <c r="M86" s="92">
        <f t="shared" si="456"/>
        <v>2446185.2040000004</v>
      </c>
      <c r="N86" s="93">
        <f t="shared" si="456"/>
        <v>1765401.8429999992</v>
      </c>
      <c r="O86" s="72">
        <f t="shared" si="457"/>
        <v>1713821</v>
      </c>
      <c r="P86" s="72">
        <f t="shared" si="457"/>
        <v>1848280</v>
      </c>
      <c r="Q86" s="92">
        <f t="shared" si="457"/>
        <v>1646314</v>
      </c>
      <c r="R86" s="92">
        <f t="shared" si="458"/>
        <v>1623046.27</v>
      </c>
      <c r="S86" s="92">
        <f t="shared" si="458"/>
        <v>2221183.8800000004</v>
      </c>
      <c r="T86" s="92">
        <f t="shared" si="458"/>
        <v>2324107.98</v>
      </c>
      <c r="U86" s="92">
        <f t="shared" ref="U86:Z86" si="480">SUM(U52,U62,U72,U79)</f>
        <v>2266370.0499999998</v>
      </c>
      <c r="V86" s="92">
        <f t="shared" si="480"/>
        <v>2300487.7799999998</v>
      </c>
      <c r="W86" s="92">
        <f t="shared" si="480"/>
        <v>2442368.3299999996</v>
      </c>
      <c r="X86" s="92">
        <f t="shared" si="480"/>
        <v>2209803.61</v>
      </c>
      <c r="Y86" s="92">
        <f t="shared" si="480"/>
        <v>2281360.8699999996</v>
      </c>
      <c r="Z86" s="93">
        <f t="shared" si="480"/>
        <v>2005680.85</v>
      </c>
      <c r="AA86" s="92">
        <f t="shared" si="460"/>
        <v>2211616.6199999996</v>
      </c>
      <c r="AB86" s="92">
        <f t="shared" si="460"/>
        <v>2275429.54</v>
      </c>
      <c r="AC86" s="92">
        <f t="shared" si="460"/>
        <v>2000879</v>
      </c>
      <c r="AD86" s="92">
        <f t="shared" si="461"/>
        <v>2400938.94</v>
      </c>
      <c r="AE86" s="92">
        <f t="shared" si="461"/>
        <v>2474121.6899999995</v>
      </c>
      <c r="AF86" s="92">
        <f t="shared" si="461"/>
        <v>2743109.34</v>
      </c>
      <c r="AG86" s="92">
        <f t="shared" si="462"/>
        <v>2917539.48</v>
      </c>
      <c r="AH86" s="92">
        <f t="shared" si="462"/>
        <v>3114680.76</v>
      </c>
      <c r="AI86" s="92">
        <f t="shared" si="462"/>
        <v>3090453.77</v>
      </c>
      <c r="AJ86" s="92">
        <f t="shared" si="463"/>
        <v>3118427.82</v>
      </c>
      <c r="AK86" s="92">
        <f t="shared" si="463"/>
        <v>2896886.7230000002</v>
      </c>
      <c r="AL86" s="93">
        <f t="shared" si="463"/>
        <v>2613747.2230000002</v>
      </c>
      <c r="AM86" s="92">
        <f t="shared" si="464"/>
        <v>2742758.99</v>
      </c>
      <c r="AN86" s="92">
        <f t="shared" si="464"/>
        <v>2471785.92</v>
      </c>
      <c r="AO86" s="92">
        <f t="shared" si="464"/>
        <v>2543573.11</v>
      </c>
      <c r="AP86" s="92">
        <f t="shared" si="465"/>
        <v>2639276.5</v>
      </c>
      <c r="AQ86" s="92">
        <f t="shared" si="465"/>
        <v>2600147.19</v>
      </c>
      <c r="AR86" s="92">
        <f t="shared" si="465"/>
        <v>3000802.53</v>
      </c>
      <c r="AS86" s="92">
        <f t="shared" si="466"/>
        <v>3415243.0400000005</v>
      </c>
      <c r="AT86" s="92">
        <f t="shared" si="466"/>
        <v>3416995.24</v>
      </c>
      <c r="AU86" s="92">
        <f t="shared" si="466"/>
        <v>3598956.7599999993</v>
      </c>
      <c r="AV86" s="92">
        <f t="shared" si="467"/>
        <v>3398586.7300000004</v>
      </c>
      <c r="AW86" s="92">
        <f t="shared" si="467"/>
        <v>2946073.47</v>
      </c>
      <c r="AX86" s="93">
        <f t="shared" si="467"/>
        <v>2894652.8600000003</v>
      </c>
      <c r="AY86" s="92">
        <f t="shared" si="468"/>
        <v>2829707</v>
      </c>
      <c r="AZ86" s="92">
        <f t="shared" si="468"/>
        <v>2656223</v>
      </c>
      <c r="BA86" s="92">
        <f t="shared" si="468"/>
        <v>2795196</v>
      </c>
      <c r="BB86" s="92">
        <f>SUM(BB52,BB62,BB72,BB79)</f>
        <v>3137009</v>
      </c>
      <c r="BC86" s="92">
        <f>SUM(BC52,BC62,BC72,BC79)</f>
        <v>3263894</v>
      </c>
      <c r="BD86" s="92">
        <f>SUM(BD52,BD62,BD72,BD79)</f>
        <v>3469502</v>
      </c>
      <c r="BE86" s="92">
        <f t="shared" si="469"/>
        <v>3788360</v>
      </c>
      <c r="BF86" s="92">
        <f t="shared" si="469"/>
        <v>3776657</v>
      </c>
      <c r="BG86" s="92">
        <f t="shared" si="469"/>
        <v>3932968</v>
      </c>
      <c r="BH86" s="92">
        <f t="shared" si="470"/>
        <v>3744224.6599999997</v>
      </c>
      <c r="BI86" s="92">
        <f t="shared" si="470"/>
        <v>3113753.5300000003</v>
      </c>
      <c r="BJ86" s="93">
        <f t="shared" si="470"/>
        <v>2980982.99</v>
      </c>
      <c r="BK86" s="92">
        <f t="shared" si="470"/>
        <v>3017746</v>
      </c>
      <c r="BL86" s="92">
        <f t="shared" si="470"/>
        <v>3052971</v>
      </c>
      <c r="BM86" s="92">
        <f t="shared" si="470"/>
        <v>2840880</v>
      </c>
      <c r="BN86" s="92">
        <f>SUM(BN52,BN62,BN72,BN79)</f>
        <v>3229617</v>
      </c>
      <c r="BO86" s="92">
        <f>SUM(BO52,BO62,BO72,BO79)</f>
        <v>3216305</v>
      </c>
      <c r="BP86" s="92">
        <f>SUM(BP52,BP62,BP72,BP79)</f>
        <v>3611509</v>
      </c>
      <c r="BQ86" s="92">
        <f t="shared" ref="BQ86:BY86" si="481">SUM(BQ52,BQ62,BQ72,BQ79)</f>
        <v>4010376.5700000003</v>
      </c>
      <c r="BR86" s="92">
        <f t="shared" si="481"/>
        <v>3889606.298</v>
      </c>
      <c r="BS86" s="92">
        <f t="shared" si="481"/>
        <v>4138513.6799999997</v>
      </c>
      <c r="BT86" s="92">
        <f t="shared" si="481"/>
        <v>3930938.34</v>
      </c>
      <c r="BU86" s="92">
        <f t="shared" si="481"/>
        <v>3456746</v>
      </c>
      <c r="BV86" s="93">
        <f t="shared" si="481"/>
        <v>3308780.28</v>
      </c>
      <c r="BW86" s="92">
        <f t="shared" si="481"/>
        <v>3189651.82</v>
      </c>
      <c r="BX86" s="92">
        <f t="shared" si="481"/>
        <v>3024817.98</v>
      </c>
      <c r="BY86" s="92">
        <f t="shared" si="481"/>
        <v>3057068.39</v>
      </c>
      <c r="BZ86" s="92">
        <f>SUM(BZ52,BZ62,BZ72,BZ79)</f>
        <v>3304677.5500000003</v>
      </c>
      <c r="CA86" s="92">
        <f>SUM(CA52,CA62,CA72,CA79)</f>
        <v>3318511.87</v>
      </c>
      <c r="CB86" s="92">
        <f>SUM(CB52,CB62,CB72,CB79)</f>
        <v>4018908.42</v>
      </c>
      <c r="CC86" s="92">
        <f t="shared" ref="CC86:CH86" si="482">SUM(CC52,CC62,CC72,CC79)</f>
        <v>4254023.7100000009</v>
      </c>
      <c r="CD86" s="92">
        <f t="shared" si="482"/>
        <v>4226126.1000000006</v>
      </c>
      <c r="CE86" s="92">
        <f t="shared" si="482"/>
        <v>4184866.59</v>
      </c>
      <c r="CF86" s="92">
        <f t="shared" si="482"/>
        <v>2361050.1199999996</v>
      </c>
      <c r="CG86" s="92">
        <f t="shared" si="482"/>
        <v>3961352.9700000007</v>
      </c>
      <c r="CH86" s="92">
        <f t="shared" si="482"/>
        <v>3165372.3899999997</v>
      </c>
      <c r="CI86" s="210">
        <f t="shared" si="473"/>
        <v>3273655.8000000003</v>
      </c>
      <c r="CJ86" s="92">
        <f t="shared" si="473"/>
        <v>3081137.3699999996</v>
      </c>
      <c r="CK86" s="92">
        <f t="shared" si="473"/>
        <v>3059561.23</v>
      </c>
      <c r="CL86" s="92">
        <f t="shared" ref="CL86:DJ86" si="483">SUM(CL52,CL62,CL72,CL79)</f>
        <v>3056838.5400000005</v>
      </c>
      <c r="CM86" s="92">
        <f t="shared" si="483"/>
        <v>3402074.05</v>
      </c>
      <c r="CN86" s="92">
        <f t="shared" si="483"/>
        <v>4060990.6700000004</v>
      </c>
      <c r="CO86" s="92">
        <f t="shared" si="483"/>
        <v>4826086.37</v>
      </c>
      <c r="CP86" s="92">
        <f t="shared" si="483"/>
        <v>5032509.3600000003</v>
      </c>
      <c r="CQ86" s="92">
        <f t="shared" si="483"/>
        <v>4876739.5100000007</v>
      </c>
      <c r="CR86" s="92">
        <f t="shared" si="483"/>
        <v>4240009.1700000009</v>
      </c>
      <c r="CS86" s="92">
        <f t="shared" si="483"/>
        <v>3859291.9899999998</v>
      </c>
      <c r="CT86" s="93">
        <f t="shared" si="483"/>
        <v>3524755.0399999996</v>
      </c>
      <c r="CU86" s="92">
        <f t="shared" si="483"/>
        <v>3888916.1700000004</v>
      </c>
      <c r="CV86" s="92">
        <f t="shared" si="483"/>
        <v>3656880.87</v>
      </c>
      <c r="CW86" s="92">
        <f t="shared" si="483"/>
        <v>3723065.36</v>
      </c>
      <c r="CX86" s="92">
        <f t="shared" si="483"/>
        <v>3756314.88</v>
      </c>
      <c r="CY86" s="92">
        <f t="shared" si="483"/>
        <v>4019385.8300000005</v>
      </c>
      <c r="CZ86" s="92">
        <f t="shared" si="483"/>
        <v>4615730.7700000005</v>
      </c>
      <c r="DA86" s="92">
        <f t="shared" si="483"/>
        <v>5202748.93</v>
      </c>
      <c r="DB86" s="92">
        <f t="shared" si="483"/>
        <v>5227292.8800000008</v>
      </c>
      <c r="DC86" s="92">
        <f t="shared" si="483"/>
        <v>5426909.2400000002</v>
      </c>
      <c r="DD86" s="92">
        <f t="shared" si="483"/>
        <v>4820449.9799999995</v>
      </c>
      <c r="DE86" s="92">
        <f t="shared" si="483"/>
        <v>4142498.46</v>
      </c>
      <c r="DF86" s="93">
        <f t="shared" si="483"/>
        <v>3969153.4899999998</v>
      </c>
      <c r="DG86" s="92">
        <f t="shared" si="483"/>
        <v>4169383.37</v>
      </c>
      <c r="DH86" s="92">
        <f t="shared" si="483"/>
        <v>4031363.4</v>
      </c>
      <c r="DI86" s="92">
        <f t="shared" si="483"/>
        <v>3769827.39</v>
      </c>
      <c r="DJ86" s="92">
        <f t="shared" si="483"/>
        <v>3963097.4600000004</v>
      </c>
      <c r="DK86" s="92">
        <f t="shared" ref="DK86:DQ86" si="484">SUM(DK52,DK62,DK72,DK79)</f>
        <v>4452014.169999999</v>
      </c>
      <c r="DL86" s="92">
        <f t="shared" si="484"/>
        <v>4973742.4399999995</v>
      </c>
      <c r="DM86" s="92">
        <f t="shared" si="484"/>
        <v>5565429.5300000003</v>
      </c>
      <c r="DN86" s="92">
        <f t="shared" si="484"/>
        <v>5507049.5499999998</v>
      </c>
      <c r="DO86" s="92">
        <f t="shared" si="484"/>
        <v>5807060.9400000004</v>
      </c>
      <c r="DP86" s="92">
        <f t="shared" si="484"/>
        <v>5176736.4100000011</v>
      </c>
      <c r="DQ86" s="92">
        <f t="shared" si="484"/>
        <v>4200358.83</v>
      </c>
      <c r="DR86" s="92">
        <f>SUM(DR52,DR62,DR72,DR79)</f>
        <v>4008088.54</v>
      </c>
      <c r="DS86" s="92">
        <f>SUM(DS52,DS62,DS72,DS79)</f>
        <v>4115814.79</v>
      </c>
      <c r="DT86" s="92">
        <f>SUM(DT52,DT62,DT72,DT79)</f>
        <v>3824937.4099999992</v>
      </c>
      <c r="DU86" s="92">
        <f>SUM(DU52,DU62,DU72,DU79)</f>
        <v>3679140.77</v>
      </c>
      <c r="DV86" s="352">
        <v>4081031.71</v>
      </c>
      <c r="DW86" s="352">
        <v>4342809.3499999996</v>
      </c>
      <c r="DX86" s="352">
        <v>4943782.3899999997</v>
      </c>
      <c r="DY86" s="352">
        <v>5358517.96</v>
      </c>
      <c r="DZ86" s="352">
        <v>5289998.33</v>
      </c>
      <c r="EA86" s="352">
        <v>5683156.9000000004</v>
      </c>
      <c r="EB86" s="352">
        <v>4940990.3099999996</v>
      </c>
      <c r="EC86" s="352">
        <v>4279762.7300000004</v>
      </c>
      <c r="ED86" s="352">
        <v>3941784.88</v>
      </c>
      <c r="EE86" s="365">
        <f t="shared" si="476"/>
        <v>4116457.55</v>
      </c>
      <c r="EF86" s="365">
        <f t="shared" si="476"/>
        <v>4065690.81</v>
      </c>
      <c r="EG86" s="365">
        <f t="shared" si="476"/>
        <v>3662493.32</v>
      </c>
      <c r="EH86" s="365">
        <f t="shared" si="476"/>
        <v>4076736.7499999995</v>
      </c>
      <c r="EI86" s="365">
        <f t="shared" si="476"/>
        <v>4236764.1499999994</v>
      </c>
      <c r="EJ86" s="365">
        <f t="shared" si="476"/>
        <v>5125460.28</v>
      </c>
      <c r="EK86" s="365">
        <f t="shared" si="476"/>
        <v>5648890.5699999994</v>
      </c>
      <c r="EL86" s="365">
        <f t="shared" si="476"/>
        <v>5822604.0099999998</v>
      </c>
      <c r="EM86" s="365">
        <f t="shared" si="476"/>
        <v>5961427.04</v>
      </c>
      <c r="EN86" s="365">
        <f t="shared" si="476"/>
        <v>5383732.2000000002</v>
      </c>
      <c r="EO86" s="365">
        <f t="shared" si="476"/>
        <v>4575100.74</v>
      </c>
      <c r="EP86" s="365">
        <f t="shared" si="476"/>
        <v>4389718.08</v>
      </c>
      <c r="EQ86" s="365">
        <f t="shared" si="476"/>
        <v>4673111.53</v>
      </c>
      <c r="ER86" s="365">
        <f t="shared" si="476"/>
        <v>4597489.7299999995</v>
      </c>
      <c r="ES86" s="365">
        <f t="shared" si="476"/>
        <v>4272225.04</v>
      </c>
      <c r="ET86" s="365">
        <f t="shared" si="476"/>
        <v>4154418.9800000004</v>
      </c>
      <c r="EU86" s="365">
        <f t="shared" si="477"/>
        <v>4458710.59</v>
      </c>
      <c r="EV86" s="365">
        <f t="shared" si="477"/>
        <v>5194779.1900000004</v>
      </c>
      <c r="EW86" s="365">
        <f t="shared" si="477"/>
        <v>5798660.4199999999</v>
      </c>
      <c r="EX86" s="365">
        <f t="shared" si="477"/>
        <v>6124367.4399999995</v>
      </c>
      <c r="EY86" s="365">
        <f t="shared" si="477"/>
        <v>6339905.6100000003</v>
      </c>
      <c r="EZ86" s="365">
        <f t="shared" si="477"/>
        <v>5646524.3600000003</v>
      </c>
      <c r="FA86" s="365">
        <f t="shared" si="477"/>
        <v>5025726.2399999993</v>
      </c>
      <c r="FB86" s="365">
        <f t="shared" si="477"/>
        <v>4670615.47</v>
      </c>
      <c r="FC86" s="365">
        <f t="shared" si="477"/>
        <v>4862135.4000000004</v>
      </c>
      <c r="FD86" s="365">
        <f t="shared" si="477"/>
        <v>4537085.34</v>
      </c>
      <c r="FE86" s="365">
        <f t="shared" si="477"/>
        <v>4713329.79</v>
      </c>
      <c r="FF86" s="365">
        <f t="shared" si="477"/>
        <v>4649058.459999999</v>
      </c>
      <c r="FG86" s="365">
        <f t="shared" si="477"/>
        <v>4902000.0000000009</v>
      </c>
      <c r="FH86" s="365">
        <f t="shared" si="477"/>
        <v>5690677.4100000001</v>
      </c>
      <c r="FI86" s="365">
        <f t="shared" si="477"/>
        <v>6212622.8200000012</v>
      </c>
      <c r="FJ86" s="365">
        <f t="shared" si="477"/>
        <v>6850932.1899999995</v>
      </c>
      <c r="FK86" s="365">
        <f t="shared" si="478"/>
        <v>6367133.1200000001</v>
      </c>
      <c r="FL86" s="365">
        <f t="shared" si="478"/>
        <v>5873320.4699999997</v>
      </c>
      <c r="FM86" s="365">
        <f t="shared" si="478"/>
        <v>5228123.9899999993</v>
      </c>
      <c r="FN86" s="365">
        <f t="shared" si="478"/>
        <v>4741728.9200000009</v>
      </c>
      <c r="FO86" s="365">
        <f t="shared" si="478"/>
        <v>4914766.43</v>
      </c>
      <c r="FP86" s="365">
        <f t="shared" si="478"/>
        <v>4631291.67</v>
      </c>
      <c r="FQ86" s="365">
        <f t="shared" si="478"/>
        <v>4749555.45</v>
      </c>
      <c r="FR86" s="365">
        <f t="shared" ref="FR86:FT86" si="485">SUM(FR52,FR62,FR72,FR79)</f>
        <v>4801519.37</v>
      </c>
      <c r="FS86" s="365">
        <f t="shared" si="485"/>
        <v>5111332.0900000008</v>
      </c>
      <c r="FT86" s="365">
        <f t="shared" si="485"/>
        <v>6221970.0299999993</v>
      </c>
    </row>
    <row r="87" spans="2:176" s="68" customFormat="1" ht="13.5" customHeight="1" thickTop="1" x14ac:dyDescent="0.25">
      <c r="B87" s="87" t="s">
        <v>9</v>
      </c>
      <c r="C87" s="105">
        <f t="shared" ref="C87:Q87" si="486">SUM(C85:C86)</f>
        <v>3172517.5959999999</v>
      </c>
      <c r="D87" s="94">
        <f t="shared" si="486"/>
        <v>3740817.6919999998</v>
      </c>
      <c r="E87" s="94">
        <f t="shared" si="486"/>
        <v>4453198.1880000001</v>
      </c>
      <c r="F87" s="94">
        <f t="shared" si="486"/>
        <v>4819472.53</v>
      </c>
      <c r="G87" s="94">
        <f t="shared" si="486"/>
        <v>5645150.8129999992</v>
      </c>
      <c r="H87" s="94">
        <f t="shared" si="486"/>
        <v>5736590.9369999999</v>
      </c>
      <c r="I87" s="94">
        <f t="shared" si="486"/>
        <v>6868027.2910000002</v>
      </c>
      <c r="J87" s="94">
        <f t="shared" si="486"/>
        <v>6917436.6560000004</v>
      </c>
      <c r="K87" s="111">
        <f t="shared" si="486"/>
        <v>7075898.0290000001</v>
      </c>
      <c r="L87" s="94">
        <f t="shared" si="486"/>
        <v>6549963.8249999993</v>
      </c>
      <c r="M87" s="94">
        <f t="shared" si="486"/>
        <v>6102541.8729999997</v>
      </c>
      <c r="N87" s="107">
        <f t="shared" si="486"/>
        <v>4869552.5239999993</v>
      </c>
      <c r="O87" s="106">
        <f t="shared" si="486"/>
        <v>5241656</v>
      </c>
      <c r="P87" s="106">
        <f t="shared" si="486"/>
        <v>5319634</v>
      </c>
      <c r="Q87" s="94">
        <f t="shared" si="486"/>
        <v>4859601</v>
      </c>
      <c r="R87" s="94">
        <f>SUM(R85:R86)</f>
        <v>4563477.25</v>
      </c>
      <c r="S87" s="94">
        <f>SUM(S85:S86)</f>
        <v>5722170.8000000007</v>
      </c>
      <c r="T87" s="94">
        <f>SUM(T85:T86)</f>
        <v>6755736.2349999994</v>
      </c>
      <c r="U87" s="94">
        <f t="shared" ref="U87:Z87" si="487">SUM(U85:U86)</f>
        <v>6958266.0699999994</v>
      </c>
      <c r="V87" s="94">
        <f t="shared" si="487"/>
        <v>7048120.6699999999</v>
      </c>
      <c r="W87" s="94">
        <f t="shared" si="487"/>
        <v>7287380.8599999994</v>
      </c>
      <c r="X87" s="94">
        <f t="shared" si="487"/>
        <v>6180680.5099999998</v>
      </c>
      <c r="Y87" s="94">
        <f t="shared" si="487"/>
        <v>5697916.0299999993</v>
      </c>
      <c r="Z87" s="96">
        <f t="shared" si="487"/>
        <v>5116876.1400000006</v>
      </c>
      <c r="AA87" s="94">
        <f t="shared" ref="AA87:AF87" si="488">SUM(AA85:AA86)</f>
        <v>5457985.2699999996</v>
      </c>
      <c r="AB87" s="94">
        <f t="shared" si="488"/>
        <v>5306897.1000000006</v>
      </c>
      <c r="AC87" s="94">
        <f t="shared" si="488"/>
        <v>4870158.29</v>
      </c>
      <c r="AD87" s="94">
        <f t="shared" si="488"/>
        <v>5264285.5299999993</v>
      </c>
      <c r="AE87" s="94">
        <f t="shared" si="488"/>
        <v>5525789.8999999994</v>
      </c>
      <c r="AF87" s="94">
        <f t="shared" si="488"/>
        <v>6358762.8200000003</v>
      </c>
      <c r="AG87" s="94">
        <f t="shared" ref="AG87:AL87" si="489">SUM(AG85:AG86)</f>
        <v>7057892.0899999999</v>
      </c>
      <c r="AH87" s="94">
        <f t="shared" si="489"/>
        <v>7499602.3400000008</v>
      </c>
      <c r="AI87" s="94">
        <f t="shared" si="489"/>
        <v>7257017.4000000004</v>
      </c>
      <c r="AJ87" s="94">
        <f t="shared" si="489"/>
        <v>7097647.0569999991</v>
      </c>
      <c r="AK87" s="94">
        <f t="shared" si="489"/>
        <v>6259722.4170000013</v>
      </c>
      <c r="AL87" s="96">
        <f t="shared" si="489"/>
        <v>5376065.3619999997</v>
      </c>
      <c r="AM87" s="94">
        <f t="shared" ref="AM87:AR87" si="490">SUM(AM85:AM86)</f>
        <v>5774710.4800000004</v>
      </c>
      <c r="AN87" s="94">
        <f t="shared" si="490"/>
        <v>5363439.87</v>
      </c>
      <c r="AO87" s="94">
        <f t="shared" si="490"/>
        <v>5088133.58</v>
      </c>
      <c r="AP87" s="94">
        <f t="shared" si="490"/>
        <v>5331398.5999999996</v>
      </c>
      <c r="AQ87" s="94">
        <f t="shared" si="490"/>
        <v>5271523.09</v>
      </c>
      <c r="AR87" s="94">
        <f t="shared" si="490"/>
        <v>6377389.4799999995</v>
      </c>
      <c r="AS87" s="94">
        <f t="shared" ref="AS87:AX87" si="491">SUM(AS85:AS86)</f>
        <v>7580598.1600000001</v>
      </c>
      <c r="AT87" s="94">
        <f t="shared" si="491"/>
        <v>7386900.0700000003</v>
      </c>
      <c r="AU87" s="94">
        <f t="shared" si="491"/>
        <v>7524928.6799999997</v>
      </c>
      <c r="AV87" s="94">
        <f t="shared" si="491"/>
        <v>7195608.6299999999</v>
      </c>
      <c r="AW87" s="94">
        <f t="shared" si="491"/>
        <v>5783573.1699999999</v>
      </c>
      <c r="AX87" s="96">
        <f t="shared" si="491"/>
        <v>5569136.6800000006</v>
      </c>
      <c r="AY87" s="94">
        <f t="shared" ref="AY87:BD87" si="492">SUM(AY85:AY86)</f>
        <v>5568294.75</v>
      </c>
      <c r="AZ87" s="94">
        <f t="shared" si="492"/>
        <v>5126247.84</v>
      </c>
      <c r="BA87" s="94">
        <f t="shared" si="492"/>
        <v>5308576.1400000006</v>
      </c>
      <c r="BB87" s="94">
        <f t="shared" si="492"/>
        <v>5761098.9199999999</v>
      </c>
      <c r="BC87" s="94">
        <f t="shared" si="492"/>
        <v>6229193.4900000002</v>
      </c>
      <c r="BD87" s="94">
        <f t="shared" si="492"/>
        <v>6819031.1499999994</v>
      </c>
      <c r="BE87" s="94">
        <f t="shared" ref="BE87:BJ87" si="493">SUM(BE85:BE86)</f>
        <v>7461443.5499999998</v>
      </c>
      <c r="BF87" s="94">
        <f t="shared" si="493"/>
        <v>7513054.71</v>
      </c>
      <c r="BG87" s="94">
        <f t="shared" si="493"/>
        <v>7786130.0099999998</v>
      </c>
      <c r="BH87" s="94">
        <f t="shared" si="493"/>
        <v>7098315.1799999997</v>
      </c>
      <c r="BI87" s="94">
        <f t="shared" si="493"/>
        <v>5759349.75</v>
      </c>
      <c r="BJ87" s="96">
        <f t="shared" si="493"/>
        <v>5434582.9199999999</v>
      </c>
      <c r="BK87" s="94">
        <f t="shared" ref="BK87:BV87" si="494">SUM(BK85:BK86)</f>
        <v>5651182.6699999999</v>
      </c>
      <c r="BL87" s="94">
        <f t="shared" si="494"/>
        <v>5693479.4800000004</v>
      </c>
      <c r="BM87" s="94">
        <f t="shared" si="494"/>
        <v>5164155.6099999994</v>
      </c>
      <c r="BN87" s="94">
        <f t="shared" si="494"/>
        <v>5635802</v>
      </c>
      <c r="BO87" s="94">
        <f t="shared" si="494"/>
        <v>5682471</v>
      </c>
      <c r="BP87" s="94">
        <f t="shared" si="494"/>
        <v>6544608</v>
      </c>
      <c r="BQ87" s="94">
        <f t="shared" si="494"/>
        <v>7412924.21</v>
      </c>
      <c r="BR87" s="94">
        <f t="shared" si="494"/>
        <v>7259484.5480000004</v>
      </c>
      <c r="BS87" s="94">
        <f t="shared" si="494"/>
        <v>7763950.3999999994</v>
      </c>
      <c r="BT87" s="94">
        <f t="shared" si="494"/>
        <v>7292739.9800000004</v>
      </c>
      <c r="BU87" s="94">
        <f t="shared" si="494"/>
        <v>6214288.379999999</v>
      </c>
      <c r="BV87" s="96">
        <f t="shared" si="494"/>
        <v>5833555.8099999996</v>
      </c>
      <c r="BW87" s="94">
        <f t="shared" ref="BW87:CB87" si="495">SUM(BW85:BW86)</f>
        <v>5762640.29</v>
      </c>
      <c r="BX87" s="94">
        <f t="shared" si="495"/>
        <v>5527899.1699999999</v>
      </c>
      <c r="BY87" s="94">
        <f t="shared" si="495"/>
        <v>5397169.5899999999</v>
      </c>
      <c r="BZ87" s="94">
        <f t="shared" si="495"/>
        <v>5675250.2300000004</v>
      </c>
      <c r="CA87" s="94">
        <f t="shared" si="495"/>
        <v>5775457.8900000006</v>
      </c>
      <c r="CB87" s="94">
        <f t="shared" si="495"/>
        <v>7118944.8200000003</v>
      </c>
      <c r="CC87" s="94">
        <f t="shared" ref="CC87:CH87" si="496">SUM(CC85:CC86)</f>
        <v>7688753.0900000017</v>
      </c>
      <c r="CD87" s="94">
        <f t="shared" si="496"/>
        <v>7748510.4400000013</v>
      </c>
      <c r="CE87" s="94">
        <f t="shared" si="496"/>
        <v>7622549.9399999995</v>
      </c>
      <c r="CF87" s="94">
        <f t="shared" si="496"/>
        <v>4168846.7299999995</v>
      </c>
      <c r="CG87" s="94">
        <f t="shared" si="496"/>
        <v>6794967.6800000006</v>
      </c>
      <c r="CH87" s="94">
        <f t="shared" si="496"/>
        <v>5391632.0599999996</v>
      </c>
      <c r="CI87" s="115">
        <f t="shared" ref="CI87:CN87" si="497">SUM(CI85:CI86)</f>
        <v>5711028.1600000001</v>
      </c>
      <c r="CJ87" s="94">
        <f t="shared" si="497"/>
        <v>5190375</v>
      </c>
      <c r="CK87" s="94">
        <f t="shared" si="497"/>
        <v>5011611.5</v>
      </c>
      <c r="CL87" s="94">
        <f t="shared" si="497"/>
        <v>5071191.67</v>
      </c>
      <c r="CM87" s="94">
        <f t="shared" si="497"/>
        <v>5585195.6799999997</v>
      </c>
      <c r="CN87" s="94">
        <f t="shared" si="497"/>
        <v>6696394.1600000001</v>
      </c>
      <c r="CO87" s="94">
        <f t="shared" ref="CO87:CT87" si="498">SUM(CO85:CO86)</f>
        <v>7902337.8499999996</v>
      </c>
      <c r="CP87" s="94">
        <f t="shared" si="498"/>
        <v>8183101.1400000006</v>
      </c>
      <c r="CQ87" s="94">
        <f t="shared" si="498"/>
        <v>7803083.0200000005</v>
      </c>
      <c r="CR87" s="94">
        <f t="shared" si="498"/>
        <v>6638069.9400000013</v>
      </c>
      <c r="CS87" s="94">
        <f t="shared" si="498"/>
        <v>5867638.4699999997</v>
      </c>
      <c r="CT87" s="96">
        <f t="shared" si="498"/>
        <v>5310123.8999999994</v>
      </c>
      <c r="CU87" s="94">
        <f t="shared" ref="CU87:DJ87" si="499">SUM(CU85:CU86)</f>
        <v>5986205.4600000009</v>
      </c>
      <c r="CV87" s="94">
        <f t="shared" si="499"/>
        <v>5437596.4000000004</v>
      </c>
      <c r="CW87" s="94">
        <f t="shared" si="499"/>
        <v>5447905.4199999999</v>
      </c>
      <c r="CX87" s="94">
        <f t="shared" si="499"/>
        <v>5378414.5999999996</v>
      </c>
      <c r="CY87" s="94">
        <f t="shared" si="499"/>
        <v>5672418.9000000004</v>
      </c>
      <c r="CZ87" s="94">
        <f t="shared" si="499"/>
        <v>6859262.5100000007</v>
      </c>
      <c r="DA87" s="94">
        <f t="shared" si="499"/>
        <v>7757679.8300000001</v>
      </c>
      <c r="DB87" s="94">
        <f t="shared" si="499"/>
        <v>7740906.9199999999</v>
      </c>
      <c r="DC87" s="94">
        <f t="shared" si="499"/>
        <v>8082986.6899999995</v>
      </c>
      <c r="DD87" s="94">
        <f t="shared" si="499"/>
        <v>7072527.2899999991</v>
      </c>
      <c r="DE87" s="94">
        <f t="shared" si="499"/>
        <v>5896159.6500000004</v>
      </c>
      <c r="DF87" s="96">
        <f t="shared" si="499"/>
        <v>5553527.3100000005</v>
      </c>
      <c r="DG87" s="94">
        <f t="shared" si="499"/>
        <v>5888829.1500000004</v>
      </c>
      <c r="DH87" s="94">
        <f t="shared" si="499"/>
        <v>5739246.1600000001</v>
      </c>
      <c r="DI87" s="94">
        <f t="shared" si="499"/>
        <v>5320977.3800000008</v>
      </c>
      <c r="DJ87" s="94">
        <f t="shared" si="499"/>
        <v>5525105.3500000006</v>
      </c>
      <c r="DK87" s="94">
        <f t="shared" ref="DK87:FQ87" si="500">SUM(DK85:DK86)</f>
        <v>6311720.4799999986</v>
      </c>
      <c r="DL87" s="94">
        <f t="shared" si="500"/>
        <v>7137674.5499999989</v>
      </c>
      <c r="DM87" s="94">
        <f t="shared" si="500"/>
        <v>8194437.8399999999</v>
      </c>
      <c r="DN87" s="94">
        <f t="shared" si="500"/>
        <v>8176741.3249999993</v>
      </c>
      <c r="DO87" s="94">
        <f t="shared" si="500"/>
        <v>8591118.290000001</v>
      </c>
      <c r="DP87" s="94">
        <f t="shared" si="500"/>
        <v>7536993.9000000013</v>
      </c>
      <c r="DQ87" s="94">
        <f t="shared" si="500"/>
        <v>5976321.7800000003</v>
      </c>
      <c r="DR87" s="94">
        <f t="shared" si="500"/>
        <v>5656520.5499999998</v>
      </c>
      <c r="DS87" s="94">
        <f t="shared" si="500"/>
        <v>5876735.5099999998</v>
      </c>
      <c r="DT87" s="94">
        <f t="shared" si="500"/>
        <v>5399775.8899999987</v>
      </c>
      <c r="DU87" s="94">
        <f t="shared" si="500"/>
        <v>5204281.91</v>
      </c>
      <c r="DV87" s="358">
        <f t="shared" si="500"/>
        <v>5774866.4100000001</v>
      </c>
      <c r="DW87" s="358">
        <f t="shared" si="500"/>
        <v>6152960.3199999994</v>
      </c>
      <c r="DX87" s="358">
        <f t="shared" si="500"/>
        <v>7117716.0599999996</v>
      </c>
      <c r="DY87" s="358">
        <f t="shared" si="500"/>
        <v>7813724.3100000005</v>
      </c>
      <c r="DZ87" s="358">
        <f t="shared" si="500"/>
        <v>7719275.3499999996</v>
      </c>
      <c r="EA87" s="358">
        <f t="shared" si="500"/>
        <v>8330953.6100000003</v>
      </c>
      <c r="EB87" s="358">
        <f t="shared" si="500"/>
        <v>7173254.1999999993</v>
      </c>
      <c r="EC87" s="358">
        <f t="shared" si="500"/>
        <v>6162901.0900000008</v>
      </c>
      <c r="ED87" s="358">
        <f t="shared" si="500"/>
        <v>5640366.5</v>
      </c>
      <c r="EE87" s="358">
        <f t="shared" si="500"/>
        <v>5860408.21</v>
      </c>
      <c r="EF87" s="358">
        <f t="shared" si="500"/>
        <v>5673765.6799999997</v>
      </c>
      <c r="EG87" s="358">
        <f t="shared" si="500"/>
        <v>5084699.33</v>
      </c>
      <c r="EH87" s="358">
        <f t="shared" si="500"/>
        <v>5589346.5899999999</v>
      </c>
      <c r="EI87" s="358">
        <f t="shared" si="500"/>
        <v>5825625.3199999994</v>
      </c>
      <c r="EJ87" s="358">
        <f t="shared" si="500"/>
        <v>7091924.3100000005</v>
      </c>
      <c r="EK87" s="358">
        <f t="shared" si="500"/>
        <v>8001218.4299999997</v>
      </c>
      <c r="EL87" s="358">
        <f t="shared" si="500"/>
        <v>8180795.3999999994</v>
      </c>
      <c r="EM87" s="358">
        <f t="shared" si="500"/>
        <v>8371793.2999999998</v>
      </c>
      <c r="EN87" s="358">
        <f t="shared" si="500"/>
        <v>7593345.0300000003</v>
      </c>
      <c r="EO87" s="358">
        <f t="shared" si="500"/>
        <v>6283323.2700000005</v>
      </c>
      <c r="EP87" s="358">
        <f t="shared" si="500"/>
        <v>5961521.5700000003</v>
      </c>
      <c r="EQ87" s="358">
        <f t="shared" si="500"/>
        <v>6457931.6600000001</v>
      </c>
      <c r="ER87" s="358">
        <f t="shared" si="500"/>
        <v>6222159.9399999995</v>
      </c>
      <c r="ES87" s="358">
        <f t="shared" si="500"/>
        <v>5770580.21</v>
      </c>
      <c r="ET87" s="358">
        <f t="shared" si="500"/>
        <v>5519702.9200000009</v>
      </c>
      <c r="EU87" s="358">
        <f t="shared" si="500"/>
        <v>6005910.5099999998</v>
      </c>
      <c r="EV87" s="358">
        <f t="shared" si="500"/>
        <v>7006708.790000001</v>
      </c>
      <c r="EW87" s="358">
        <f t="shared" si="500"/>
        <v>7915564.5999999996</v>
      </c>
      <c r="EX87" s="358">
        <f t="shared" si="500"/>
        <v>8316027.4199999999</v>
      </c>
      <c r="EY87" s="358">
        <f t="shared" si="500"/>
        <v>8574151.4600000009</v>
      </c>
      <c r="EZ87" s="358">
        <f t="shared" si="500"/>
        <v>7561102.8100000005</v>
      </c>
      <c r="FA87" s="358">
        <f t="shared" si="500"/>
        <v>6623785.8099999987</v>
      </c>
      <c r="FB87" s="358">
        <f t="shared" si="500"/>
        <v>6052088.6600000001</v>
      </c>
      <c r="FC87" s="358">
        <f t="shared" si="500"/>
        <v>6385953.4300000006</v>
      </c>
      <c r="FD87" s="358">
        <f t="shared" si="500"/>
        <v>6013068.6699999999</v>
      </c>
      <c r="FE87" s="358">
        <f t="shared" si="500"/>
        <v>6123751.5700000003</v>
      </c>
      <c r="FF87" s="358">
        <f t="shared" si="500"/>
        <v>6002884.9899999993</v>
      </c>
      <c r="FG87" s="358">
        <f t="shared" si="500"/>
        <v>6362566.7800000012</v>
      </c>
      <c r="FH87" s="358">
        <f t="shared" si="500"/>
        <v>7421262.29</v>
      </c>
      <c r="FI87" s="358">
        <f t="shared" si="500"/>
        <v>8213795.9200000009</v>
      </c>
      <c r="FJ87" s="358">
        <f t="shared" si="500"/>
        <v>9130768.2199999988</v>
      </c>
      <c r="FK87" s="358">
        <f t="shared" si="500"/>
        <v>8454178.7800000012</v>
      </c>
      <c r="FL87" s="358">
        <f t="shared" si="500"/>
        <v>7673476.3700000001</v>
      </c>
      <c r="FM87" s="358">
        <f t="shared" si="500"/>
        <v>6717438.7199999988</v>
      </c>
      <c r="FN87" s="358">
        <f t="shared" si="500"/>
        <v>6056599.4420000007</v>
      </c>
      <c r="FO87" s="358">
        <f t="shared" si="500"/>
        <v>6347427.5599999996</v>
      </c>
      <c r="FP87" s="358">
        <f t="shared" si="500"/>
        <v>5928419.8499999996</v>
      </c>
      <c r="FQ87" s="358">
        <f t="shared" si="500"/>
        <v>5954183.5999999996</v>
      </c>
      <c r="FR87" s="358">
        <f t="shared" ref="FR87:FT87" si="501">SUM(FR85:FR86)</f>
        <v>6073003.5199999996</v>
      </c>
      <c r="FS87" s="358">
        <f t="shared" si="501"/>
        <v>6454206.9500000011</v>
      </c>
      <c r="FT87" s="358">
        <f t="shared" si="501"/>
        <v>7958551.1199999992</v>
      </c>
    </row>
    <row r="88" spans="2:176" ht="13.5" customHeight="1" x14ac:dyDescent="0.25">
      <c r="B88" s="3" t="s">
        <v>10</v>
      </c>
      <c r="C88" s="26">
        <f t="shared" ref="C88:Q88" si="502">SUM(C85)/C87</f>
        <v>0.93633816050235708</v>
      </c>
      <c r="D88" s="14">
        <f t="shared" si="502"/>
        <v>0.7940909005944683</v>
      </c>
      <c r="E88" s="14">
        <f t="shared" si="502"/>
        <v>0.66779121329328994</v>
      </c>
      <c r="F88" s="14">
        <f t="shared" si="502"/>
        <v>0.74122858316198359</v>
      </c>
      <c r="G88" s="14">
        <f t="shared" si="502"/>
        <v>0.73251603490863204</v>
      </c>
      <c r="H88" s="14">
        <f t="shared" si="502"/>
        <v>0.76810398394979718</v>
      </c>
      <c r="I88" s="14">
        <f t="shared" si="502"/>
        <v>0.71417107870662355</v>
      </c>
      <c r="J88" s="14">
        <f t="shared" si="502"/>
        <v>0.77697722122805946</v>
      </c>
      <c r="K88" s="100">
        <f t="shared" si="502"/>
        <v>0.72936560205480605</v>
      </c>
      <c r="L88" s="14">
        <f t="shared" si="502"/>
        <v>0.71330411553837869</v>
      </c>
      <c r="M88" s="14">
        <f t="shared" si="502"/>
        <v>0.59915306524599732</v>
      </c>
      <c r="N88" s="23">
        <f t="shared" si="502"/>
        <v>0.63746117650460332</v>
      </c>
      <c r="O88" s="36">
        <f t="shared" si="502"/>
        <v>0.67303825355956204</v>
      </c>
      <c r="P88" s="36">
        <f t="shared" si="502"/>
        <v>0.65255504420040933</v>
      </c>
      <c r="Q88" s="14">
        <f t="shared" si="502"/>
        <v>0.66122445032009824</v>
      </c>
      <c r="R88" s="14">
        <f>SUM(R85)/R87</f>
        <v>0.64434001067935642</v>
      </c>
      <c r="S88" s="14">
        <f>SUM(S85)/S87</f>
        <v>0.61182845503318417</v>
      </c>
      <c r="T88" s="14">
        <f>SUM(T85)/T87</f>
        <v>0.65598005914450852</v>
      </c>
      <c r="U88" s="14">
        <f t="shared" ref="U88:Z88" si="503">SUM(U85)/U87</f>
        <v>0.67429097605633814</v>
      </c>
      <c r="V88" s="14">
        <f t="shared" si="503"/>
        <v>0.67360266832661941</v>
      </c>
      <c r="W88" s="14">
        <f t="shared" si="503"/>
        <v>0.66484963844746814</v>
      </c>
      <c r="X88" s="14">
        <f t="shared" si="503"/>
        <v>0.64246597014282492</v>
      </c>
      <c r="Y88" s="14">
        <f t="shared" si="503"/>
        <v>0.5996148665602572</v>
      </c>
      <c r="Z88" s="23">
        <f t="shared" si="503"/>
        <v>0.60802630450226214</v>
      </c>
      <c r="AA88" s="14">
        <f t="shared" ref="AA88:AF88" si="504">SUM(AA85)/AA87</f>
        <v>0.59479249016001834</v>
      </c>
      <c r="AB88" s="14">
        <f t="shared" si="504"/>
        <v>0.57123164494747791</v>
      </c>
      <c r="AC88" s="14">
        <f t="shared" si="504"/>
        <v>0.58915524283708653</v>
      </c>
      <c r="AD88" s="14">
        <f t="shared" si="504"/>
        <v>0.54391931700558804</v>
      </c>
      <c r="AE88" s="14">
        <f t="shared" si="504"/>
        <v>0.5522591819859094</v>
      </c>
      <c r="AF88" s="14">
        <f t="shared" si="504"/>
        <v>0.56860958371144288</v>
      </c>
      <c r="AG88" s="14">
        <f t="shared" ref="AG88:AL88" si="505">SUM(AG85)/AG87</f>
        <v>0.5866273608612228</v>
      </c>
      <c r="AH88" s="14">
        <f t="shared" si="505"/>
        <v>0.58468721156220671</v>
      </c>
      <c r="AI88" s="14">
        <f t="shared" si="505"/>
        <v>0.57414270909699072</v>
      </c>
      <c r="AJ88" s="14">
        <f t="shared" si="505"/>
        <v>0.5606392097329671</v>
      </c>
      <c r="AK88" s="14">
        <f t="shared" si="505"/>
        <v>0.53721802181951284</v>
      </c>
      <c r="AL88" s="23">
        <f t="shared" si="505"/>
        <v>0.51381781154021611</v>
      </c>
      <c r="AM88" s="14">
        <f t="shared" ref="AM88:AR88" si="506">SUM(AM85)/AM87</f>
        <v>0.52503956700527088</v>
      </c>
      <c r="AN88" s="14">
        <f t="shared" si="506"/>
        <v>0.53914167401675372</v>
      </c>
      <c r="AO88" s="14">
        <f t="shared" si="506"/>
        <v>0.50009702575457926</v>
      </c>
      <c r="AP88" s="14">
        <f t="shared" si="506"/>
        <v>0.5049560728773872</v>
      </c>
      <c r="AQ88" s="14">
        <f t="shared" si="506"/>
        <v>0.50675598956733392</v>
      </c>
      <c r="AR88" s="14">
        <f t="shared" si="506"/>
        <v>0.52946224479299009</v>
      </c>
      <c r="AS88" s="14">
        <f t="shared" ref="AS88:AX88" si="507">SUM(AS85)/AS87</f>
        <v>0.54947578437530586</v>
      </c>
      <c r="AT88" s="14">
        <f t="shared" si="507"/>
        <v>0.5374250081062758</v>
      </c>
      <c r="AU88" s="14">
        <f t="shared" si="507"/>
        <v>0.52172878799962263</v>
      </c>
      <c r="AV88" s="14">
        <f t="shared" si="507"/>
        <v>0.52768599506224112</v>
      </c>
      <c r="AW88" s="14">
        <f t="shared" si="507"/>
        <v>0.49061360798864073</v>
      </c>
      <c r="AX88" s="23">
        <f t="shared" si="507"/>
        <v>0.48023310859018098</v>
      </c>
      <c r="AY88" s="14">
        <f t="shared" ref="AY88:BD88" si="508">SUM(AY85)/AY87</f>
        <v>0.49181802920903206</v>
      </c>
      <c r="AZ88" s="14">
        <f t="shared" si="508"/>
        <v>0.48183874777306912</v>
      </c>
      <c r="BA88" s="14">
        <f t="shared" si="508"/>
        <v>0.47345654912279367</v>
      </c>
      <c r="BB88" s="14">
        <f t="shared" si="508"/>
        <v>0.45548426722726709</v>
      </c>
      <c r="BC88" s="14">
        <f t="shared" si="508"/>
        <v>0.47603265089779706</v>
      </c>
      <c r="BD88" s="14">
        <f t="shared" si="508"/>
        <v>0.49120308681974562</v>
      </c>
      <c r="BE88" s="14">
        <f t="shared" ref="BE88:BJ88" si="509">SUM(BE85)/BE87</f>
        <v>0.49227519117262503</v>
      </c>
      <c r="BF88" s="14">
        <f t="shared" si="509"/>
        <v>0.49732071097882369</v>
      </c>
      <c r="BG88" s="14">
        <f t="shared" si="509"/>
        <v>0.49487511832595243</v>
      </c>
      <c r="BH88" s="14">
        <f t="shared" si="509"/>
        <v>0.47251924364395442</v>
      </c>
      <c r="BI88" s="14">
        <f t="shared" si="509"/>
        <v>0.45935675637688095</v>
      </c>
      <c r="BJ88" s="23">
        <f t="shared" si="509"/>
        <v>0.45147897568558953</v>
      </c>
      <c r="BK88" s="14">
        <f t="shared" ref="BK88:BV88" si="510">SUM(BK85)/BK87</f>
        <v>0.46599744226636369</v>
      </c>
      <c r="BL88" s="14">
        <f t="shared" si="510"/>
        <v>0.46377764059316495</v>
      </c>
      <c r="BM88" s="14">
        <f t="shared" si="510"/>
        <v>0.44988489609049565</v>
      </c>
      <c r="BN88" s="14">
        <f t="shared" si="510"/>
        <v>0.42694633345884048</v>
      </c>
      <c r="BO88" s="14">
        <f t="shared" si="510"/>
        <v>0.43399535167007453</v>
      </c>
      <c r="BP88" s="14">
        <f t="shared" si="510"/>
        <v>0.44817031058239087</v>
      </c>
      <c r="BQ88" s="14">
        <f t="shared" si="510"/>
        <v>0.45900208117735491</v>
      </c>
      <c r="BR88" s="14">
        <f t="shared" si="510"/>
        <v>0.46420351578934166</v>
      </c>
      <c r="BS88" s="14">
        <f t="shared" si="510"/>
        <v>0.46695773842140981</v>
      </c>
      <c r="BT88" s="14">
        <f t="shared" si="510"/>
        <v>0.46097922717930223</v>
      </c>
      <c r="BU88" s="14">
        <f t="shared" si="510"/>
        <v>0.44374226160389418</v>
      </c>
      <c r="BV88" s="23">
        <f t="shared" si="510"/>
        <v>0.43280215570612668</v>
      </c>
      <c r="BW88" s="14">
        <f t="shared" ref="BW88:CB88" si="511">SUM(BW85)/BW87</f>
        <v>0.44649472125909845</v>
      </c>
      <c r="BX88" s="14">
        <f t="shared" si="511"/>
        <v>0.45280876387620506</v>
      </c>
      <c r="BY88" s="14">
        <f t="shared" si="511"/>
        <v>0.43357933468234788</v>
      </c>
      <c r="BZ88" s="14">
        <f t="shared" si="511"/>
        <v>0.41770364017940403</v>
      </c>
      <c r="CA88" s="14">
        <f t="shared" si="511"/>
        <v>0.42541146811131886</v>
      </c>
      <c r="CB88" s="14">
        <f t="shared" si="511"/>
        <v>0.43546290614456534</v>
      </c>
      <c r="CC88" s="14">
        <f t="shared" ref="CC88:CH88" si="512">SUM(CC85)/CC87</f>
        <v>0.44672124852951933</v>
      </c>
      <c r="CD88" s="14">
        <f t="shared" si="512"/>
        <v>0.45458857767248484</v>
      </c>
      <c r="CE88" s="14">
        <f t="shared" si="512"/>
        <v>0.45098862940345658</v>
      </c>
      <c r="CF88" s="14">
        <f t="shared" si="512"/>
        <v>0.43364429711235752</v>
      </c>
      <c r="CG88" s="14">
        <f t="shared" si="512"/>
        <v>0.41701665753912748</v>
      </c>
      <c r="CH88" s="14">
        <f t="shared" si="512"/>
        <v>0.41291016249354379</v>
      </c>
      <c r="CI88" s="177">
        <f t="shared" ref="CI88:DJ88" si="513">SUM(CI85)/CI87</f>
        <v>0.42678346030078063</v>
      </c>
      <c r="CJ88" s="14">
        <f t="shared" si="513"/>
        <v>0.40637480528863518</v>
      </c>
      <c r="CK88" s="14">
        <f t="shared" si="513"/>
        <v>0.38950550536489109</v>
      </c>
      <c r="CL88" s="14">
        <f t="shared" si="513"/>
        <v>0.39721494691601744</v>
      </c>
      <c r="CM88" s="14">
        <f t="shared" si="513"/>
        <v>0.39087648044589191</v>
      </c>
      <c r="CN88" s="14">
        <f t="shared" si="513"/>
        <v>0.393555610233075</v>
      </c>
      <c r="CO88" s="14">
        <f t="shared" si="513"/>
        <v>0.38928372063970917</v>
      </c>
      <c r="CP88" s="14">
        <f t="shared" si="513"/>
        <v>0.38501195648181852</v>
      </c>
      <c r="CQ88" s="14">
        <f t="shared" si="513"/>
        <v>0.37502401326495172</v>
      </c>
      <c r="CR88" s="14">
        <f t="shared" si="513"/>
        <v>0.36125873810844472</v>
      </c>
      <c r="CS88" s="14">
        <f t="shared" si="513"/>
        <v>0.34227508907855392</v>
      </c>
      <c r="CT88" s="23">
        <f t="shared" si="513"/>
        <v>0.3362198121215213</v>
      </c>
      <c r="CU88" s="14">
        <f t="shared" si="513"/>
        <v>0.35035370971045815</v>
      </c>
      <c r="CV88" s="14">
        <f t="shared" si="513"/>
        <v>0.32748210771950631</v>
      </c>
      <c r="CW88" s="14">
        <f t="shared" si="513"/>
        <v>0.31660609482460511</v>
      </c>
      <c r="CX88" s="14">
        <f t="shared" si="513"/>
        <v>0.30159439921199083</v>
      </c>
      <c r="CY88" s="14">
        <f t="shared" si="513"/>
        <v>0.29141590195322137</v>
      </c>
      <c r="CZ88" s="14">
        <f t="shared" si="513"/>
        <v>0.32708060622103236</v>
      </c>
      <c r="DA88" s="14">
        <f t="shared" si="513"/>
        <v>0.32934214301030257</v>
      </c>
      <c r="DB88" s="14">
        <f t="shared" si="513"/>
        <v>0.32471828766027838</v>
      </c>
      <c r="DC88" s="14">
        <f t="shared" si="513"/>
        <v>0.3286009926610432</v>
      </c>
      <c r="DD88" s="14">
        <f t="shared" si="513"/>
        <v>0.31842610394508636</v>
      </c>
      <c r="DE88" s="14">
        <f t="shared" si="513"/>
        <v>0.29742430566648581</v>
      </c>
      <c r="DF88" s="23">
        <f t="shared" si="513"/>
        <v>0.28529144299823389</v>
      </c>
      <c r="DG88" s="14">
        <f t="shared" si="513"/>
        <v>0.29198432085603981</v>
      </c>
      <c r="DH88" s="14">
        <f t="shared" si="513"/>
        <v>0.29757963195640308</v>
      </c>
      <c r="DI88" s="14">
        <f t="shared" si="513"/>
        <v>0.29151599024463432</v>
      </c>
      <c r="DJ88" s="14">
        <f t="shared" si="513"/>
        <v>0.28271096948404795</v>
      </c>
      <c r="DK88" s="14">
        <f t="shared" ref="DK88:FQ88" si="514">SUM(DK85)/DK87</f>
        <v>0.29464332520631531</v>
      </c>
      <c r="DL88" s="14">
        <f t="shared" si="514"/>
        <v>0.30317046467185876</v>
      </c>
      <c r="DM88" s="14">
        <f t="shared" si="514"/>
        <v>0.32082839132257057</v>
      </c>
      <c r="DN88" s="14">
        <f t="shared" si="514"/>
        <v>0.32649825509797448</v>
      </c>
      <c r="DO88" s="14">
        <f t="shared" si="514"/>
        <v>0.32406227641407553</v>
      </c>
      <c r="DP88" s="14">
        <f t="shared" si="514"/>
        <v>0.31315634871351028</v>
      </c>
      <c r="DQ88" s="14">
        <f t="shared" si="514"/>
        <v>0.29716655417439719</v>
      </c>
      <c r="DR88" s="14">
        <f t="shared" si="514"/>
        <v>0.29142155419200239</v>
      </c>
      <c r="DS88" s="14">
        <f t="shared" si="514"/>
        <v>0.29964267015311025</v>
      </c>
      <c r="DT88" s="14">
        <f t="shared" si="514"/>
        <v>0.29164885952331632</v>
      </c>
      <c r="DU88" s="14">
        <f t="shared" si="514"/>
        <v>0.29305505857963793</v>
      </c>
      <c r="DV88" s="280">
        <f t="shared" si="514"/>
        <v>0.29331149497534437</v>
      </c>
      <c r="DW88" s="280">
        <f t="shared" si="514"/>
        <v>0.29419188095788013</v>
      </c>
      <c r="DX88" s="280">
        <f t="shared" si="514"/>
        <v>0.30542573652481442</v>
      </c>
      <c r="DY88" s="280">
        <f t="shared" si="514"/>
        <v>0.31421717129920085</v>
      </c>
      <c r="DZ88" s="280">
        <f t="shared" si="514"/>
        <v>0.31470272918817438</v>
      </c>
      <c r="EA88" s="280">
        <f t="shared" si="514"/>
        <v>0.31782636585825375</v>
      </c>
      <c r="EB88" s="280">
        <f t="shared" si="514"/>
        <v>0.31119263694851362</v>
      </c>
      <c r="EC88" s="280">
        <f t="shared" si="514"/>
        <v>0.30556037367784528</v>
      </c>
      <c r="ED88" s="280">
        <f t="shared" si="514"/>
        <v>0.30114738466019897</v>
      </c>
      <c r="EE88" s="280">
        <f t="shared" si="514"/>
        <v>0.29758177203836794</v>
      </c>
      <c r="EF88" s="280">
        <f t="shared" si="514"/>
        <v>0.28342285541830836</v>
      </c>
      <c r="EG88" s="280">
        <f t="shared" si="514"/>
        <v>0.27970306948316648</v>
      </c>
      <c r="EH88" s="280">
        <f t="shared" si="514"/>
        <v>0.27062373314015586</v>
      </c>
      <c r="EI88" s="280">
        <f t="shared" si="514"/>
        <v>0.27273658752911351</v>
      </c>
      <c r="EJ88" s="280">
        <f t="shared" si="514"/>
        <v>0.27728215136576945</v>
      </c>
      <c r="EK88" s="280">
        <f t="shared" si="514"/>
        <v>0.29399620577537461</v>
      </c>
      <c r="EL88" s="280">
        <f t="shared" si="514"/>
        <v>0.28825942646114822</v>
      </c>
      <c r="EM88" s="280">
        <f t="shared" si="514"/>
        <v>0.28791516627626246</v>
      </c>
      <c r="EN88" s="280">
        <f t="shared" si="514"/>
        <v>0.29099333972975017</v>
      </c>
      <c r="EO88" s="280">
        <f t="shared" si="514"/>
        <v>0.27186609006033202</v>
      </c>
      <c r="EP88" s="280">
        <f t="shared" si="514"/>
        <v>0.26365810666688572</v>
      </c>
      <c r="EQ88" s="280">
        <f t="shared" si="514"/>
        <v>0.27637643505196213</v>
      </c>
      <c r="ER88" s="280">
        <f t="shared" si="514"/>
        <v>0.26111032594253758</v>
      </c>
      <c r="ES88" s="280">
        <f t="shared" si="514"/>
        <v>0.25965416222851528</v>
      </c>
      <c r="ET88" s="280">
        <f t="shared" si="514"/>
        <v>0.24734735904953375</v>
      </c>
      <c r="EU88" s="280">
        <f t="shared" si="514"/>
        <v>0.25761288274673283</v>
      </c>
      <c r="EV88" s="280">
        <f t="shared" si="514"/>
        <v>0.25859924456771949</v>
      </c>
      <c r="EW88" s="280">
        <f t="shared" si="514"/>
        <v>0.26743565203169462</v>
      </c>
      <c r="EX88" s="280">
        <f t="shared" si="514"/>
        <v>0.26354650716146871</v>
      </c>
      <c r="EY88" s="280">
        <f t="shared" si="514"/>
        <v>0.26057923754008422</v>
      </c>
      <c r="EZ88" s="280">
        <f t="shared" si="514"/>
        <v>0.25321418027378995</v>
      </c>
      <c r="FA88" s="280">
        <f t="shared" si="514"/>
        <v>0.24126075568255734</v>
      </c>
      <c r="FB88" s="280">
        <f t="shared" si="514"/>
        <v>0.22826387179859983</v>
      </c>
      <c r="FC88" s="280">
        <f t="shared" si="514"/>
        <v>0.23862028539722688</v>
      </c>
      <c r="FD88" s="280">
        <f t="shared" si="514"/>
        <v>0.24546257676448591</v>
      </c>
      <c r="FE88" s="280">
        <f t="shared" si="514"/>
        <v>0.23031988869528874</v>
      </c>
      <c r="FF88" s="280">
        <f t="shared" si="514"/>
        <v>0.22552931336437285</v>
      </c>
      <c r="FG88" s="280">
        <f t="shared" si="514"/>
        <v>0.22955622007632581</v>
      </c>
      <c r="FH88" s="280">
        <f t="shared" si="514"/>
        <v>0.23319279286650843</v>
      </c>
      <c r="FI88" s="280">
        <f t="shared" si="514"/>
        <v>0.24363560033519796</v>
      </c>
      <c r="FJ88" s="280">
        <f t="shared" si="514"/>
        <v>0.24968720868483507</v>
      </c>
      <c r="FK88" s="280">
        <f t="shared" si="514"/>
        <v>0.24686556959705078</v>
      </c>
      <c r="FL88" s="280">
        <f t="shared" si="514"/>
        <v>0.23459457137808323</v>
      </c>
      <c r="FM88" s="280">
        <f t="shared" si="514"/>
        <v>0.22170871846822002</v>
      </c>
      <c r="FN88" s="280">
        <f t="shared" si="514"/>
        <v>0.21709715733913643</v>
      </c>
      <c r="FO88" s="280">
        <f t="shared" si="514"/>
        <v>0.2257073619915404</v>
      </c>
      <c r="FP88" s="280">
        <f t="shared" si="514"/>
        <v>0.21879829917916496</v>
      </c>
      <c r="FQ88" s="280">
        <f t="shared" si="514"/>
        <v>0.20231625877307513</v>
      </c>
      <c r="FR88" s="280">
        <f t="shared" ref="FR88:FT88" si="515">SUM(FR85)/FR87</f>
        <v>0.20936660843562296</v>
      </c>
      <c r="FS88" s="280">
        <f t="shared" si="515"/>
        <v>0.20806194632479205</v>
      </c>
      <c r="FT88" s="280">
        <f t="shared" si="515"/>
        <v>0.21820317088068161</v>
      </c>
    </row>
    <row r="89" spans="2:176" ht="13.5" customHeight="1" thickBot="1" x14ac:dyDescent="0.3">
      <c r="B89" s="4" t="s">
        <v>11</v>
      </c>
      <c r="C89" s="27">
        <f t="shared" ref="C89:Q89" si="516">SUM(C86/C87)</f>
        <v>6.3661839497642925E-2</v>
      </c>
      <c r="D89" s="15">
        <f t="shared" si="516"/>
        <v>0.20590909940553176</v>
      </c>
      <c r="E89" s="15">
        <f t="shared" si="516"/>
        <v>0.33220878670671011</v>
      </c>
      <c r="F89" s="15">
        <f t="shared" si="516"/>
        <v>0.25877141683801647</v>
      </c>
      <c r="G89" s="15">
        <f t="shared" si="516"/>
        <v>0.26748396509136807</v>
      </c>
      <c r="H89" s="15">
        <f t="shared" si="516"/>
        <v>0.23189601605020282</v>
      </c>
      <c r="I89" s="15">
        <f t="shared" si="516"/>
        <v>0.28582892129337639</v>
      </c>
      <c r="J89" s="15">
        <f t="shared" si="516"/>
        <v>0.22302277877194057</v>
      </c>
      <c r="K89" s="101">
        <f t="shared" si="516"/>
        <v>0.27063439794519406</v>
      </c>
      <c r="L89" s="15">
        <f t="shared" si="516"/>
        <v>0.28669588446162142</v>
      </c>
      <c r="M89" s="15">
        <f t="shared" si="516"/>
        <v>0.40084693475400274</v>
      </c>
      <c r="N89" s="24">
        <f t="shared" si="516"/>
        <v>0.36253882349539668</v>
      </c>
      <c r="O89" s="37">
        <f t="shared" si="516"/>
        <v>0.32696174644043791</v>
      </c>
      <c r="P89" s="37">
        <f t="shared" si="516"/>
        <v>0.34744495579959073</v>
      </c>
      <c r="Q89" s="15">
        <f t="shared" si="516"/>
        <v>0.3387755496799017</v>
      </c>
      <c r="R89" s="15">
        <f>SUM(R86/R87)</f>
        <v>0.35565998932064358</v>
      </c>
      <c r="S89" s="15">
        <f>SUM(S86/S87)</f>
        <v>0.38817154496681577</v>
      </c>
      <c r="T89" s="15">
        <f>SUM(T86/T87)</f>
        <v>0.34401994085549142</v>
      </c>
      <c r="U89" s="15">
        <f t="shared" ref="U89:Z89" si="517">SUM(U86/U87)</f>
        <v>0.32570902394366186</v>
      </c>
      <c r="V89" s="15">
        <f t="shared" si="517"/>
        <v>0.32639733167338064</v>
      </c>
      <c r="W89" s="15">
        <f t="shared" si="517"/>
        <v>0.33515036155253175</v>
      </c>
      <c r="X89" s="15">
        <f t="shared" si="517"/>
        <v>0.35753402985717503</v>
      </c>
      <c r="Y89" s="15">
        <f t="shared" si="517"/>
        <v>0.40038513343974286</v>
      </c>
      <c r="Z89" s="24">
        <f t="shared" si="517"/>
        <v>0.39197369549773775</v>
      </c>
      <c r="AA89" s="15">
        <f t="shared" ref="AA89:AF89" si="518">SUM(AA86/AA87)</f>
        <v>0.40520750983998166</v>
      </c>
      <c r="AB89" s="15">
        <f t="shared" si="518"/>
        <v>0.42876835505252209</v>
      </c>
      <c r="AC89" s="15">
        <f t="shared" si="518"/>
        <v>0.41084475716291347</v>
      </c>
      <c r="AD89" s="15">
        <f t="shared" si="518"/>
        <v>0.45608068299441201</v>
      </c>
      <c r="AE89" s="15">
        <f t="shared" si="518"/>
        <v>0.44774081801409055</v>
      </c>
      <c r="AF89" s="15">
        <f t="shared" si="518"/>
        <v>0.43139041628855718</v>
      </c>
      <c r="AG89" s="15">
        <f t="shared" ref="AG89:AL89" si="519">SUM(AG86/AG87)</f>
        <v>0.4133726391387772</v>
      </c>
      <c r="AH89" s="15">
        <f t="shared" si="519"/>
        <v>0.41531278843779329</v>
      </c>
      <c r="AI89" s="15">
        <f t="shared" si="519"/>
        <v>0.42585729090300928</v>
      </c>
      <c r="AJ89" s="15">
        <f t="shared" si="519"/>
        <v>0.4393607902670329</v>
      </c>
      <c r="AK89" s="15">
        <f t="shared" si="519"/>
        <v>0.46278197818048705</v>
      </c>
      <c r="AL89" s="24">
        <f t="shared" si="519"/>
        <v>0.48618218845978389</v>
      </c>
      <c r="AM89" s="15">
        <f t="shared" ref="AM89:AR89" si="520">SUM(AM86/AM87)</f>
        <v>0.47496043299472912</v>
      </c>
      <c r="AN89" s="15">
        <f t="shared" si="520"/>
        <v>0.46085832598324622</v>
      </c>
      <c r="AO89" s="15">
        <f t="shared" si="520"/>
        <v>0.49990297424542063</v>
      </c>
      <c r="AP89" s="15">
        <f t="shared" si="520"/>
        <v>0.49504392712261286</v>
      </c>
      <c r="AQ89" s="15">
        <f t="shared" si="520"/>
        <v>0.49324401043266608</v>
      </c>
      <c r="AR89" s="15">
        <f t="shared" si="520"/>
        <v>0.47053775520700986</v>
      </c>
      <c r="AS89" s="15">
        <f t="shared" ref="AS89:AX89" si="521">SUM(AS86/AS87)</f>
        <v>0.45052421562469425</v>
      </c>
      <c r="AT89" s="15">
        <f t="shared" si="521"/>
        <v>0.46257499189372409</v>
      </c>
      <c r="AU89" s="15">
        <f t="shared" si="521"/>
        <v>0.47827121200037731</v>
      </c>
      <c r="AV89" s="15">
        <f t="shared" si="521"/>
        <v>0.47231400493775888</v>
      </c>
      <c r="AW89" s="15">
        <f t="shared" si="521"/>
        <v>0.50938639201135938</v>
      </c>
      <c r="AX89" s="24">
        <f t="shared" si="521"/>
        <v>0.51976689140981902</v>
      </c>
      <c r="AY89" s="15">
        <f t="shared" ref="AY89:BD89" si="522">SUM(AY86/AY87)</f>
        <v>0.50818197079096794</v>
      </c>
      <c r="AZ89" s="15">
        <f t="shared" si="522"/>
        <v>0.51816125222693099</v>
      </c>
      <c r="BA89" s="15">
        <f t="shared" si="522"/>
        <v>0.52654345087720633</v>
      </c>
      <c r="BB89" s="15">
        <f t="shared" si="522"/>
        <v>0.54451573277273291</v>
      </c>
      <c r="BC89" s="15">
        <f t="shared" si="522"/>
        <v>0.52396734910220288</v>
      </c>
      <c r="BD89" s="15">
        <f t="shared" si="522"/>
        <v>0.50879691318025444</v>
      </c>
      <c r="BE89" s="15">
        <f t="shared" ref="BE89:BP89" si="523">SUM(BE86/BE87)</f>
        <v>0.50772480882737503</v>
      </c>
      <c r="BF89" s="15">
        <f t="shared" si="523"/>
        <v>0.50267928902117631</v>
      </c>
      <c r="BG89" s="15">
        <f t="shared" si="523"/>
        <v>0.50512488167404745</v>
      </c>
      <c r="BH89" s="15">
        <f t="shared" si="523"/>
        <v>0.52748075635604563</v>
      </c>
      <c r="BI89" s="15">
        <f t="shared" si="523"/>
        <v>0.54064324362311911</v>
      </c>
      <c r="BJ89" s="24">
        <f t="shared" si="523"/>
        <v>0.54852102431441052</v>
      </c>
      <c r="BK89" s="15">
        <f t="shared" si="523"/>
        <v>0.53400255773363636</v>
      </c>
      <c r="BL89" s="15">
        <f t="shared" si="523"/>
        <v>0.53622235940683494</v>
      </c>
      <c r="BM89" s="15">
        <f t="shared" si="523"/>
        <v>0.55011510390950447</v>
      </c>
      <c r="BN89" s="15">
        <f t="shared" si="523"/>
        <v>0.57305366654115952</v>
      </c>
      <c r="BO89" s="15">
        <f t="shared" si="523"/>
        <v>0.56600464832992547</v>
      </c>
      <c r="BP89" s="15">
        <f t="shared" si="523"/>
        <v>0.55182968941760913</v>
      </c>
      <c r="BQ89" s="15">
        <f t="shared" ref="BQ89:CB89" si="524">SUM(BQ86/BQ87)</f>
        <v>0.54099791882264503</v>
      </c>
      <c r="BR89" s="15">
        <f t="shared" si="524"/>
        <v>0.53579648421065829</v>
      </c>
      <c r="BS89" s="15">
        <f t="shared" si="524"/>
        <v>0.53304226157859025</v>
      </c>
      <c r="BT89" s="15">
        <f t="shared" si="524"/>
        <v>0.53902077282069771</v>
      </c>
      <c r="BU89" s="15">
        <f t="shared" si="524"/>
        <v>0.55625773839610593</v>
      </c>
      <c r="BV89" s="24">
        <f t="shared" si="524"/>
        <v>0.56719784429387332</v>
      </c>
      <c r="BW89" s="15">
        <f t="shared" si="524"/>
        <v>0.55350527874090161</v>
      </c>
      <c r="BX89" s="15">
        <f t="shared" si="524"/>
        <v>0.54719123612379494</v>
      </c>
      <c r="BY89" s="15">
        <f t="shared" si="524"/>
        <v>0.56642066531765223</v>
      </c>
      <c r="BZ89" s="15">
        <f t="shared" si="524"/>
        <v>0.58229635982059602</v>
      </c>
      <c r="CA89" s="15">
        <f t="shared" si="524"/>
        <v>0.57458853188868109</v>
      </c>
      <c r="CB89" s="15">
        <f t="shared" si="524"/>
        <v>0.5645370938554346</v>
      </c>
      <c r="CC89" s="15">
        <f t="shared" ref="CC89:CH89" si="525">SUM(CC86/CC87)</f>
        <v>0.55327875147048067</v>
      </c>
      <c r="CD89" s="15">
        <f t="shared" si="525"/>
        <v>0.54541142232751505</v>
      </c>
      <c r="CE89" s="15">
        <f t="shared" si="525"/>
        <v>0.54901137059654348</v>
      </c>
      <c r="CF89" s="15">
        <f t="shared" si="525"/>
        <v>0.56635570288764248</v>
      </c>
      <c r="CG89" s="15">
        <f t="shared" si="525"/>
        <v>0.58298334246087247</v>
      </c>
      <c r="CH89" s="15">
        <f t="shared" si="525"/>
        <v>0.58708983750645627</v>
      </c>
      <c r="CI89" s="178">
        <f t="shared" ref="CI89:DJ89" si="526">SUM(CI86/CI87)</f>
        <v>0.57321653969921949</v>
      </c>
      <c r="CJ89" s="15">
        <f t="shared" si="526"/>
        <v>0.59362519471136477</v>
      </c>
      <c r="CK89" s="15">
        <f t="shared" si="526"/>
        <v>0.61049449463510885</v>
      </c>
      <c r="CL89" s="15">
        <f t="shared" si="526"/>
        <v>0.60278505308398267</v>
      </c>
      <c r="CM89" s="15">
        <f t="shared" si="526"/>
        <v>0.60912351955410804</v>
      </c>
      <c r="CN89" s="15">
        <f t="shared" si="526"/>
        <v>0.60644438976692494</v>
      </c>
      <c r="CO89" s="15">
        <f t="shared" si="526"/>
        <v>0.61071627936029083</v>
      </c>
      <c r="CP89" s="15">
        <f t="shared" si="526"/>
        <v>0.61498804351818137</v>
      </c>
      <c r="CQ89" s="15">
        <f t="shared" si="526"/>
        <v>0.62497598673504828</v>
      </c>
      <c r="CR89" s="15">
        <f t="shared" si="526"/>
        <v>0.63874126189155522</v>
      </c>
      <c r="CS89" s="15">
        <f t="shared" si="526"/>
        <v>0.65772491092144603</v>
      </c>
      <c r="CT89" s="24">
        <f t="shared" si="526"/>
        <v>0.6637801878784787</v>
      </c>
      <c r="CU89" s="15">
        <f t="shared" si="526"/>
        <v>0.64964629028954179</v>
      </c>
      <c r="CV89" s="15">
        <f t="shared" si="526"/>
        <v>0.67251789228049363</v>
      </c>
      <c r="CW89" s="15">
        <f t="shared" si="526"/>
        <v>0.68339390517539489</v>
      </c>
      <c r="CX89" s="15">
        <f t="shared" si="526"/>
        <v>0.69840560078800917</v>
      </c>
      <c r="CY89" s="15">
        <f t="shared" si="526"/>
        <v>0.70858409804677869</v>
      </c>
      <c r="CZ89" s="15">
        <f t="shared" si="526"/>
        <v>0.6729193937789677</v>
      </c>
      <c r="DA89" s="15">
        <f t="shared" si="526"/>
        <v>0.67065785698969738</v>
      </c>
      <c r="DB89" s="15">
        <f t="shared" si="526"/>
        <v>0.67528171233972167</v>
      </c>
      <c r="DC89" s="15">
        <f t="shared" si="526"/>
        <v>0.67139900733895685</v>
      </c>
      <c r="DD89" s="15">
        <f t="shared" si="526"/>
        <v>0.6815738960549137</v>
      </c>
      <c r="DE89" s="15">
        <f t="shared" si="526"/>
        <v>0.70257569433351419</v>
      </c>
      <c r="DF89" s="24">
        <f t="shared" si="526"/>
        <v>0.71470855700176605</v>
      </c>
      <c r="DG89" s="15">
        <f t="shared" si="526"/>
        <v>0.70801567914396024</v>
      </c>
      <c r="DH89" s="15">
        <f t="shared" si="526"/>
        <v>0.70242036804359687</v>
      </c>
      <c r="DI89" s="15">
        <f t="shared" si="526"/>
        <v>0.70848400975536552</v>
      </c>
      <c r="DJ89" s="15">
        <f t="shared" si="526"/>
        <v>0.71728903051595205</v>
      </c>
      <c r="DK89" s="15">
        <f t="shared" ref="DK89:FQ89" si="527">SUM(DK86/DK87)</f>
        <v>0.7053566747936848</v>
      </c>
      <c r="DL89" s="15">
        <f t="shared" si="527"/>
        <v>0.69682953532814129</v>
      </c>
      <c r="DM89" s="15">
        <f t="shared" si="527"/>
        <v>0.67917160867742943</v>
      </c>
      <c r="DN89" s="15">
        <f t="shared" si="527"/>
        <v>0.67350174490202552</v>
      </c>
      <c r="DO89" s="15">
        <f t="shared" si="527"/>
        <v>0.67593772358592441</v>
      </c>
      <c r="DP89" s="15">
        <f t="shared" si="527"/>
        <v>0.68684365128648972</v>
      </c>
      <c r="DQ89" s="15">
        <f t="shared" si="527"/>
        <v>0.70283344582560281</v>
      </c>
      <c r="DR89" s="15">
        <f t="shared" si="527"/>
        <v>0.70857844580799767</v>
      </c>
      <c r="DS89" s="15">
        <f t="shared" si="527"/>
        <v>0.70035732984688981</v>
      </c>
      <c r="DT89" s="15">
        <f t="shared" si="527"/>
        <v>0.70835114047668379</v>
      </c>
      <c r="DU89" s="15">
        <f t="shared" si="527"/>
        <v>0.70694494142036202</v>
      </c>
      <c r="DV89" s="361">
        <f t="shared" si="527"/>
        <v>0.70668850502465563</v>
      </c>
      <c r="DW89" s="361">
        <f t="shared" si="527"/>
        <v>0.70580811904211993</v>
      </c>
      <c r="DX89" s="361">
        <f t="shared" si="527"/>
        <v>0.69457426347518558</v>
      </c>
      <c r="DY89" s="361">
        <f t="shared" si="527"/>
        <v>0.6857828287007991</v>
      </c>
      <c r="DZ89" s="361">
        <f t="shared" si="527"/>
        <v>0.68529727081182568</v>
      </c>
      <c r="EA89" s="361">
        <f t="shared" si="527"/>
        <v>0.68217363414174625</v>
      </c>
      <c r="EB89" s="361">
        <f t="shared" si="527"/>
        <v>0.68880736305148649</v>
      </c>
      <c r="EC89" s="361">
        <f t="shared" si="527"/>
        <v>0.69443962632215472</v>
      </c>
      <c r="ED89" s="361">
        <f t="shared" si="527"/>
        <v>0.69885261533980103</v>
      </c>
      <c r="EE89" s="361">
        <f t="shared" si="527"/>
        <v>0.702418227961632</v>
      </c>
      <c r="EF89" s="361">
        <f t="shared" si="527"/>
        <v>0.71657714458169164</v>
      </c>
      <c r="EG89" s="361">
        <f t="shared" si="527"/>
        <v>0.72029693051683352</v>
      </c>
      <c r="EH89" s="361">
        <f t="shared" si="527"/>
        <v>0.72937626685984414</v>
      </c>
      <c r="EI89" s="361">
        <f t="shared" si="527"/>
        <v>0.72726341247088644</v>
      </c>
      <c r="EJ89" s="361">
        <f t="shared" si="527"/>
        <v>0.7227178486342305</v>
      </c>
      <c r="EK89" s="361">
        <f t="shared" si="527"/>
        <v>0.70600379422462534</v>
      </c>
      <c r="EL89" s="361">
        <f t="shared" si="527"/>
        <v>0.71174057353885178</v>
      </c>
      <c r="EM89" s="361">
        <f t="shared" si="527"/>
        <v>0.71208483372373754</v>
      </c>
      <c r="EN89" s="361">
        <f t="shared" si="527"/>
        <v>0.70900666027024983</v>
      </c>
      <c r="EO89" s="361">
        <f t="shared" si="527"/>
        <v>0.72813390993966798</v>
      </c>
      <c r="EP89" s="361">
        <f t="shared" si="527"/>
        <v>0.73634189333311428</v>
      </c>
      <c r="EQ89" s="361">
        <f t="shared" si="527"/>
        <v>0.72362356494803792</v>
      </c>
      <c r="ER89" s="361">
        <f t="shared" si="527"/>
        <v>0.73888967405746242</v>
      </c>
      <c r="ES89" s="361">
        <f t="shared" si="527"/>
        <v>0.74034583777148466</v>
      </c>
      <c r="ET89" s="361">
        <f t="shared" si="527"/>
        <v>0.75265264095046613</v>
      </c>
      <c r="EU89" s="361">
        <f t="shared" si="527"/>
        <v>0.74238711725326723</v>
      </c>
      <c r="EV89" s="361">
        <f t="shared" si="527"/>
        <v>0.74140075543228046</v>
      </c>
      <c r="EW89" s="361">
        <f t="shared" si="527"/>
        <v>0.73256434796830538</v>
      </c>
      <c r="EX89" s="361">
        <f t="shared" si="527"/>
        <v>0.73645349283853123</v>
      </c>
      <c r="EY89" s="361">
        <f t="shared" si="527"/>
        <v>0.73942076245991573</v>
      </c>
      <c r="EZ89" s="361">
        <f t="shared" si="527"/>
        <v>0.74678581972621005</v>
      </c>
      <c r="FA89" s="361">
        <f t="shared" si="527"/>
        <v>0.75873924431744277</v>
      </c>
      <c r="FB89" s="361">
        <f t="shared" si="527"/>
        <v>0.77173612820140003</v>
      </c>
      <c r="FC89" s="361">
        <f t="shared" si="527"/>
        <v>0.76137971460277309</v>
      </c>
      <c r="FD89" s="361">
        <f t="shared" si="527"/>
        <v>0.75453742323551409</v>
      </c>
      <c r="FE89" s="361">
        <f t="shared" si="527"/>
        <v>0.76968011130471115</v>
      </c>
      <c r="FF89" s="361">
        <f t="shared" si="527"/>
        <v>0.77447068663562713</v>
      </c>
      <c r="FG89" s="361">
        <f t="shared" si="527"/>
        <v>0.77044377992367419</v>
      </c>
      <c r="FH89" s="361">
        <f t="shared" si="527"/>
        <v>0.7668072071334916</v>
      </c>
      <c r="FI89" s="361">
        <f t="shared" si="527"/>
        <v>0.75636439966480207</v>
      </c>
      <c r="FJ89" s="361">
        <f t="shared" si="527"/>
        <v>0.75031279131516493</v>
      </c>
      <c r="FK89" s="361">
        <f t="shared" si="527"/>
        <v>0.75313443040294914</v>
      </c>
      <c r="FL89" s="361">
        <f t="shared" si="527"/>
        <v>0.76540542862191674</v>
      </c>
      <c r="FM89" s="361">
        <f t="shared" si="527"/>
        <v>0.77829128153178007</v>
      </c>
      <c r="FN89" s="361">
        <f t="shared" si="527"/>
        <v>0.78290284266086363</v>
      </c>
      <c r="FO89" s="361">
        <f t="shared" si="527"/>
        <v>0.7742926380084596</v>
      </c>
      <c r="FP89" s="361">
        <f t="shared" si="527"/>
        <v>0.78120170082083507</v>
      </c>
      <c r="FQ89" s="361">
        <f t="shared" si="527"/>
        <v>0.79768374122692498</v>
      </c>
      <c r="FR89" s="361">
        <f t="shared" ref="FR89:FT89" si="528">SUM(FR86/FR87)</f>
        <v>0.79063339156437706</v>
      </c>
      <c r="FS89" s="361">
        <f t="shared" si="528"/>
        <v>0.79193805367520786</v>
      </c>
      <c r="FT89" s="361">
        <f t="shared" si="528"/>
        <v>0.78179682911931836</v>
      </c>
    </row>
    <row r="90" spans="2:176" x14ac:dyDescent="0.25">
      <c r="K90" s="38"/>
      <c r="DS90" s="302"/>
      <c r="DT90" s="302"/>
      <c r="DU90" s="302"/>
    </row>
    <row r="91" spans="2:176" x14ac:dyDescent="0.25">
      <c r="K91" s="38"/>
    </row>
    <row r="92" spans="2:176" x14ac:dyDescent="0.25">
      <c r="K92" s="38"/>
    </row>
    <row r="93" spans="2:176" x14ac:dyDescent="0.25">
      <c r="K93" s="38"/>
    </row>
    <row r="94" spans="2:176" x14ac:dyDescent="0.25">
      <c r="K94" s="38"/>
      <c r="DQ94" s="18"/>
    </row>
    <row r="95" spans="2:176" x14ac:dyDescent="0.25">
      <c r="K95" s="38"/>
    </row>
    <row r="96" spans="2:176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WI8unys69FWF63t90gwfaHhznhAAwv0XAWQXLxlXiDbZfTtOtPIbUuYG40uBwb/i2sDlbkw+os3ihr1fmUJhSQ==" saltValue="B/ji6Co9TNT7078ncXXEhQ==" spinCount="100000" sheet="1" objects="1" scenarios="1"/>
  <mergeCells count="91">
    <mergeCell ref="FC47:FN47"/>
    <mergeCell ref="FC2:FN2"/>
    <mergeCell ref="FC3:FN3"/>
    <mergeCell ref="FC4:FN4"/>
    <mergeCell ref="FC45:FN45"/>
    <mergeCell ref="FC46:FN46"/>
    <mergeCell ref="DS47:ED47"/>
    <mergeCell ref="DS2:ED2"/>
    <mergeCell ref="DS3:ED3"/>
    <mergeCell ref="DS4:ED4"/>
    <mergeCell ref="DS45:ED45"/>
    <mergeCell ref="DS46:ED46"/>
    <mergeCell ref="DG47:DR47"/>
    <mergeCell ref="DG3:DR3"/>
    <mergeCell ref="DG2:DR2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7:BJ47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A45:AL45"/>
    <mergeCell ref="AM45:AX45"/>
    <mergeCell ref="BW47:CH47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C47:N47"/>
    <mergeCell ref="EE2:EP2"/>
    <mergeCell ref="EQ2:FB2"/>
    <mergeCell ref="EQ4:FB4"/>
    <mergeCell ref="EE45:EP45"/>
    <mergeCell ref="EE46:EP46"/>
    <mergeCell ref="BW46:CH46"/>
    <mergeCell ref="BK2:BV2"/>
    <mergeCell ref="BK3:BV3"/>
    <mergeCell ref="BW2:CH2"/>
    <mergeCell ref="BW3:CH3"/>
    <mergeCell ref="BK45:BV45"/>
    <mergeCell ref="BW45:CH45"/>
    <mergeCell ref="BW4:CH4"/>
    <mergeCell ref="CC6:CE7"/>
    <mergeCell ref="EE47:EP47"/>
    <mergeCell ref="EQ45:FB45"/>
    <mergeCell ref="EQ46:FB46"/>
    <mergeCell ref="EQ47:FB47"/>
    <mergeCell ref="EE3:EP3"/>
    <mergeCell ref="EQ3:FB3"/>
    <mergeCell ref="EE4:EP4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26" fitToWidth="3" orientation="landscape" r:id="rId1"/>
  <headerFooter alignWithMargins="0"/>
  <rowBreaks count="1" manualBreakCount="1">
    <brk id="42" max="16383" man="1"/>
  </rowBreaks>
  <colBreaks count="4" manualBreakCount="4">
    <brk id="14" max="1048575" man="1"/>
    <brk id="26" max="1048575" man="1"/>
    <brk id="38" max="1048575" man="1"/>
    <brk id="5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B1:FZ93"/>
  <sheetViews>
    <sheetView zoomScaleNormal="100" workbookViewId="0">
      <pane xSplit="2" ySplit="5" topLeftCell="FK54" activePane="bottomRight" state="frozen"/>
      <selection activeCell="EB37" sqref="EB37"/>
      <selection pane="topRight" activeCell="EB37" sqref="EB37"/>
      <selection pane="bottomLeft" activeCell="EB37" sqref="EB37"/>
      <selection pane="bottomRight" activeCell="A69" sqref="A69:XFD76"/>
    </sheetView>
  </sheetViews>
  <sheetFormatPr defaultColWidth="9.109375" defaultRowHeight="13.2" x14ac:dyDescent="0.25"/>
  <cols>
    <col min="1" max="1" width="9.109375" style="2"/>
    <col min="2" max="2" width="26" style="1" customWidth="1"/>
    <col min="3" max="7" width="11.44140625" style="2" customWidth="1"/>
    <col min="8" max="8" width="11.44140625" style="6" customWidth="1"/>
    <col min="9" max="41" width="11.44140625" style="2" customWidth="1"/>
    <col min="42" max="42" width="10.6640625" style="2" customWidth="1"/>
    <col min="43" max="43" width="13.88671875" style="2" bestFit="1" customWidth="1"/>
    <col min="44" max="44" width="11.5546875" style="2" customWidth="1"/>
    <col min="45" max="46" width="10.88671875" style="2" customWidth="1"/>
    <col min="47" max="47" width="10.33203125" style="2" customWidth="1"/>
    <col min="48" max="48" width="10.44140625" style="2" customWidth="1"/>
    <col min="49" max="49" width="10.6640625" style="2" customWidth="1"/>
    <col min="50" max="50" width="11" style="2" customWidth="1"/>
    <col min="51" max="52" width="10.33203125" style="2" customWidth="1"/>
    <col min="53" max="53" width="10.44140625" style="2" customWidth="1"/>
    <col min="54" max="57" width="10.33203125" style="2" customWidth="1"/>
    <col min="58" max="58" width="11.33203125" style="2" bestFit="1" customWidth="1"/>
    <col min="59" max="62" width="10.88671875" style="2" customWidth="1"/>
    <col min="63" max="65" width="10.44140625" style="2" customWidth="1"/>
    <col min="66" max="68" width="10.5546875" style="2" customWidth="1"/>
    <col min="69" max="71" width="10.109375" style="2" customWidth="1"/>
    <col min="72" max="74" width="10.3320312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2" width="13" style="2" customWidth="1"/>
    <col min="103" max="103" width="0.6640625" style="2" customWidth="1"/>
    <col min="104" max="107" width="13" style="2" hidden="1" customWidth="1"/>
    <col min="108" max="108" width="0.6640625" style="2" customWidth="1"/>
    <col min="109" max="110" width="13" style="2" hidden="1" customWidth="1"/>
    <col min="111" max="122" width="13" style="2" customWidth="1"/>
    <col min="123" max="123" width="10.6640625" style="2" customWidth="1"/>
    <col min="124" max="124" width="11.33203125" style="2" customWidth="1"/>
    <col min="125" max="125" width="10.33203125" style="2" customWidth="1"/>
    <col min="126" max="126" width="11.6640625" style="2" customWidth="1"/>
    <col min="127" max="127" width="11.5546875" style="2" customWidth="1"/>
    <col min="128" max="128" width="11.109375" style="2" customWidth="1"/>
    <col min="129" max="129" width="10.33203125" style="2" customWidth="1"/>
    <col min="130" max="130" width="10.6640625" style="302" customWidth="1"/>
    <col min="131" max="131" width="10.6640625" style="2" customWidth="1"/>
    <col min="132" max="132" width="10.5546875" style="2" customWidth="1"/>
    <col min="133" max="133" width="11.33203125" style="2" customWidth="1"/>
    <col min="134" max="134" width="10.44140625" style="2" customWidth="1"/>
    <col min="135" max="135" width="11.33203125" style="2" customWidth="1"/>
    <col min="136" max="136" width="11.109375" style="2" customWidth="1"/>
    <col min="137" max="138" width="10.33203125" style="2" customWidth="1"/>
    <col min="139" max="139" width="10.6640625" style="2" customWidth="1"/>
    <col min="140" max="140" width="10.33203125" style="2" customWidth="1"/>
    <col min="141" max="141" width="10.6640625" style="2" customWidth="1"/>
    <col min="142" max="142" width="10.33203125" style="2" customWidth="1"/>
    <col min="143" max="143" width="10.6640625" style="2" customWidth="1"/>
    <col min="144" max="144" width="10.44140625" style="2" bestFit="1" customWidth="1"/>
    <col min="145" max="145" width="10.6640625" style="2" customWidth="1"/>
    <col min="146" max="146" width="11.109375" style="2" customWidth="1"/>
    <col min="147" max="147" width="11.33203125" style="2" customWidth="1"/>
    <col min="148" max="148" width="10.33203125" style="2" customWidth="1"/>
    <col min="149" max="149" width="10.5546875" style="2" customWidth="1"/>
    <col min="150" max="150" width="10.6640625" style="2" customWidth="1"/>
    <col min="151" max="151" width="10.33203125" style="2" customWidth="1"/>
    <col min="152" max="152" width="11.109375" style="2" customWidth="1"/>
    <col min="153" max="153" width="10.33203125" style="2" customWidth="1"/>
    <col min="154" max="154" width="10.5546875" style="2" customWidth="1"/>
    <col min="155" max="155" width="11.109375" style="2" customWidth="1"/>
    <col min="156" max="156" width="10.88671875" style="2" customWidth="1"/>
    <col min="157" max="157" width="10.44140625" style="2" customWidth="1"/>
    <col min="158" max="158" width="11.88671875" style="2" customWidth="1"/>
    <col min="159" max="159" width="12" style="2" customWidth="1"/>
    <col min="160" max="160" width="10.88671875" style="2" customWidth="1"/>
    <col min="161" max="161" width="11.44140625" style="2" customWidth="1"/>
    <col min="162" max="162" width="11.6640625" style="2" customWidth="1"/>
    <col min="163" max="163" width="12" style="2" customWidth="1"/>
    <col min="164" max="164" width="10.6640625" style="2" customWidth="1"/>
    <col min="165" max="165" width="10.33203125" style="2" customWidth="1"/>
    <col min="166" max="167" width="10.6640625" style="2" customWidth="1"/>
    <col min="168" max="168" width="11" style="2" customWidth="1"/>
    <col min="169" max="169" width="10.44140625" style="2" customWidth="1"/>
    <col min="170" max="170" width="11.33203125" style="2" customWidth="1"/>
    <col min="171" max="171" width="10.21875" style="2" customWidth="1"/>
    <col min="172" max="172" width="10.5546875" style="2" customWidth="1"/>
    <col min="173" max="173" width="11.33203125" style="2" customWidth="1"/>
    <col min="174" max="174" width="10.21875" style="2" customWidth="1"/>
    <col min="175" max="175" width="10.88671875" style="2" customWidth="1"/>
    <col min="176" max="176" width="10.44140625" style="2" bestFit="1" customWidth="1"/>
    <col min="177" max="16384" width="9.109375" style="2"/>
  </cols>
  <sheetData>
    <row r="1" spans="2:182" x14ac:dyDescent="0.25"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</row>
    <row r="2" spans="2:182" x14ac:dyDescent="0.25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ht="13.8" thickBot="1" x14ac:dyDescent="0.3">
      <c r="B3" s="2"/>
      <c r="C3" s="582" t="s">
        <v>81</v>
      </c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81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 t="s">
        <v>81</v>
      </c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 t="s">
        <v>81</v>
      </c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 t="s">
        <v>81</v>
      </c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 t="s">
        <v>81</v>
      </c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82" t="s">
        <v>81</v>
      </c>
      <c r="BX3" s="582"/>
      <c r="BY3" s="582"/>
      <c r="BZ3" s="582"/>
      <c r="CA3" s="582"/>
      <c r="CB3" s="582"/>
      <c r="CC3" s="582"/>
      <c r="CD3" s="582"/>
      <c r="CE3" s="582"/>
      <c r="CF3" s="582"/>
      <c r="CG3" s="582"/>
      <c r="CH3" s="582"/>
      <c r="CI3" s="582" t="s">
        <v>81</v>
      </c>
      <c r="CJ3" s="582"/>
      <c r="CK3" s="582"/>
      <c r="CL3" s="582"/>
      <c r="CM3" s="582"/>
      <c r="CN3" s="582"/>
      <c r="CO3" s="582"/>
      <c r="CP3" s="582"/>
      <c r="CQ3" s="582"/>
      <c r="CR3" s="582"/>
      <c r="CS3" s="582"/>
      <c r="CT3" s="582"/>
      <c r="CU3" s="582" t="s">
        <v>81</v>
      </c>
      <c r="CV3" s="582"/>
      <c r="CW3" s="582"/>
      <c r="CX3" s="582"/>
      <c r="CY3" s="582"/>
      <c r="CZ3" s="582"/>
      <c r="DA3" s="582"/>
      <c r="DB3" s="582"/>
      <c r="DC3" s="582"/>
      <c r="DD3" s="582"/>
      <c r="DE3" s="582"/>
      <c r="DF3" s="582"/>
      <c r="DG3" s="582" t="s">
        <v>81</v>
      </c>
      <c r="DH3" s="582"/>
      <c r="DI3" s="582"/>
      <c r="DJ3" s="582"/>
      <c r="DK3" s="582"/>
      <c r="DL3" s="582"/>
      <c r="DM3" s="582"/>
      <c r="DN3" s="582"/>
      <c r="DO3" s="582"/>
      <c r="DP3" s="582"/>
      <c r="DQ3" s="582"/>
      <c r="DR3" s="582"/>
      <c r="DS3" s="582" t="s">
        <v>81</v>
      </c>
      <c r="DT3" s="582"/>
      <c r="DU3" s="582"/>
      <c r="DV3" s="582"/>
      <c r="DW3" s="582"/>
      <c r="DX3" s="582"/>
      <c r="DY3" s="582"/>
      <c r="DZ3" s="582"/>
      <c r="EA3" s="582"/>
      <c r="EB3" s="582"/>
      <c r="EC3" s="582"/>
      <c r="ED3" s="582"/>
      <c r="EE3" s="582" t="s">
        <v>81</v>
      </c>
      <c r="EF3" s="582"/>
      <c r="EG3" s="582"/>
      <c r="EH3" s="582"/>
      <c r="EI3" s="582"/>
      <c r="EJ3" s="582"/>
      <c r="EK3" s="582"/>
      <c r="EL3" s="582"/>
      <c r="EM3" s="582"/>
      <c r="EN3" s="582"/>
      <c r="EO3" s="582"/>
      <c r="EP3" s="582"/>
      <c r="EQ3" s="582" t="s">
        <v>81</v>
      </c>
      <c r="ER3" s="582"/>
      <c r="ES3" s="582"/>
      <c r="ET3" s="582"/>
      <c r="EU3" s="582"/>
      <c r="EV3" s="582"/>
      <c r="EW3" s="582"/>
      <c r="EX3" s="582"/>
      <c r="EY3" s="582"/>
      <c r="EZ3" s="582"/>
      <c r="FA3" s="582"/>
      <c r="FB3" s="582"/>
      <c r="FC3" s="582" t="s">
        <v>81</v>
      </c>
      <c r="FD3" s="582"/>
      <c r="FE3" s="582"/>
      <c r="FF3" s="582"/>
      <c r="FG3" s="582"/>
      <c r="FH3" s="582"/>
      <c r="FI3" s="582"/>
      <c r="FJ3" s="582"/>
      <c r="FK3" s="582"/>
      <c r="FL3" s="582"/>
      <c r="FM3" s="582"/>
      <c r="FN3" s="582"/>
      <c r="FO3" s="582" t="s">
        <v>81</v>
      </c>
      <c r="FP3" s="582"/>
      <c r="FQ3" s="582"/>
      <c r="FR3" s="582"/>
      <c r="FS3" s="582"/>
      <c r="FT3" s="582"/>
      <c r="FU3" s="582"/>
      <c r="FV3" s="582"/>
      <c r="FW3" s="582"/>
      <c r="FX3" s="582"/>
      <c r="FY3" s="582"/>
      <c r="FZ3" s="582"/>
    </row>
    <row r="4" spans="2:182" ht="13.8" thickBot="1" x14ac:dyDescent="0.3">
      <c r="B4" s="2"/>
      <c r="C4" s="579">
        <v>2002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1"/>
      <c r="O4" s="579">
        <v>2003</v>
      </c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1"/>
      <c r="AA4" s="579">
        <v>2004</v>
      </c>
      <c r="AB4" s="580"/>
      <c r="AC4" s="580"/>
      <c r="AD4" s="580"/>
      <c r="AE4" s="580"/>
      <c r="AF4" s="580"/>
      <c r="AG4" s="580"/>
      <c r="AH4" s="580"/>
      <c r="AI4" s="580"/>
      <c r="AJ4" s="580"/>
      <c r="AK4" s="580"/>
      <c r="AL4" s="581"/>
      <c r="AM4" s="579">
        <v>2005</v>
      </c>
      <c r="AN4" s="580"/>
      <c r="AO4" s="580"/>
      <c r="AP4" s="580"/>
      <c r="AQ4" s="580"/>
      <c r="AR4" s="580"/>
      <c r="AS4" s="580"/>
      <c r="AT4" s="580"/>
      <c r="AU4" s="580"/>
      <c r="AV4" s="580"/>
      <c r="AW4" s="580"/>
      <c r="AX4" s="581"/>
      <c r="AY4" s="579">
        <v>2006</v>
      </c>
      <c r="AZ4" s="580"/>
      <c r="BA4" s="580"/>
      <c r="BB4" s="580"/>
      <c r="BC4" s="580"/>
      <c r="BD4" s="580"/>
      <c r="BE4" s="580"/>
      <c r="BF4" s="580"/>
      <c r="BG4" s="580"/>
      <c r="BH4" s="580"/>
      <c r="BI4" s="580"/>
      <c r="BJ4" s="581"/>
      <c r="BK4" s="579">
        <v>2007</v>
      </c>
      <c r="BL4" s="580"/>
      <c r="BM4" s="580"/>
      <c r="BN4" s="580"/>
      <c r="BO4" s="580"/>
      <c r="BP4" s="580"/>
      <c r="BQ4" s="580"/>
      <c r="BR4" s="580"/>
      <c r="BS4" s="580"/>
      <c r="BT4" s="580"/>
      <c r="BU4" s="580"/>
      <c r="BV4" s="581"/>
      <c r="BW4" s="586">
        <v>2008</v>
      </c>
      <c r="BX4" s="587"/>
      <c r="BY4" s="587"/>
      <c r="BZ4" s="587"/>
      <c r="CA4" s="587"/>
      <c r="CB4" s="587"/>
      <c r="CC4" s="587"/>
      <c r="CD4" s="587"/>
      <c r="CE4" s="587"/>
      <c r="CF4" s="587"/>
      <c r="CG4" s="587"/>
      <c r="CH4" s="588"/>
      <c r="CI4" s="573">
        <v>2009</v>
      </c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4"/>
      <c r="CU4" s="572">
        <v>2010</v>
      </c>
      <c r="CV4" s="573"/>
      <c r="CW4" s="573"/>
      <c r="CX4" s="573"/>
      <c r="CY4" s="573"/>
      <c r="CZ4" s="573"/>
      <c r="DA4" s="573"/>
      <c r="DB4" s="573"/>
      <c r="DC4" s="573"/>
      <c r="DD4" s="573"/>
      <c r="DE4" s="573"/>
      <c r="DF4" s="574"/>
      <c r="DG4" s="579">
        <v>2011</v>
      </c>
      <c r="DH4" s="580"/>
      <c r="DI4" s="580"/>
      <c r="DJ4" s="580"/>
      <c r="DK4" s="580"/>
      <c r="DL4" s="580"/>
      <c r="DM4" s="580"/>
      <c r="DN4" s="580"/>
      <c r="DO4" s="580"/>
      <c r="DP4" s="580"/>
      <c r="DQ4" s="580"/>
      <c r="DR4" s="581"/>
      <c r="DS4" s="579">
        <v>2012</v>
      </c>
      <c r="DT4" s="580"/>
      <c r="DU4" s="580"/>
      <c r="DV4" s="580"/>
      <c r="DW4" s="580"/>
      <c r="DX4" s="580"/>
      <c r="DY4" s="580"/>
      <c r="DZ4" s="580"/>
      <c r="EA4" s="580"/>
      <c r="EB4" s="580"/>
      <c r="EC4" s="580"/>
      <c r="ED4" s="581"/>
      <c r="EE4" s="572">
        <v>2013</v>
      </c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4"/>
      <c r="EQ4" s="572">
        <v>2014</v>
      </c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4"/>
      <c r="FC4" s="572">
        <v>2015</v>
      </c>
      <c r="FD4" s="573"/>
      <c r="FE4" s="573"/>
      <c r="FF4" s="573"/>
      <c r="FG4" s="573"/>
      <c r="FH4" s="573"/>
      <c r="FI4" s="573"/>
      <c r="FJ4" s="573"/>
      <c r="FK4" s="573"/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11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94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2:182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R6" s="18"/>
      <c r="S6" s="18"/>
      <c r="T6" s="18"/>
      <c r="Z6" s="66"/>
      <c r="AL6" s="66"/>
      <c r="AX6" s="66"/>
      <c r="BJ6" s="66"/>
      <c r="BV6" s="20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20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5">
      <c r="B7" s="3"/>
      <c r="C7" s="18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18"/>
      <c r="P7" s="18"/>
      <c r="Q7" s="18"/>
      <c r="R7" s="18"/>
      <c r="S7" s="18"/>
      <c r="T7" s="18"/>
      <c r="Z7" s="20"/>
      <c r="AL7" s="20"/>
      <c r="AX7" s="20"/>
      <c r="BJ7" s="20"/>
      <c r="BV7" s="20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s="68" customFormat="1" x14ac:dyDescent="0.25">
      <c r="B8" s="87" t="s">
        <v>1</v>
      </c>
      <c r="C8" s="69">
        <v>559620</v>
      </c>
      <c r="D8" s="69">
        <v>565546</v>
      </c>
      <c r="E8" s="69">
        <v>570347</v>
      </c>
      <c r="F8" s="69">
        <v>571580</v>
      </c>
      <c r="G8" s="69">
        <v>573116</v>
      </c>
      <c r="H8" s="69">
        <v>575170</v>
      </c>
      <c r="I8" s="69">
        <v>577892</v>
      </c>
      <c r="J8" s="69">
        <v>581730</v>
      </c>
      <c r="K8" s="69">
        <v>571915</v>
      </c>
      <c r="L8" s="69">
        <v>563585</v>
      </c>
      <c r="M8" s="69">
        <v>562447</v>
      </c>
      <c r="N8" s="89">
        <v>566515</v>
      </c>
      <c r="O8" s="69">
        <v>598186</v>
      </c>
      <c r="P8" s="69">
        <v>547158</v>
      </c>
      <c r="Q8" s="69">
        <v>612596</v>
      </c>
      <c r="R8" s="69">
        <v>559849</v>
      </c>
      <c r="S8" s="69">
        <v>552547</v>
      </c>
      <c r="T8" s="69">
        <v>546784</v>
      </c>
      <c r="U8" s="71">
        <v>564589</v>
      </c>
      <c r="V8" s="71">
        <v>534460</v>
      </c>
      <c r="W8" s="71">
        <v>528424</v>
      </c>
      <c r="X8" s="71">
        <v>556069</v>
      </c>
      <c r="Y8" s="71">
        <v>421785</v>
      </c>
      <c r="Z8" s="190">
        <v>498697</v>
      </c>
      <c r="AA8" s="71">
        <v>516029</v>
      </c>
      <c r="AB8" s="71">
        <v>495233</v>
      </c>
      <c r="AC8" s="71">
        <v>561577</v>
      </c>
      <c r="AD8" s="71">
        <v>508160</v>
      </c>
      <c r="AE8" s="71">
        <v>478303</v>
      </c>
      <c r="AF8" s="71">
        <v>512838</v>
      </c>
      <c r="AG8" s="71">
        <v>498167</v>
      </c>
      <c r="AH8" s="71">
        <v>518553</v>
      </c>
      <c r="AI8" s="71">
        <v>480909</v>
      </c>
      <c r="AJ8" s="71">
        <v>476814</v>
      </c>
      <c r="AK8" s="71">
        <v>455817</v>
      </c>
      <c r="AL8" s="190">
        <v>444472</v>
      </c>
      <c r="AM8" s="71">
        <v>481112</v>
      </c>
      <c r="AN8" s="71">
        <v>433398</v>
      </c>
      <c r="AO8" s="71">
        <v>473230</v>
      </c>
      <c r="AP8" s="71">
        <v>450289</v>
      </c>
      <c r="AQ8" s="71">
        <v>451172</v>
      </c>
      <c r="AR8" s="71">
        <v>463531</v>
      </c>
      <c r="AS8" s="71">
        <v>451337</v>
      </c>
      <c r="AT8" s="71">
        <v>504822</v>
      </c>
      <c r="AU8" s="71">
        <v>468040</v>
      </c>
      <c r="AV8" s="71">
        <v>456862</v>
      </c>
      <c r="AW8" s="71">
        <v>427934</v>
      </c>
      <c r="AX8" s="190">
        <v>428529</v>
      </c>
      <c r="AY8" s="71">
        <v>448411</v>
      </c>
      <c r="AZ8" s="71">
        <v>424009</v>
      </c>
      <c r="BA8" s="71">
        <v>488285</v>
      </c>
      <c r="BB8" s="71">
        <v>419195</v>
      </c>
      <c r="BC8" s="71">
        <v>458593</v>
      </c>
      <c r="BD8" s="71">
        <v>452550</v>
      </c>
      <c r="BE8" s="71">
        <v>406533</v>
      </c>
      <c r="BF8" s="71">
        <v>459695</v>
      </c>
      <c r="BG8" s="71">
        <v>400564</v>
      </c>
      <c r="BH8" s="71">
        <v>432343</v>
      </c>
      <c r="BI8" s="71">
        <v>388883</v>
      </c>
      <c r="BJ8" s="190">
        <v>364301</v>
      </c>
      <c r="BK8" s="71">
        <v>401318</v>
      </c>
      <c r="BL8" s="71">
        <v>381145</v>
      </c>
      <c r="BM8" s="71">
        <v>419784</v>
      </c>
      <c r="BN8" s="71">
        <v>378690</v>
      </c>
      <c r="BO8" s="71">
        <v>409981</v>
      </c>
      <c r="BP8" s="71">
        <v>389266</v>
      </c>
      <c r="BQ8" s="71">
        <v>385277</v>
      </c>
      <c r="BR8" s="71">
        <v>417940</v>
      </c>
      <c r="BS8" s="71">
        <v>340224</v>
      </c>
      <c r="BT8" s="71">
        <v>372312</v>
      </c>
      <c r="BU8" s="71">
        <v>368670</v>
      </c>
      <c r="BV8" s="190">
        <v>364151</v>
      </c>
      <c r="BW8" s="69">
        <v>361310</v>
      </c>
      <c r="BX8" s="69">
        <v>358846</v>
      </c>
      <c r="BY8" s="69">
        <v>356214</v>
      </c>
      <c r="BZ8" s="69">
        <v>350975</v>
      </c>
      <c r="CA8" s="69">
        <v>345765</v>
      </c>
      <c r="CB8" s="69">
        <v>340464</v>
      </c>
      <c r="CC8" s="69">
        <v>334211</v>
      </c>
      <c r="CD8" s="69">
        <v>330105</v>
      </c>
      <c r="CE8" s="69">
        <v>324396</v>
      </c>
      <c r="CF8" s="69">
        <v>317261</v>
      </c>
      <c r="CG8" s="69">
        <v>310512</v>
      </c>
      <c r="CH8" s="89">
        <v>303547</v>
      </c>
      <c r="CI8" s="71">
        <v>298064</v>
      </c>
      <c r="CJ8" s="69">
        <v>292863</v>
      </c>
      <c r="CK8" s="69">
        <v>288370</v>
      </c>
      <c r="CL8" s="69">
        <v>282817</v>
      </c>
      <c r="CM8" s="69">
        <v>278597</v>
      </c>
      <c r="CN8" s="69">
        <v>274989</v>
      </c>
      <c r="CO8" s="69">
        <v>270945</v>
      </c>
      <c r="CP8" s="69">
        <v>267482</v>
      </c>
      <c r="CQ8" s="69">
        <v>262994</v>
      </c>
      <c r="CR8" s="69">
        <v>257093</v>
      </c>
      <c r="CS8" s="69">
        <v>253154</v>
      </c>
      <c r="CT8" s="89">
        <v>249058</v>
      </c>
      <c r="CU8" s="69">
        <v>228418</v>
      </c>
      <c r="CV8" s="69">
        <v>245301</v>
      </c>
      <c r="CW8" s="69">
        <v>243111</v>
      </c>
      <c r="CX8" s="69">
        <v>239705</v>
      </c>
      <c r="CY8" s="69">
        <v>237206</v>
      </c>
      <c r="CZ8" s="69">
        <v>234551</v>
      </c>
      <c r="DA8" s="69">
        <v>231753</v>
      </c>
      <c r="DB8" s="69">
        <v>218336</v>
      </c>
      <c r="DC8" s="69">
        <v>227090</v>
      </c>
      <c r="DD8" s="69">
        <v>215160</v>
      </c>
      <c r="DE8" s="69">
        <v>214243</v>
      </c>
      <c r="DF8" s="89">
        <v>218471</v>
      </c>
      <c r="DG8" s="320">
        <v>201247</v>
      </c>
      <c r="DH8" s="68">
        <v>219442</v>
      </c>
      <c r="DI8" s="320">
        <v>219400</v>
      </c>
      <c r="DJ8" s="68">
        <v>209641</v>
      </c>
      <c r="DK8" s="68">
        <v>197658</v>
      </c>
      <c r="DL8" s="68">
        <v>216549</v>
      </c>
      <c r="DM8" s="68">
        <v>206897</v>
      </c>
      <c r="DN8" s="68">
        <v>214864</v>
      </c>
      <c r="DO8" s="68">
        <v>200590</v>
      </c>
      <c r="DP8" s="68">
        <v>195726</v>
      </c>
      <c r="DQ8" s="68">
        <v>202080</v>
      </c>
      <c r="DR8" s="68">
        <v>183003</v>
      </c>
      <c r="DS8" s="68">
        <v>193140</v>
      </c>
      <c r="DT8" s="68">
        <v>201227</v>
      </c>
      <c r="DU8" s="68">
        <v>209184</v>
      </c>
      <c r="DV8" s="351">
        <v>207657</v>
      </c>
      <c r="DW8" s="351">
        <v>206389</v>
      </c>
      <c r="DX8" s="351">
        <v>202713</v>
      </c>
      <c r="DY8" s="68">
        <v>203750</v>
      </c>
      <c r="DZ8" s="297">
        <v>202509</v>
      </c>
      <c r="EA8" s="68">
        <v>201782</v>
      </c>
      <c r="EB8" s="68">
        <v>201182</v>
      </c>
      <c r="EC8" s="68">
        <v>200780</v>
      </c>
      <c r="ED8" s="68">
        <v>199726</v>
      </c>
      <c r="EE8" s="68">
        <v>198299</v>
      </c>
      <c r="EF8" s="68">
        <v>197249</v>
      </c>
      <c r="EG8" s="68">
        <v>195686</v>
      </c>
      <c r="EH8" s="68">
        <v>195270</v>
      </c>
      <c r="EI8" s="68">
        <v>194446</v>
      </c>
      <c r="EJ8" s="68">
        <v>193226</v>
      </c>
      <c r="EK8" s="68">
        <v>193793</v>
      </c>
      <c r="EL8" s="68">
        <v>193046</v>
      </c>
      <c r="EM8" s="68">
        <v>192587</v>
      </c>
      <c r="EN8" s="68">
        <v>192070</v>
      </c>
      <c r="EO8" s="68">
        <v>191911</v>
      </c>
      <c r="EP8" s="68">
        <v>190592</v>
      </c>
      <c r="EQ8" s="68">
        <v>183343</v>
      </c>
      <c r="ER8" s="68">
        <v>182647</v>
      </c>
      <c r="ES8" s="68">
        <v>180683</v>
      </c>
      <c r="ET8" s="68">
        <v>188422</v>
      </c>
      <c r="EU8" s="68">
        <v>187833</v>
      </c>
      <c r="EV8" s="68">
        <v>187304</v>
      </c>
      <c r="EW8" s="68">
        <v>187334</v>
      </c>
      <c r="EX8" s="68">
        <v>186735</v>
      </c>
      <c r="EY8" s="68">
        <v>183373</v>
      </c>
      <c r="EZ8" s="68">
        <v>184619</v>
      </c>
      <c r="FA8" s="68">
        <v>183254</v>
      </c>
      <c r="FB8" s="68">
        <v>181748</v>
      </c>
      <c r="FC8" s="68">
        <v>181290</v>
      </c>
      <c r="FD8" s="68">
        <v>179976</v>
      </c>
      <c r="FE8" s="68">
        <v>177518</v>
      </c>
      <c r="FF8" s="68">
        <v>176263</v>
      </c>
      <c r="FG8" s="68">
        <v>174582</v>
      </c>
      <c r="FH8" s="68">
        <v>173225</v>
      </c>
      <c r="FI8" s="68">
        <v>172331</v>
      </c>
      <c r="FJ8" s="68">
        <v>171054</v>
      </c>
      <c r="FK8" s="68">
        <v>168618</v>
      </c>
      <c r="FL8" s="68">
        <v>167552</v>
      </c>
      <c r="FM8" s="68">
        <v>166013</v>
      </c>
      <c r="FN8" s="68">
        <v>163923</v>
      </c>
      <c r="FO8" s="68">
        <v>163660</v>
      </c>
      <c r="FP8" s="68">
        <v>162376</v>
      </c>
      <c r="FQ8" s="68">
        <v>160600</v>
      </c>
      <c r="FR8" s="68">
        <v>159285</v>
      </c>
      <c r="FS8" s="68">
        <v>158478</v>
      </c>
      <c r="FT8" s="68">
        <v>156875</v>
      </c>
    </row>
    <row r="9" spans="2:182" s="68" customFormat="1" ht="13.8" thickBot="1" x14ac:dyDescent="0.3">
      <c r="B9" s="90" t="s">
        <v>8</v>
      </c>
      <c r="C9" s="92">
        <v>758</v>
      </c>
      <c r="D9" s="92">
        <v>1365</v>
      </c>
      <c r="E9" s="92">
        <v>1981</v>
      </c>
      <c r="F9" s="92">
        <v>2419</v>
      </c>
      <c r="G9" s="92">
        <v>3017</v>
      </c>
      <c r="H9" s="92">
        <v>3900</v>
      </c>
      <c r="I9" s="92">
        <v>5329</v>
      </c>
      <c r="J9" s="92">
        <v>11140</v>
      </c>
      <c r="K9" s="92">
        <v>15878</v>
      </c>
      <c r="L9" s="92">
        <v>19256</v>
      </c>
      <c r="M9" s="92">
        <v>20505</v>
      </c>
      <c r="N9" s="93">
        <v>23101</v>
      </c>
      <c r="O9" s="92">
        <v>31805</v>
      </c>
      <c r="P9" s="92">
        <v>34032</v>
      </c>
      <c r="Q9" s="92">
        <v>41028</v>
      </c>
      <c r="R9" s="92">
        <v>46773</v>
      </c>
      <c r="S9" s="92">
        <v>54402</v>
      </c>
      <c r="T9" s="69">
        <v>61083</v>
      </c>
      <c r="U9" s="68">
        <v>72044</v>
      </c>
      <c r="V9" s="68">
        <f>V10-V8</f>
        <v>76927</v>
      </c>
      <c r="W9" s="68">
        <f>W10-W8</f>
        <v>84166</v>
      </c>
      <c r="X9" s="68">
        <f>X10-X8</f>
        <v>100937</v>
      </c>
      <c r="Y9" s="68">
        <f>Y10-Y8</f>
        <v>82177</v>
      </c>
      <c r="Z9" s="89">
        <f>Z10-Z8</f>
        <v>103341</v>
      </c>
      <c r="AA9" s="68">
        <v>107130</v>
      </c>
      <c r="AB9" s="68">
        <v>103894</v>
      </c>
      <c r="AC9" s="68">
        <v>121482</v>
      </c>
      <c r="AD9" s="68">
        <v>112350</v>
      </c>
      <c r="AE9" s="68">
        <v>110723</v>
      </c>
      <c r="AF9" s="68">
        <v>121707</v>
      </c>
      <c r="AG9" s="68">
        <v>125229</v>
      </c>
      <c r="AH9" s="68">
        <v>135401</v>
      </c>
      <c r="AI9" s="68">
        <v>130791</v>
      </c>
      <c r="AJ9" s="68">
        <v>135880</v>
      </c>
      <c r="AK9" s="68">
        <v>134414</v>
      </c>
      <c r="AL9" s="89">
        <v>136055</v>
      </c>
      <c r="AM9" s="68">
        <v>150837</v>
      </c>
      <c r="AN9" s="68">
        <v>139482</v>
      </c>
      <c r="AO9" s="68">
        <v>154089</v>
      </c>
      <c r="AP9" s="68">
        <v>148503</v>
      </c>
      <c r="AQ9" s="68">
        <v>151120</v>
      </c>
      <c r="AR9" s="68">
        <v>156066</v>
      </c>
      <c r="AS9" s="68">
        <f>607969-451337</f>
        <v>156632</v>
      </c>
      <c r="AT9" s="68">
        <f>685539-504822</f>
        <v>180717</v>
      </c>
      <c r="AU9" s="68">
        <f>640706-468040</f>
        <v>172666</v>
      </c>
      <c r="AV9" s="68">
        <v>175919</v>
      </c>
      <c r="AW9" s="68">
        <v>168788</v>
      </c>
      <c r="AX9" s="89">
        <v>174621</v>
      </c>
      <c r="AY9" s="68">
        <v>187784</v>
      </c>
      <c r="AZ9" s="68">
        <v>181050</v>
      </c>
      <c r="BA9" s="68">
        <v>209325</v>
      </c>
      <c r="BB9" s="68">
        <v>185186</v>
      </c>
      <c r="BC9" s="68">
        <v>208084</v>
      </c>
      <c r="BD9" s="68">
        <v>215681</v>
      </c>
      <c r="BE9" s="68">
        <v>200956</v>
      </c>
      <c r="BF9" s="68">
        <v>237240</v>
      </c>
      <c r="BG9" s="68">
        <v>211696</v>
      </c>
      <c r="BH9" s="68">
        <v>240097</v>
      </c>
      <c r="BI9" s="68">
        <v>220887</v>
      </c>
      <c r="BJ9" s="89">
        <v>213863</v>
      </c>
      <c r="BK9" s="68">
        <v>242992</v>
      </c>
      <c r="BL9" s="68">
        <v>233497</v>
      </c>
      <c r="BM9" s="68">
        <v>258060</v>
      </c>
      <c r="BN9" s="68">
        <v>239279</v>
      </c>
      <c r="BO9" s="68">
        <v>266457</v>
      </c>
      <c r="BP9" s="68">
        <v>260700</v>
      </c>
      <c r="BQ9" s="68">
        <v>265205</v>
      </c>
      <c r="BR9" s="68">
        <v>298462</v>
      </c>
      <c r="BS9" s="68">
        <v>247967</v>
      </c>
      <c r="BT9" s="68">
        <v>285963</v>
      </c>
      <c r="BU9" s="68">
        <v>290432</v>
      </c>
      <c r="BV9" s="89">
        <v>294933</v>
      </c>
      <c r="BW9" s="69">
        <v>299270</v>
      </c>
      <c r="BX9" s="69">
        <v>304764</v>
      </c>
      <c r="BY9" s="69">
        <v>309238</v>
      </c>
      <c r="BZ9" s="69">
        <v>315242</v>
      </c>
      <c r="CA9" s="69">
        <v>322260</v>
      </c>
      <c r="CB9" s="69">
        <v>327796</v>
      </c>
      <c r="CC9" s="69">
        <f>668636-334211</f>
        <v>334425</v>
      </c>
      <c r="CD9" s="69">
        <f>670055-330105</f>
        <v>339950</v>
      </c>
      <c r="CE9" s="69">
        <f>670352-324396</f>
        <v>345956</v>
      </c>
      <c r="CF9" s="69">
        <v>351704</v>
      </c>
      <c r="CG9" s="69">
        <v>366210</v>
      </c>
      <c r="CH9" s="89">
        <v>366127</v>
      </c>
      <c r="CI9" s="72">
        <v>363375</v>
      </c>
      <c r="CJ9" s="92">
        <v>370329</v>
      </c>
      <c r="CK9" s="92">
        <v>377898</v>
      </c>
      <c r="CL9" s="92">
        <v>383525</v>
      </c>
      <c r="CM9" s="92">
        <v>388440</v>
      </c>
      <c r="CN9" s="92">
        <v>393523</v>
      </c>
      <c r="CO9" s="92">
        <v>397534</v>
      </c>
      <c r="CP9" s="92">
        <v>402168</v>
      </c>
      <c r="CQ9" s="92">
        <v>406726</v>
      </c>
      <c r="CR9" s="92">
        <v>410930</v>
      </c>
      <c r="CS9" s="92">
        <v>414983</v>
      </c>
      <c r="CT9" s="93">
        <v>416619</v>
      </c>
      <c r="CU9" s="91">
        <v>387708</v>
      </c>
      <c r="CV9" s="92">
        <v>423346</v>
      </c>
      <c r="CW9" s="92">
        <v>427906</v>
      </c>
      <c r="CX9" s="92">
        <v>431492</v>
      </c>
      <c r="CY9" s="92">
        <v>435116</v>
      </c>
      <c r="CZ9" s="92">
        <v>438828</v>
      </c>
      <c r="DA9" s="92">
        <v>441751</v>
      </c>
      <c r="DB9" s="92">
        <v>425541</v>
      </c>
      <c r="DC9" s="92">
        <v>447859</v>
      </c>
      <c r="DD9" s="92">
        <v>427907</v>
      </c>
      <c r="DE9" s="92">
        <v>431314</v>
      </c>
      <c r="DF9" s="93">
        <v>442466</v>
      </c>
      <c r="DG9" s="320">
        <v>413201</v>
      </c>
      <c r="DH9" s="68">
        <v>452525</v>
      </c>
      <c r="DI9" s="320">
        <v>456685</v>
      </c>
      <c r="DJ9" s="68">
        <v>439240</v>
      </c>
      <c r="DK9" s="68">
        <v>419109</v>
      </c>
      <c r="DL9" s="68">
        <v>461890</v>
      </c>
      <c r="DM9" s="297">
        <v>445416</v>
      </c>
      <c r="DN9" s="68">
        <v>465789</v>
      </c>
      <c r="DO9" s="68">
        <v>438496</v>
      </c>
      <c r="DP9" s="68">
        <v>428251</v>
      </c>
      <c r="DQ9" s="68">
        <v>450585</v>
      </c>
      <c r="DR9" s="68">
        <v>406128</v>
      </c>
      <c r="DS9" s="68">
        <v>432263</v>
      </c>
      <c r="DT9" s="68">
        <v>451979</v>
      </c>
      <c r="DU9" s="68">
        <v>478403</v>
      </c>
      <c r="DV9" s="351">
        <v>480279</v>
      </c>
      <c r="DW9" s="351">
        <v>484445</v>
      </c>
      <c r="DX9" s="351">
        <v>479457</v>
      </c>
      <c r="DY9" s="68">
        <v>489745</v>
      </c>
      <c r="DZ9" s="297">
        <v>490721</v>
      </c>
      <c r="EA9" s="68">
        <v>490202</v>
      </c>
      <c r="EB9" s="297">
        <v>492922</v>
      </c>
      <c r="EC9" s="68">
        <v>494424</v>
      </c>
      <c r="ED9" s="68">
        <v>494015</v>
      </c>
      <c r="EE9" s="68">
        <v>497831</v>
      </c>
      <c r="EF9" s="68">
        <v>497423</v>
      </c>
      <c r="EG9" s="68">
        <v>498035</v>
      </c>
      <c r="EH9" s="68">
        <v>501125</v>
      </c>
      <c r="EI9" s="68">
        <v>502176</v>
      </c>
      <c r="EJ9" s="68">
        <v>503640</v>
      </c>
      <c r="EK9" s="68">
        <v>507139</v>
      </c>
      <c r="EL9" s="68">
        <v>507981</v>
      </c>
      <c r="EM9" s="68">
        <v>507739</v>
      </c>
      <c r="EN9" s="68">
        <v>507019</v>
      </c>
      <c r="EO9" s="68">
        <v>507294</v>
      </c>
      <c r="EP9" s="68">
        <v>503627</v>
      </c>
      <c r="EQ9" s="68">
        <v>487817</v>
      </c>
      <c r="ER9" s="68">
        <v>490538</v>
      </c>
      <c r="ES9" s="68">
        <v>487267</v>
      </c>
      <c r="ET9" s="68">
        <v>515422</v>
      </c>
      <c r="EU9" s="68">
        <v>517432</v>
      </c>
      <c r="EV9" s="68">
        <v>517677</v>
      </c>
      <c r="EW9" s="68">
        <v>519461</v>
      </c>
      <c r="EX9" s="68">
        <v>521411</v>
      </c>
      <c r="EY9" s="68">
        <v>517644</v>
      </c>
      <c r="EZ9" s="68">
        <v>525015</v>
      </c>
      <c r="FA9" s="68">
        <v>525720</v>
      </c>
      <c r="FB9" s="68">
        <v>525998</v>
      </c>
      <c r="FC9" s="92">
        <v>528606</v>
      </c>
      <c r="FD9" s="92">
        <v>531343</v>
      </c>
      <c r="FE9" s="92">
        <v>531839</v>
      </c>
      <c r="FF9" s="92">
        <v>537569</v>
      </c>
      <c r="FG9" s="92">
        <v>540997</v>
      </c>
      <c r="FH9" s="92">
        <v>543022</v>
      </c>
      <c r="FI9" s="92">
        <v>547603</v>
      </c>
      <c r="FJ9" s="92">
        <v>548556</v>
      </c>
      <c r="FK9" s="92">
        <v>543936</v>
      </c>
      <c r="FL9" s="92">
        <v>548567</v>
      </c>
      <c r="FM9" s="92">
        <v>550824</v>
      </c>
      <c r="FN9" s="92">
        <v>547867</v>
      </c>
      <c r="FO9" s="92">
        <v>554833</v>
      </c>
      <c r="FP9" s="92">
        <v>558364</v>
      </c>
      <c r="FQ9" s="92">
        <v>558730</v>
      </c>
      <c r="FR9" s="92">
        <v>561965</v>
      </c>
      <c r="FS9" s="92">
        <v>565875</v>
      </c>
      <c r="FT9" s="92">
        <v>565175</v>
      </c>
    </row>
    <row r="10" spans="2:182" s="1" customFormat="1" ht="13.8" thickTop="1" x14ac:dyDescent="0.25">
      <c r="B10" s="3" t="s">
        <v>9</v>
      </c>
      <c r="C10" s="8">
        <f t="shared" ref="C10:H10" si="0">SUM(C8:C9)</f>
        <v>560378</v>
      </c>
      <c r="D10" s="8">
        <f t="shared" si="0"/>
        <v>566911</v>
      </c>
      <c r="E10" s="8">
        <f t="shared" si="0"/>
        <v>572328</v>
      </c>
      <c r="F10" s="8">
        <f t="shared" si="0"/>
        <v>573999</v>
      </c>
      <c r="G10" s="8">
        <f t="shared" si="0"/>
        <v>576133</v>
      </c>
      <c r="H10" s="8">
        <f t="shared" si="0"/>
        <v>579070</v>
      </c>
      <c r="I10" s="8">
        <f t="shared" ref="I10:Q10" si="1">SUM(I8:I9)</f>
        <v>583221</v>
      </c>
      <c r="J10" s="8">
        <f t="shared" si="1"/>
        <v>592870</v>
      </c>
      <c r="K10" s="8">
        <f t="shared" si="1"/>
        <v>587793</v>
      </c>
      <c r="L10" s="8">
        <f t="shared" si="1"/>
        <v>582841</v>
      </c>
      <c r="M10" s="8">
        <f t="shared" si="1"/>
        <v>582952</v>
      </c>
      <c r="N10" s="9">
        <f t="shared" si="1"/>
        <v>589616</v>
      </c>
      <c r="O10" s="8">
        <f t="shared" si="1"/>
        <v>629991</v>
      </c>
      <c r="P10" s="8">
        <f t="shared" si="1"/>
        <v>581190</v>
      </c>
      <c r="Q10" s="8">
        <f t="shared" si="1"/>
        <v>653624</v>
      </c>
      <c r="R10" s="8">
        <f>SUM(R8:R9)</f>
        <v>606622</v>
      </c>
      <c r="S10" s="8">
        <f>SUM(S8:S9)</f>
        <v>606949</v>
      </c>
      <c r="T10" s="80">
        <f>SUM(T8:T9)</f>
        <v>607867</v>
      </c>
      <c r="U10" s="199">
        <v>636633</v>
      </c>
      <c r="V10" s="199">
        <v>611387</v>
      </c>
      <c r="W10" s="199">
        <v>612590</v>
      </c>
      <c r="X10" s="199">
        <v>657006</v>
      </c>
      <c r="Y10" s="199">
        <v>503962</v>
      </c>
      <c r="Z10" s="203">
        <v>602038</v>
      </c>
      <c r="AA10" s="80">
        <f t="shared" ref="AA10:AF10" si="2">SUM(AA8:AA9)</f>
        <v>623159</v>
      </c>
      <c r="AB10" s="80">
        <f t="shared" si="2"/>
        <v>599127</v>
      </c>
      <c r="AC10" s="80">
        <f t="shared" si="2"/>
        <v>683059</v>
      </c>
      <c r="AD10" s="80">
        <f t="shared" si="2"/>
        <v>620510</v>
      </c>
      <c r="AE10" s="80">
        <f t="shared" si="2"/>
        <v>589026</v>
      </c>
      <c r="AF10" s="80">
        <f t="shared" si="2"/>
        <v>634545</v>
      </c>
      <c r="AG10" s="80">
        <f t="shared" ref="AG10:AL10" si="3">SUM(AG8:AG9)</f>
        <v>623396</v>
      </c>
      <c r="AH10" s="80">
        <f t="shared" si="3"/>
        <v>653954</v>
      </c>
      <c r="AI10" s="80">
        <f t="shared" si="3"/>
        <v>611700</v>
      </c>
      <c r="AJ10" s="80">
        <f t="shared" si="3"/>
        <v>612694</v>
      </c>
      <c r="AK10" s="80">
        <f t="shared" si="3"/>
        <v>590231</v>
      </c>
      <c r="AL10" s="10">
        <f t="shared" si="3"/>
        <v>580527</v>
      </c>
      <c r="AM10" s="80">
        <f t="shared" ref="AM10:AR10" si="4">SUM(AM8:AM9)</f>
        <v>631949</v>
      </c>
      <c r="AN10" s="80">
        <f t="shared" si="4"/>
        <v>572880</v>
      </c>
      <c r="AO10" s="80">
        <f t="shared" si="4"/>
        <v>627319</v>
      </c>
      <c r="AP10" s="80">
        <f t="shared" si="4"/>
        <v>598792</v>
      </c>
      <c r="AQ10" s="80">
        <f t="shared" si="4"/>
        <v>602292</v>
      </c>
      <c r="AR10" s="80">
        <f t="shared" si="4"/>
        <v>619597</v>
      </c>
      <c r="AS10" s="80">
        <f t="shared" ref="AS10:AX10" si="5">SUM(AS8:AS9)</f>
        <v>607969</v>
      </c>
      <c r="AT10" s="80">
        <f t="shared" si="5"/>
        <v>685539</v>
      </c>
      <c r="AU10" s="80">
        <f t="shared" si="5"/>
        <v>640706</v>
      </c>
      <c r="AV10" s="80">
        <f t="shared" si="5"/>
        <v>632781</v>
      </c>
      <c r="AW10" s="80">
        <f t="shared" si="5"/>
        <v>596722</v>
      </c>
      <c r="AX10" s="10">
        <f t="shared" si="5"/>
        <v>603150</v>
      </c>
      <c r="AY10" s="80">
        <f t="shared" ref="AY10:BJ10" si="6">SUM(AY8:AY9)</f>
        <v>636195</v>
      </c>
      <c r="AZ10" s="80">
        <f t="shared" si="6"/>
        <v>605059</v>
      </c>
      <c r="BA10" s="80">
        <f t="shared" si="6"/>
        <v>697610</v>
      </c>
      <c r="BB10" s="80">
        <f t="shared" si="6"/>
        <v>604381</v>
      </c>
      <c r="BC10" s="80">
        <f t="shared" si="6"/>
        <v>666677</v>
      </c>
      <c r="BD10" s="80">
        <f t="shared" si="6"/>
        <v>668231</v>
      </c>
      <c r="BE10" s="80">
        <f t="shared" si="6"/>
        <v>607489</v>
      </c>
      <c r="BF10" s="80">
        <f t="shared" si="6"/>
        <v>696935</v>
      </c>
      <c r="BG10" s="80">
        <f t="shared" si="6"/>
        <v>612260</v>
      </c>
      <c r="BH10" s="80">
        <f t="shared" si="6"/>
        <v>672440</v>
      </c>
      <c r="BI10" s="80">
        <f t="shared" si="6"/>
        <v>609770</v>
      </c>
      <c r="BJ10" s="10">
        <f t="shared" si="6"/>
        <v>578164</v>
      </c>
      <c r="BK10" s="80">
        <f t="shared" ref="BK10:BV10" si="7">SUM(BK8:BK9)</f>
        <v>644310</v>
      </c>
      <c r="BL10" s="80">
        <f t="shared" si="7"/>
        <v>614642</v>
      </c>
      <c r="BM10" s="80">
        <f t="shared" si="7"/>
        <v>677844</v>
      </c>
      <c r="BN10" s="80">
        <f t="shared" si="7"/>
        <v>617969</v>
      </c>
      <c r="BO10" s="80">
        <f t="shared" si="7"/>
        <v>676438</v>
      </c>
      <c r="BP10" s="80">
        <f t="shared" si="7"/>
        <v>649966</v>
      </c>
      <c r="BQ10" s="80">
        <f t="shared" si="7"/>
        <v>650482</v>
      </c>
      <c r="BR10" s="80">
        <f t="shared" si="7"/>
        <v>716402</v>
      </c>
      <c r="BS10" s="80">
        <f t="shared" si="7"/>
        <v>588191</v>
      </c>
      <c r="BT10" s="80">
        <f t="shared" si="7"/>
        <v>658275</v>
      </c>
      <c r="BU10" s="80">
        <f t="shared" si="7"/>
        <v>659102</v>
      </c>
      <c r="BV10" s="10">
        <f t="shared" si="7"/>
        <v>659084</v>
      </c>
      <c r="BW10" s="80">
        <f t="shared" ref="BW10:CB10" si="8">SUM(BW8:BW9)</f>
        <v>660580</v>
      </c>
      <c r="BX10" s="80">
        <f t="shared" si="8"/>
        <v>663610</v>
      </c>
      <c r="BY10" s="80">
        <f t="shared" si="8"/>
        <v>665452</v>
      </c>
      <c r="BZ10" s="80">
        <f t="shared" si="8"/>
        <v>666217</v>
      </c>
      <c r="CA10" s="80">
        <f t="shared" si="8"/>
        <v>668025</v>
      </c>
      <c r="CB10" s="80">
        <f t="shared" si="8"/>
        <v>668260</v>
      </c>
      <c r="CC10" s="80">
        <f t="shared" ref="CC10:CN10" si="9">SUM(CC8:CC9)</f>
        <v>668636</v>
      </c>
      <c r="CD10" s="80">
        <f t="shared" si="9"/>
        <v>670055</v>
      </c>
      <c r="CE10" s="80">
        <f t="shared" si="9"/>
        <v>670352</v>
      </c>
      <c r="CF10" s="80">
        <f t="shared" si="9"/>
        <v>668965</v>
      </c>
      <c r="CG10" s="80">
        <f t="shared" si="9"/>
        <v>676722</v>
      </c>
      <c r="CH10" s="10">
        <f t="shared" si="9"/>
        <v>669674</v>
      </c>
      <c r="CI10" s="106">
        <f t="shared" si="9"/>
        <v>661439</v>
      </c>
      <c r="CJ10" s="94">
        <f t="shared" si="9"/>
        <v>663192</v>
      </c>
      <c r="CK10" s="94">
        <f t="shared" si="9"/>
        <v>666268</v>
      </c>
      <c r="CL10" s="94">
        <f t="shared" si="9"/>
        <v>666342</v>
      </c>
      <c r="CM10" s="94">
        <f t="shared" si="9"/>
        <v>667037</v>
      </c>
      <c r="CN10" s="94">
        <f t="shared" si="9"/>
        <v>668512</v>
      </c>
      <c r="CO10" s="94">
        <f t="shared" ref="CO10:CT10" si="10">SUM(CO8:CO9)</f>
        <v>668479</v>
      </c>
      <c r="CP10" s="94">
        <f t="shared" si="10"/>
        <v>669650</v>
      </c>
      <c r="CQ10" s="94">
        <f t="shared" si="10"/>
        <v>669720</v>
      </c>
      <c r="CR10" s="94">
        <f t="shared" si="10"/>
        <v>668023</v>
      </c>
      <c r="CS10" s="94">
        <f t="shared" si="10"/>
        <v>668137</v>
      </c>
      <c r="CT10" s="107">
        <f t="shared" si="10"/>
        <v>665677</v>
      </c>
      <c r="CU10" s="95">
        <f t="shared" ref="CU10:DK10" si="11">SUM(CU8:CU9)</f>
        <v>616126</v>
      </c>
      <c r="CV10" s="95">
        <f t="shared" si="11"/>
        <v>668647</v>
      </c>
      <c r="CW10" s="95">
        <f t="shared" si="11"/>
        <v>671017</v>
      </c>
      <c r="CX10" s="95">
        <f t="shared" si="11"/>
        <v>671197</v>
      </c>
      <c r="CY10" s="95">
        <f t="shared" si="11"/>
        <v>672322</v>
      </c>
      <c r="CZ10" s="95">
        <f t="shared" si="11"/>
        <v>673379</v>
      </c>
      <c r="DA10" s="95">
        <f t="shared" si="11"/>
        <v>673504</v>
      </c>
      <c r="DB10" s="95">
        <f t="shared" si="11"/>
        <v>643877</v>
      </c>
      <c r="DC10" s="95">
        <f t="shared" si="11"/>
        <v>674949</v>
      </c>
      <c r="DD10" s="95">
        <f t="shared" si="11"/>
        <v>643067</v>
      </c>
      <c r="DE10" s="95">
        <f t="shared" si="11"/>
        <v>645557</v>
      </c>
      <c r="DF10" s="107">
        <f t="shared" si="11"/>
        <v>660937</v>
      </c>
      <c r="DG10" s="95">
        <f t="shared" si="11"/>
        <v>614448</v>
      </c>
      <c r="DH10" s="95">
        <f t="shared" si="11"/>
        <v>671967</v>
      </c>
      <c r="DI10" s="95">
        <f t="shared" si="11"/>
        <v>676085</v>
      </c>
      <c r="DJ10" s="95">
        <f t="shared" si="11"/>
        <v>648881</v>
      </c>
      <c r="DK10" s="95">
        <f t="shared" si="11"/>
        <v>616767</v>
      </c>
      <c r="DL10" s="95">
        <f t="shared" ref="DL10:FQ10" si="12">SUM(DL8:DL9)</f>
        <v>678439</v>
      </c>
      <c r="DM10" s="95">
        <f t="shared" si="12"/>
        <v>652313</v>
      </c>
      <c r="DN10" s="95">
        <f t="shared" si="12"/>
        <v>680653</v>
      </c>
      <c r="DO10" s="95">
        <f t="shared" si="12"/>
        <v>639086</v>
      </c>
      <c r="DP10" s="95">
        <f t="shared" si="12"/>
        <v>623977</v>
      </c>
      <c r="DQ10" s="95">
        <f t="shared" si="12"/>
        <v>652665</v>
      </c>
      <c r="DR10" s="95">
        <f t="shared" si="12"/>
        <v>589131</v>
      </c>
      <c r="DS10" s="95">
        <f t="shared" si="12"/>
        <v>625403</v>
      </c>
      <c r="DT10" s="95">
        <f t="shared" si="12"/>
        <v>653206</v>
      </c>
      <c r="DU10" s="95">
        <f t="shared" si="12"/>
        <v>687587</v>
      </c>
      <c r="DV10" s="355">
        <f t="shared" si="12"/>
        <v>687936</v>
      </c>
      <c r="DW10" s="355">
        <f t="shared" si="12"/>
        <v>690834</v>
      </c>
      <c r="DX10" s="355">
        <f t="shared" si="12"/>
        <v>682170</v>
      </c>
      <c r="DY10" s="355">
        <f t="shared" si="12"/>
        <v>693495</v>
      </c>
      <c r="DZ10" s="355">
        <f t="shared" si="12"/>
        <v>693230</v>
      </c>
      <c r="EA10" s="355">
        <f t="shared" si="12"/>
        <v>691984</v>
      </c>
      <c r="EB10" s="355">
        <f t="shared" si="12"/>
        <v>694104</v>
      </c>
      <c r="EC10" s="355">
        <f t="shared" si="12"/>
        <v>695204</v>
      </c>
      <c r="ED10" s="355">
        <f t="shared" si="12"/>
        <v>693741</v>
      </c>
      <c r="EE10" s="355">
        <f t="shared" si="12"/>
        <v>696130</v>
      </c>
      <c r="EF10" s="355">
        <f t="shared" si="12"/>
        <v>694672</v>
      </c>
      <c r="EG10" s="355">
        <f t="shared" si="12"/>
        <v>693721</v>
      </c>
      <c r="EH10" s="355">
        <f t="shared" si="12"/>
        <v>696395</v>
      </c>
      <c r="EI10" s="355">
        <f t="shared" si="12"/>
        <v>696622</v>
      </c>
      <c r="EJ10" s="355">
        <f t="shared" si="12"/>
        <v>696866</v>
      </c>
      <c r="EK10" s="355">
        <f t="shared" si="12"/>
        <v>700932</v>
      </c>
      <c r="EL10" s="355">
        <f t="shared" si="12"/>
        <v>701027</v>
      </c>
      <c r="EM10" s="355">
        <f t="shared" si="12"/>
        <v>700326</v>
      </c>
      <c r="EN10" s="355">
        <f t="shared" si="12"/>
        <v>699089</v>
      </c>
      <c r="EO10" s="355">
        <f t="shared" si="12"/>
        <v>699205</v>
      </c>
      <c r="EP10" s="355">
        <f t="shared" si="12"/>
        <v>694219</v>
      </c>
      <c r="EQ10" s="355">
        <f t="shared" si="12"/>
        <v>671160</v>
      </c>
      <c r="ER10" s="355">
        <f t="shared" si="12"/>
        <v>673185</v>
      </c>
      <c r="ES10" s="355">
        <f t="shared" si="12"/>
        <v>667950</v>
      </c>
      <c r="ET10" s="355">
        <f t="shared" si="12"/>
        <v>703844</v>
      </c>
      <c r="EU10" s="355">
        <f t="shared" si="12"/>
        <v>705265</v>
      </c>
      <c r="EV10" s="355">
        <f t="shared" si="12"/>
        <v>704981</v>
      </c>
      <c r="EW10" s="355">
        <f t="shared" si="12"/>
        <v>706795</v>
      </c>
      <c r="EX10" s="355">
        <f t="shared" si="12"/>
        <v>708146</v>
      </c>
      <c r="EY10" s="355">
        <f t="shared" si="12"/>
        <v>701017</v>
      </c>
      <c r="EZ10" s="355">
        <f t="shared" si="12"/>
        <v>709634</v>
      </c>
      <c r="FA10" s="355">
        <f t="shared" si="12"/>
        <v>708974</v>
      </c>
      <c r="FB10" s="355">
        <f t="shared" si="12"/>
        <v>707746</v>
      </c>
      <c r="FC10" s="355">
        <f t="shared" si="12"/>
        <v>709896</v>
      </c>
      <c r="FD10" s="355">
        <f t="shared" si="12"/>
        <v>711319</v>
      </c>
      <c r="FE10" s="355">
        <f t="shared" si="12"/>
        <v>709357</v>
      </c>
      <c r="FF10" s="355">
        <f t="shared" si="12"/>
        <v>713832</v>
      </c>
      <c r="FG10" s="355">
        <f t="shared" si="12"/>
        <v>715579</v>
      </c>
      <c r="FH10" s="355">
        <f t="shared" si="12"/>
        <v>716247</v>
      </c>
      <c r="FI10" s="355">
        <f t="shared" si="12"/>
        <v>719934</v>
      </c>
      <c r="FJ10" s="355">
        <f t="shared" si="12"/>
        <v>719610</v>
      </c>
      <c r="FK10" s="355">
        <f t="shared" si="12"/>
        <v>712554</v>
      </c>
      <c r="FL10" s="355">
        <f t="shared" si="12"/>
        <v>716119</v>
      </c>
      <c r="FM10" s="355">
        <f t="shared" si="12"/>
        <v>716837</v>
      </c>
      <c r="FN10" s="355">
        <f t="shared" si="12"/>
        <v>711790</v>
      </c>
      <c r="FO10" s="355">
        <f t="shared" si="12"/>
        <v>718493</v>
      </c>
      <c r="FP10" s="355">
        <f t="shared" si="12"/>
        <v>720740</v>
      </c>
      <c r="FQ10" s="355">
        <f t="shared" si="12"/>
        <v>719330</v>
      </c>
      <c r="FR10" s="355">
        <f t="shared" ref="FR10:FT10" si="13">SUM(FR8:FR9)</f>
        <v>721250</v>
      </c>
      <c r="FS10" s="355">
        <f t="shared" si="13"/>
        <v>724353</v>
      </c>
      <c r="FT10" s="355">
        <f t="shared" si="13"/>
        <v>722050</v>
      </c>
    </row>
    <row r="11" spans="2:182" x14ac:dyDescent="0.25">
      <c r="B11" s="3" t="s">
        <v>10</v>
      </c>
      <c r="C11" s="14">
        <f t="shared" ref="C11:H11" si="14">SUM(C8)/C10</f>
        <v>0.9986473416158379</v>
      </c>
      <c r="D11" s="14">
        <f t="shared" si="14"/>
        <v>0.99759221465097692</v>
      </c>
      <c r="E11" s="14">
        <f t="shared" si="14"/>
        <v>0.99653869808920759</v>
      </c>
      <c r="F11" s="14">
        <f t="shared" si="14"/>
        <v>0.99578570694374036</v>
      </c>
      <c r="G11" s="14">
        <f t="shared" si="14"/>
        <v>0.99476336193205384</v>
      </c>
      <c r="H11" s="14">
        <f t="shared" si="14"/>
        <v>0.99326506294575789</v>
      </c>
      <c r="I11" s="14">
        <f t="shared" ref="I11:Q11" si="15">SUM(I8)/I10</f>
        <v>0.9908628118671996</v>
      </c>
      <c r="J11" s="14">
        <f t="shared" si="15"/>
        <v>0.9812100460471942</v>
      </c>
      <c r="K11" s="14">
        <f t="shared" si="15"/>
        <v>0.9729870889922132</v>
      </c>
      <c r="L11" s="14">
        <f t="shared" si="15"/>
        <v>0.96696183007029357</v>
      </c>
      <c r="M11" s="14">
        <f t="shared" si="15"/>
        <v>0.96482557740603003</v>
      </c>
      <c r="N11" s="23">
        <f t="shared" si="15"/>
        <v>0.96082026267943887</v>
      </c>
      <c r="O11" s="14">
        <f t="shared" si="15"/>
        <v>0.9495151518037559</v>
      </c>
      <c r="P11" s="14">
        <f t="shared" si="15"/>
        <v>0.94144427811903164</v>
      </c>
      <c r="Q11" s="14">
        <f t="shared" si="15"/>
        <v>0.93722996707587236</v>
      </c>
      <c r="R11" s="14">
        <f t="shared" ref="R11:W11" si="16">SUM(R8)/R10</f>
        <v>0.92289597146163505</v>
      </c>
      <c r="S11" s="14">
        <f t="shared" si="16"/>
        <v>0.91036808693975935</v>
      </c>
      <c r="T11" s="14">
        <f t="shared" si="16"/>
        <v>0.89951255784571293</v>
      </c>
      <c r="U11" s="14">
        <f t="shared" si="16"/>
        <v>0.88683590074658403</v>
      </c>
      <c r="V11" s="14">
        <f t="shared" si="16"/>
        <v>0.87417625824559564</v>
      </c>
      <c r="W11" s="14">
        <f t="shared" si="16"/>
        <v>0.86260631090941742</v>
      </c>
      <c r="X11" s="14">
        <f t="shared" ref="X11:AC11" si="17">SUM(X8)/X10</f>
        <v>0.84636822190360517</v>
      </c>
      <c r="Y11" s="14">
        <f t="shared" si="17"/>
        <v>0.83693810247598033</v>
      </c>
      <c r="Z11" s="23">
        <f t="shared" si="17"/>
        <v>0.82834804447559784</v>
      </c>
      <c r="AA11" s="14">
        <f t="shared" si="17"/>
        <v>0.82808560896978134</v>
      </c>
      <c r="AB11" s="14">
        <f t="shared" si="17"/>
        <v>0.82659102327219436</v>
      </c>
      <c r="AC11" s="14">
        <f t="shared" si="17"/>
        <v>0.82215006317170258</v>
      </c>
      <c r="AD11" s="14">
        <f t="shared" ref="AD11:AI11" si="18">SUM(AD8)/AD10</f>
        <v>0.8189392596412628</v>
      </c>
      <c r="AE11" s="14">
        <f t="shared" si="18"/>
        <v>0.81202357790657798</v>
      </c>
      <c r="AF11" s="14">
        <f t="shared" si="18"/>
        <v>0.80819800014183396</v>
      </c>
      <c r="AG11" s="14">
        <f t="shared" si="18"/>
        <v>0.79911805658040791</v>
      </c>
      <c r="AH11" s="14">
        <f t="shared" si="18"/>
        <v>0.79295026867333174</v>
      </c>
      <c r="AI11" s="14">
        <f t="shared" si="18"/>
        <v>0.7861844041196665</v>
      </c>
      <c r="AJ11" s="14">
        <f t="shared" ref="AJ11:AO11" si="19">SUM(AJ8)/AJ10</f>
        <v>0.77822534576803426</v>
      </c>
      <c r="AK11" s="14">
        <f t="shared" si="19"/>
        <v>0.7722688235623002</v>
      </c>
      <c r="AL11" s="23">
        <f t="shared" si="19"/>
        <v>0.76563536235179419</v>
      </c>
      <c r="AM11" s="14">
        <f t="shared" si="19"/>
        <v>0.7613145997540941</v>
      </c>
      <c r="AN11" s="14">
        <f t="shared" si="19"/>
        <v>0.75652492668621696</v>
      </c>
      <c r="AO11" s="14">
        <f t="shared" si="19"/>
        <v>0.75436898930209351</v>
      </c>
      <c r="AP11" s="14">
        <f t="shared" ref="AP11:AU11" si="20">SUM(AP8)/AP10</f>
        <v>0.75199568464508548</v>
      </c>
      <c r="AQ11" s="14">
        <f t="shared" si="20"/>
        <v>0.74909180264722097</v>
      </c>
      <c r="AR11" s="14">
        <f t="shared" si="20"/>
        <v>0.74811692116004436</v>
      </c>
      <c r="AS11" s="14">
        <f t="shared" si="20"/>
        <v>0.74236844312785688</v>
      </c>
      <c r="AT11" s="14">
        <f t="shared" si="20"/>
        <v>0.73638698892404375</v>
      </c>
      <c r="AU11" s="14">
        <f t="shared" si="20"/>
        <v>0.73050665984086305</v>
      </c>
      <c r="AV11" s="14">
        <f t="shared" ref="AV11:BJ11" si="21">SUM(AV8)/AV10</f>
        <v>0.72199070452494618</v>
      </c>
      <c r="AW11" s="14">
        <f t="shared" si="21"/>
        <v>0.71714131538639436</v>
      </c>
      <c r="AX11" s="23">
        <f t="shared" si="21"/>
        <v>0.71048495399154443</v>
      </c>
      <c r="AY11" s="14">
        <f t="shared" si="21"/>
        <v>0.704832637791872</v>
      </c>
      <c r="AZ11" s="14">
        <f t="shared" si="21"/>
        <v>0.70077298246947817</v>
      </c>
      <c r="BA11" s="14">
        <f t="shared" si="21"/>
        <v>0.69993979444102006</v>
      </c>
      <c r="BB11" s="14">
        <f t="shared" si="21"/>
        <v>0.6935939415699699</v>
      </c>
      <c r="BC11" s="14">
        <f t="shared" si="21"/>
        <v>0.68787883787801285</v>
      </c>
      <c r="BD11" s="14">
        <f t="shared" si="21"/>
        <v>0.67723586604033637</v>
      </c>
      <c r="BE11" s="14">
        <f t="shared" si="21"/>
        <v>0.66920224069900858</v>
      </c>
      <c r="BF11" s="14">
        <f t="shared" si="21"/>
        <v>0.65959522767546475</v>
      </c>
      <c r="BG11" s="14">
        <f t="shared" si="21"/>
        <v>0.65423839545291218</v>
      </c>
      <c r="BH11" s="14">
        <f t="shared" si="21"/>
        <v>0.64294658259472959</v>
      </c>
      <c r="BI11" s="14">
        <f t="shared" si="21"/>
        <v>0.63775357921839382</v>
      </c>
      <c r="BJ11" s="23">
        <f t="shared" si="21"/>
        <v>0.63009976408077983</v>
      </c>
      <c r="BK11" s="14">
        <f t="shared" ref="BK11:BV11" si="22">SUM(BK8)/BK10</f>
        <v>0.62286477006409957</v>
      </c>
      <c r="BL11" s="14">
        <f t="shared" si="22"/>
        <v>0.62010894146511297</v>
      </c>
      <c r="BM11" s="14">
        <f t="shared" si="22"/>
        <v>0.61929293465753177</v>
      </c>
      <c r="BN11" s="14">
        <f t="shared" si="22"/>
        <v>0.61279772933593757</v>
      </c>
      <c r="BO11" s="14">
        <f t="shared" si="22"/>
        <v>0.60608806719906327</v>
      </c>
      <c r="BP11" s="14">
        <f t="shared" si="22"/>
        <v>0.59890209641735104</v>
      </c>
      <c r="BQ11" s="14">
        <f t="shared" si="22"/>
        <v>0.59229463690002182</v>
      </c>
      <c r="BR11" s="14">
        <f t="shared" si="22"/>
        <v>0.58338753939827082</v>
      </c>
      <c r="BS11" s="14">
        <f t="shared" si="22"/>
        <v>0.5784243553539582</v>
      </c>
      <c r="BT11" s="14">
        <f t="shared" si="22"/>
        <v>0.56558733052295773</v>
      </c>
      <c r="BU11" s="14">
        <f t="shared" si="22"/>
        <v>0.55935196676690402</v>
      </c>
      <c r="BV11" s="23">
        <f t="shared" si="22"/>
        <v>0.55251075735414601</v>
      </c>
      <c r="BW11" s="14">
        <f t="shared" ref="BW11:CB11" si="23">SUM(BW8)/BW10</f>
        <v>0.54695873323443034</v>
      </c>
      <c r="BX11" s="14">
        <f t="shared" si="23"/>
        <v>0.54074833109808473</v>
      </c>
      <c r="BY11" s="14">
        <f t="shared" si="23"/>
        <v>0.53529630987659516</v>
      </c>
      <c r="BZ11" s="14">
        <f t="shared" si="23"/>
        <v>0.52681783863215736</v>
      </c>
      <c r="CA11" s="14">
        <f t="shared" si="23"/>
        <v>0.51759290445716855</v>
      </c>
      <c r="CB11" s="14">
        <f t="shared" si="23"/>
        <v>0.50947834675126447</v>
      </c>
      <c r="CC11" s="14">
        <f t="shared" ref="CC11:DK11" si="24">SUM(CC8)/CC10</f>
        <v>0.49983997272058339</v>
      </c>
      <c r="CD11" s="14">
        <f t="shared" si="24"/>
        <v>0.49265358813828714</v>
      </c>
      <c r="CE11" s="14">
        <f t="shared" si="24"/>
        <v>0.48391889634102681</v>
      </c>
      <c r="CF11" s="14">
        <f t="shared" si="24"/>
        <v>0.47425650071378922</v>
      </c>
      <c r="CG11" s="14">
        <f t="shared" si="24"/>
        <v>0.45884720756824809</v>
      </c>
      <c r="CH11" s="23">
        <f t="shared" si="24"/>
        <v>0.45327577298805088</v>
      </c>
      <c r="CI11" s="258">
        <f t="shared" si="24"/>
        <v>0.4506296121033081</v>
      </c>
      <c r="CJ11" s="259">
        <f t="shared" si="24"/>
        <v>0.44159609886729634</v>
      </c>
      <c r="CK11" s="259">
        <f t="shared" si="24"/>
        <v>0.43281382266595425</v>
      </c>
      <c r="CL11" s="259">
        <f t="shared" si="24"/>
        <v>0.42443219848066011</v>
      </c>
      <c r="CM11" s="259">
        <f t="shared" si="24"/>
        <v>0.4176634879324535</v>
      </c>
      <c r="CN11" s="259">
        <f t="shared" si="24"/>
        <v>0.41134489732420659</v>
      </c>
      <c r="CO11" s="259">
        <f t="shared" si="24"/>
        <v>0.40531564940708681</v>
      </c>
      <c r="CP11" s="259">
        <f t="shared" si="24"/>
        <v>0.39943552602105575</v>
      </c>
      <c r="CQ11" s="259">
        <f t="shared" si="24"/>
        <v>0.39269246849429612</v>
      </c>
      <c r="CR11" s="259">
        <f t="shared" si="24"/>
        <v>0.38485650943156147</v>
      </c>
      <c r="CS11" s="259">
        <f t="shared" si="24"/>
        <v>0.37889534631370514</v>
      </c>
      <c r="CT11" s="265">
        <f t="shared" si="24"/>
        <v>0.37414241441419788</v>
      </c>
      <c r="CU11" s="259">
        <f t="shared" si="24"/>
        <v>0.37073260988823714</v>
      </c>
      <c r="CV11" s="259">
        <f t="shared" si="24"/>
        <v>0.36686173720961884</v>
      </c>
      <c r="CW11" s="259">
        <f t="shared" si="24"/>
        <v>0.36230229636506972</v>
      </c>
      <c r="CX11" s="259">
        <f t="shared" si="24"/>
        <v>0.357130618879405</v>
      </c>
      <c r="CY11" s="259">
        <f t="shared" si="24"/>
        <v>0.35281606135155474</v>
      </c>
      <c r="CZ11" s="259">
        <f t="shared" si="24"/>
        <v>0.34831944566135858</v>
      </c>
      <c r="DA11" s="259">
        <f t="shared" si="24"/>
        <v>0.3441004062336675</v>
      </c>
      <c r="DB11" s="259">
        <f t="shared" si="24"/>
        <v>0.33909582109626529</v>
      </c>
      <c r="DC11" s="259">
        <f t="shared" si="24"/>
        <v>0.33645505067790304</v>
      </c>
      <c r="DD11" s="259">
        <f t="shared" si="24"/>
        <v>0.33458411020935608</v>
      </c>
      <c r="DE11" s="259">
        <f t="shared" si="24"/>
        <v>0.33187309563679118</v>
      </c>
      <c r="DF11" s="265">
        <f t="shared" si="24"/>
        <v>0.33054738953939633</v>
      </c>
      <c r="DG11" s="259">
        <f t="shared" si="24"/>
        <v>0.32752486784886597</v>
      </c>
      <c r="DH11" s="259">
        <f t="shared" si="24"/>
        <v>0.32656663199234487</v>
      </c>
      <c r="DI11" s="259">
        <f t="shared" si="24"/>
        <v>0.32451540856549105</v>
      </c>
      <c r="DJ11" s="259">
        <f t="shared" si="24"/>
        <v>0.3230808114276732</v>
      </c>
      <c r="DK11" s="259">
        <f t="shared" si="24"/>
        <v>0.32047434444449852</v>
      </c>
      <c r="DL11" s="259">
        <f t="shared" ref="DL11:FQ11" si="25">SUM(DL8)/DL10</f>
        <v>0.31918713399436061</v>
      </c>
      <c r="DM11" s="259">
        <f t="shared" si="25"/>
        <v>0.31717442393452222</v>
      </c>
      <c r="DN11" s="259">
        <f t="shared" si="25"/>
        <v>0.3156733313450466</v>
      </c>
      <c r="DO11" s="259">
        <f t="shared" si="25"/>
        <v>0.31387012076621923</v>
      </c>
      <c r="DP11" s="259">
        <f t="shared" si="25"/>
        <v>0.31367502327810159</v>
      </c>
      <c r="DQ11" s="259">
        <f t="shared" si="25"/>
        <v>0.3096228539909448</v>
      </c>
      <c r="DR11" s="259">
        <f t="shared" si="25"/>
        <v>0.31063210050056778</v>
      </c>
      <c r="DS11" s="259">
        <f t="shared" si="25"/>
        <v>0.30882486972400197</v>
      </c>
      <c r="DT11" s="259">
        <f t="shared" si="25"/>
        <v>0.30806055057669401</v>
      </c>
      <c r="DU11" s="259">
        <f t="shared" si="25"/>
        <v>0.30422913754913922</v>
      </c>
      <c r="DV11" s="282">
        <f t="shared" si="25"/>
        <v>0.30185511442924923</v>
      </c>
      <c r="DW11" s="282">
        <f t="shared" si="25"/>
        <v>0.29875339082905589</v>
      </c>
      <c r="DX11" s="282">
        <f t="shared" si="25"/>
        <v>0.29715906592198427</v>
      </c>
      <c r="DY11" s="282">
        <f t="shared" si="25"/>
        <v>0.29380168566464071</v>
      </c>
      <c r="DZ11" s="282">
        <f t="shared" si="25"/>
        <v>0.29212382614716614</v>
      </c>
      <c r="EA11" s="282">
        <f t="shared" si="25"/>
        <v>0.29159922772780872</v>
      </c>
      <c r="EB11" s="282">
        <f t="shared" si="25"/>
        <v>0.28984417320747324</v>
      </c>
      <c r="EC11" s="282">
        <f t="shared" si="25"/>
        <v>0.28880731411211674</v>
      </c>
      <c r="ED11" s="282">
        <f t="shared" si="25"/>
        <v>0.28789706821421829</v>
      </c>
      <c r="EE11" s="282">
        <f t="shared" si="25"/>
        <v>0.28485914987143207</v>
      </c>
      <c r="EF11" s="282">
        <f t="shared" si="25"/>
        <v>0.28394551673307689</v>
      </c>
      <c r="EG11" s="282">
        <f t="shared" si="25"/>
        <v>0.28208170143328515</v>
      </c>
      <c r="EH11" s="282">
        <f t="shared" si="25"/>
        <v>0.28040120908392507</v>
      </c>
      <c r="EI11" s="282">
        <f t="shared" si="25"/>
        <v>0.27912698708912437</v>
      </c>
      <c r="EJ11" s="282">
        <f t="shared" si="25"/>
        <v>0.27727855857510625</v>
      </c>
      <c r="EK11" s="282">
        <f t="shared" si="25"/>
        <v>0.27647903077616659</v>
      </c>
      <c r="EL11" s="282">
        <f t="shared" si="25"/>
        <v>0.27537598409191089</v>
      </c>
      <c r="EM11" s="282">
        <f t="shared" si="25"/>
        <v>0.27499621604795482</v>
      </c>
      <c r="EN11" s="282">
        <f t="shared" si="25"/>
        <v>0.27474327303104468</v>
      </c>
      <c r="EO11" s="282">
        <f t="shared" si="25"/>
        <v>0.27447029125935885</v>
      </c>
      <c r="EP11" s="282">
        <f t="shared" si="25"/>
        <v>0.27454160718735732</v>
      </c>
      <c r="EQ11" s="282">
        <f t="shared" si="25"/>
        <v>0.27317331187794269</v>
      </c>
      <c r="ER11" s="282">
        <f t="shared" si="25"/>
        <v>0.27131769127357264</v>
      </c>
      <c r="ES11" s="282">
        <f t="shared" si="25"/>
        <v>0.27050378022307059</v>
      </c>
      <c r="ET11" s="282">
        <f t="shared" si="25"/>
        <v>0.26770420718227333</v>
      </c>
      <c r="EU11" s="282">
        <f t="shared" si="25"/>
        <v>0.26632967749711101</v>
      </c>
      <c r="EV11" s="282">
        <f t="shared" si="25"/>
        <v>0.26568659297200919</v>
      </c>
      <c r="EW11" s="282">
        <f t="shared" si="25"/>
        <v>0.26504714945634872</v>
      </c>
      <c r="EX11" s="282">
        <f t="shared" si="25"/>
        <v>0.2636956220892302</v>
      </c>
      <c r="EY11" s="282">
        <f t="shared" si="25"/>
        <v>0.26158138818316817</v>
      </c>
      <c r="EZ11" s="282">
        <f t="shared" si="25"/>
        <v>0.26016087166060253</v>
      </c>
      <c r="FA11" s="282">
        <f t="shared" si="25"/>
        <v>0.25847774389469852</v>
      </c>
      <c r="FB11" s="282">
        <f t="shared" si="25"/>
        <v>0.25679834290833153</v>
      </c>
      <c r="FC11" s="282">
        <f t="shared" si="25"/>
        <v>0.25537543527502621</v>
      </c>
      <c r="FD11" s="282">
        <f t="shared" si="25"/>
        <v>0.25301728197897144</v>
      </c>
      <c r="FE11" s="282">
        <f t="shared" si="25"/>
        <v>0.25025198877293098</v>
      </c>
      <c r="FF11" s="282">
        <f t="shared" si="25"/>
        <v>0.24692504678972083</v>
      </c>
      <c r="FG11" s="282">
        <f t="shared" si="25"/>
        <v>0.24397306237326696</v>
      </c>
      <c r="FH11" s="282">
        <f t="shared" si="25"/>
        <v>0.24185092572813569</v>
      </c>
      <c r="FI11" s="282">
        <f t="shared" si="25"/>
        <v>0.23937055341184052</v>
      </c>
      <c r="FJ11" s="282">
        <f t="shared" si="25"/>
        <v>0.23770375620127568</v>
      </c>
      <c r="FK11" s="282">
        <f t="shared" si="25"/>
        <v>0.23663890736702062</v>
      </c>
      <c r="FL11" s="282">
        <f t="shared" si="25"/>
        <v>0.23397228672888165</v>
      </c>
      <c r="FM11" s="282">
        <f t="shared" si="25"/>
        <v>0.2315910032545753</v>
      </c>
      <c r="FN11" s="282">
        <f t="shared" si="25"/>
        <v>0.23029685721912363</v>
      </c>
      <c r="FO11" s="282">
        <f t="shared" si="25"/>
        <v>0.22778231659876993</v>
      </c>
      <c r="FP11" s="282">
        <f t="shared" si="25"/>
        <v>0.22529067347448456</v>
      </c>
      <c r="FQ11" s="282">
        <f t="shared" si="25"/>
        <v>0.22326331447319034</v>
      </c>
      <c r="FR11" s="282">
        <f t="shared" ref="FR11:FT11" si="26">SUM(FR8)/FR10</f>
        <v>0.22084575389948008</v>
      </c>
      <c r="FS11" s="282">
        <f t="shared" si="26"/>
        <v>0.21878559210771545</v>
      </c>
      <c r="FT11" s="282">
        <f t="shared" si="26"/>
        <v>0.21726334741361403</v>
      </c>
    </row>
    <row r="12" spans="2:182" ht="13.8" thickBot="1" x14ac:dyDescent="0.3">
      <c r="B12" s="4" t="s">
        <v>11</v>
      </c>
      <c r="C12" s="15">
        <f t="shared" ref="C12:H12" si="27">SUM(C9/C10)</f>
        <v>1.3526583841621191E-3</v>
      </c>
      <c r="D12" s="15">
        <f t="shared" si="27"/>
        <v>2.4077853490230387E-3</v>
      </c>
      <c r="E12" s="15">
        <f t="shared" si="27"/>
        <v>3.4613019107924128E-3</v>
      </c>
      <c r="F12" s="15">
        <f t="shared" si="27"/>
        <v>4.2142930562596801E-3</v>
      </c>
      <c r="G12" s="15">
        <f t="shared" si="27"/>
        <v>5.2366380679461167E-3</v>
      </c>
      <c r="H12" s="15">
        <f t="shared" si="27"/>
        <v>6.7349370542421471E-3</v>
      </c>
      <c r="I12" s="15">
        <f t="shared" ref="I12:Q12" si="28">SUM(I9/I10)</f>
        <v>9.1371881328004313E-3</v>
      </c>
      <c r="J12" s="15">
        <f t="shared" si="28"/>
        <v>1.8789953952805843E-2</v>
      </c>
      <c r="K12" s="15">
        <f t="shared" si="28"/>
        <v>2.7012911007786754E-2</v>
      </c>
      <c r="L12" s="15">
        <f t="shared" si="28"/>
        <v>3.3038169929706387E-2</v>
      </c>
      <c r="M12" s="15">
        <f t="shared" si="28"/>
        <v>3.5174422593970002E-2</v>
      </c>
      <c r="N12" s="24">
        <f t="shared" si="28"/>
        <v>3.9179737320561181E-2</v>
      </c>
      <c r="O12" s="15">
        <f t="shared" si="28"/>
        <v>5.0484848196244075E-2</v>
      </c>
      <c r="P12" s="15">
        <f t="shared" si="28"/>
        <v>5.8555721880968359E-2</v>
      </c>
      <c r="Q12" s="15">
        <f t="shared" si="28"/>
        <v>6.2770032924127639E-2</v>
      </c>
      <c r="R12" s="15">
        <f t="shared" ref="R12:W12" si="29">SUM(R9/R10)</f>
        <v>7.7104028538364913E-2</v>
      </c>
      <c r="S12" s="15">
        <f t="shared" si="29"/>
        <v>8.9631913060240639E-2</v>
      </c>
      <c r="T12" s="15">
        <f t="shared" si="29"/>
        <v>0.10048744215428704</v>
      </c>
      <c r="U12" s="15">
        <f t="shared" si="29"/>
        <v>0.11316409925341601</v>
      </c>
      <c r="V12" s="15">
        <f t="shared" si="29"/>
        <v>0.12582374175440433</v>
      </c>
      <c r="W12" s="15">
        <f t="shared" si="29"/>
        <v>0.13739368909058261</v>
      </c>
      <c r="X12" s="15">
        <f t="shared" ref="X12:AC12" si="30">SUM(X9/X10)</f>
        <v>0.15363177809639486</v>
      </c>
      <c r="Y12" s="15">
        <f t="shared" si="30"/>
        <v>0.16306189752401967</v>
      </c>
      <c r="Z12" s="24">
        <f t="shared" si="30"/>
        <v>0.17165195552440213</v>
      </c>
      <c r="AA12" s="15">
        <f t="shared" si="30"/>
        <v>0.17191439103021861</v>
      </c>
      <c r="AB12" s="15">
        <f t="shared" si="30"/>
        <v>0.17340897672780561</v>
      </c>
      <c r="AC12" s="15">
        <f t="shared" si="30"/>
        <v>0.17784993682829742</v>
      </c>
      <c r="AD12" s="15">
        <f t="shared" ref="AD12:AI12" si="31">SUM(AD9/AD10)</f>
        <v>0.18106074035873718</v>
      </c>
      <c r="AE12" s="15">
        <f t="shared" si="31"/>
        <v>0.18797642209342202</v>
      </c>
      <c r="AF12" s="15">
        <f t="shared" si="31"/>
        <v>0.19180199985816609</v>
      </c>
      <c r="AG12" s="15">
        <f t="shared" si="31"/>
        <v>0.20088194341959204</v>
      </c>
      <c r="AH12" s="15">
        <f t="shared" si="31"/>
        <v>0.20704973132666823</v>
      </c>
      <c r="AI12" s="15">
        <f t="shared" si="31"/>
        <v>0.2138155958803335</v>
      </c>
      <c r="AJ12" s="15">
        <f t="shared" ref="AJ12:AO12" si="32">SUM(AJ9/AJ10)</f>
        <v>0.22177465423196571</v>
      </c>
      <c r="AK12" s="15">
        <f t="shared" si="32"/>
        <v>0.22773117643769983</v>
      </c>
      <c r="AL12" s="24">
        <f t="shared" si="32"/>
        <v>0.23436463764820586</v>
      </c>
      <c r="AM12" s="15">
        <f t="shared" si="32"/>
        <v>0.23868540024590593</v>
      </c>
      <c r="AN12" s="15">
        <f t="shared" si="32"/>
        <v>0.24347507331378299</v>
      </c>
      <c r="AO12" s="15">
        <f t="shared" si="32"/>
        <v>0.24563101069790649</v>
      </c>
      <c r="AP12" s="15">
        <f t="shared" ref="AP12:AU12" si="33">SUM(AP9/AP10)</f>
        <v>0.24800431535491457</v>
      </c>
      <c r="AQ12" s="15">
        <f t="shared" si="33"/>
        <v>0.25090819735277903</v>
      </c>
      <c r="AR12" s="15">
        <f t="shared" si="33"/>
        <v>0.25188307883995564</v>
      </c>
      <c r="AS12" s="15">
        <f t="shared" si="33"/>
        <v>0.25763155687214317</v>
      </c>
      <c r="AT12" s="15">
        <f t="shared" si="33"/>
        <v>0.2636130110759563</v>
      </c>
      <c r="AU12" s="15">
        <f t="shared" si="33"/>
        <v>0.26949334015913695</v>
      </c>
      <c r="AV12" s="15">
        <f>SUM(AV9/AV10)</f>
        <v>0.27800929547505376</v>
      </c>
      <c r="AW12" s="15">
        <f>SUM(AW9/AW10)</f>
        <v>0.28285868461360569</v>
      </c>
      <c r="AX12" s="24">
        <f>SUM(AX9/AX10)</f>
        <v>0.28951504600845562</v>
      </c>
      <c r="AY12" s="15">
        <f t="shared" ref="AY12:BG12" si="34">SUM(AY9/AY10)</f>
        <v>0.295167362208128</v>
      </c>
      <c r="AZ12" s="15">
        <f t="shared" si="34"/>
        <v>0.29922701753052183</v>
      </c>
      <c r="BA12" s="15">
        <f t="shared" si="34"/>
        <v>0.30006020555897994</v>
      </c>
      <c r="BB12" s="15">
        <f t="shared" si="34"/>
        <v>0.30640605843003005</v>
      </c>
      <c r="BC12" s="15">
        <f t="shared" si="34"/>
        <v>0.31212116212198709</v>
      </c>
      <c r="BD12" s="15">
        <f t="shared" si="34"/>
        <v>0.32276413395966363</v>
      </c>
      <c r="BE12" s="15">
        <f t="shared" si="34"/>
        <v>0.33079775930099148</v>
      </c>
      <c r="BF12" s="15">
        <f t="shared" si="34"/>
        <v>0.34040477232453531</v>
      </c>
      <c r="BG12" s="15">
        <f t="shared" si="34"/>
        <v>0.34576160454708782</v>
      </c>
      <c r="BH12" s="15">
        <f>SUM(BH9/BH10)</f>
        <v>0.35705341740527036</v>
      </c>
      <c r="BI12" s="15">
        <f>SUM(BI9/BI10)</f>
        <v>0.36224642078160618</v>
      </c>
      <c r="BJ12" s="24">
        <f>SUM(BJ9/BJ10)</f>
        <v>0.36990023591922017</v>
      </c>
      <c r="BK12" s="15">
        <f t="shared" ref="BK12:BS12" si="35">SUM(BK9/BK10)</f>
        <v>0.37713522993590043</v>
      </c>
      <c r="BL12" s="15">
        <f t="shared" si="35"/>
        <v>0.37989105853488697</v>
      </c>
      <c r="BM12" s="15">
        <f t="shared" si="35"/>
        <v>0.38070706534246818</v>
      </c>
      <c r="BN12" s="15">
        <f t="shared" si="35"/>
        <v>0.38720227066406243</v>
      </c>
      <c r="BO12" s="15">
        <f t="shared" si="35"/>
        <v>0.39391193280093667</v>
      </c>
      <c r="BP12" s="15">
        <f t="shared" si="35"/>
        <v>0.40109790358264896</v>
      </c>
      <c r="BQ12" s="15">
        <f t="shared" si="35"/>
        <v>0.40770536309997818</v>
      </c>
      <c r="BR12" s="15">
        <f t="shared" si="35"/>
        <v>0.41661246060172918</v>
      </c>
      <c r="BS12" s="15">
        <f t="shared" si="35"/>
        <v>0.42157564464604186</v>
      </c>
      <c r="BT12" s="15">
        <f>SUM(BT9/BT10)</f>
        <v>0.43441266947704227</v>
      </c>
      <c r="BU12" s="15">
        <f>SUM(BU9/BU10)</f>
        <v>0.44064803323309593</v>
      </c>
      <c r="BV12" s="24">
        <f>SUM(BV9/BV10)</f>
        <v>0.44748924264585394</v>
      </c>
      <c r="BW12" s="15">
        <f t="shared" ref="BW12:CB12" si="36">SUM(BW9/BW10)</f>
        <v>0.45304126676556966</v>
      </c>
      <c r="BX12" s="15">
        <f t="shared" si="36"/>
        <v>0.45925166890191527</v>
      </c>
      <c r="BY12" s="15">
        <f t="shared" si="36"/>
        <v>0.46470369012340484</v>
      </c>
      <c r="BZ12" s="15">
        <f t="shared" si="36"/>
        <v>0.47318216136784264</v>
      </c>
      <c r="CA12" s="15">
        <f t="shared" si="36"/>
        <v>0.48240709554283145</v>
      </c>
      <c r="CB12" s="15">
        <f t="shared" si="36"/>
        <v>0.49052165324873553</v>
      </c>
      <c r="CC12" s="15">
        <f t="shared" ref="CC12:DK12" si="37">SUM(CC9/CC10)</f>
        <v>0.50016002727941655</v>
      </c>
      <c r="CD12" s="15">
        <f t="shared" si="37"/>
        <v>0.50734641186171281</v>
      </c>
      <c r="CE12" s="15">
        <f t="shared" si="37"/>
        <v>0.51608110365897319</v>
      </c>
      <c r="CF12" s="15">
        <f t="shared" si="37"/>
        <v>0.52574349928621078</v>
      </c>
      <c r="CG12" s="15">
        <f t="shared" si="37"/>
        <v>0.54115279243175185</v>
      </c>
      <c r="CH12" s="24">
        <f t="shared" si="37"/>
        <v>0.54672422701194912</v>
      </c>
      <c r="CI12" s="260">
        <f t="shared" si="37"/>
        <v>0.5493703878966919</v>
      </c>
      <c r="CJ12" s="261">
        <f t="shared" si="37"/>
        <v>0.55840390113270366</v>
      </c>
      <c r="CK12" s="261">
        <f t="shared" si="37"/>
        <v>0.56718617733404575</v>
      </c>
      <c r="CL12" s="261">
        <f t="shared" si="37"/>
        <v>0.57556780151933995</v>
      </c>
      <c r="CM12" s="261">
        <f t="shared" si="37"/>
        <v>0.58233651206754644</v>
      </c>
      <c r="CN12" s="261">
        <f t="shared" si="37"/>
        <v>0.58865510267579335</v>
      </c>
      <c r="CO12" s="261">
        <f t="shared" si="37"/>
        <v>0.59468435059291314</v>
      </c>
      <c r="CP12" s="261">
        <f t="shared" si="37"/>
        <v>0.60056447397894419</v>
      </c>
      <c r="CQ12" s="261">
        <f t="shared" si="37"/>
        <v>0.60730753150570382</v>
      </c>
      <c r="CR12" s="261">
        <f t="shared" si="37"/>
        <v>0.61514349056843853</v>
      </c>
      <c r="CS12" s="261">
        <f t="shared" si="37"/>
        <v>0.62110465368629486</v>
      </c>
      <c r="CT12" s="267">
        <f t="shared" si="37"/>
        <v>0.62585758558580218</v>
      </c>
      <c r="CU12" s="261">
        <f t="shared" si="37"/>
        <v>0.6292673901117628</v>
      </c>
      <c r="CV12" s="261">
        <f t="shared" si="37"/>
        <v>0.63313826279038121</v>
      </c>
      <c r="CW12" s="261">
        <f t="shared" si="37"/>
        <v>0.63769770363493028</v>
      </c>
      <c r="CX12" s="261">
        <f t="shared" si="37"/>
        <v>0.642869381120595</v>
      </c>
      <c r="CY12" s="261">
        <f t="shared" si="37"/>
        <v>0.64718393864844526</v>
      </c>
      <c r="CZ12" s="261">
        <f t="shared" si="37"/>
        <v>0.65168055433864136</v>
      </c>
      <c r="DA12" s="261">
        <f t="shared" si="37"/>
        <v>0.65589959376633244</v>
      </c>
      <c r="DB12" s="261">
        <f t="shared" si="37"/>
        <v>0.66090417890373476</v>
      </c>
      <c r="DC12" s="261">
        <f t="shared" si="37"/>
        <v>0.66354494932209696</v>
      </c>
      <c r="DD12" s="261">
        <f t="shared" si="37"/>
        <v>0.66541588979064392</v>
      </c>
      <c r="DE12" s="261">
        <f t="shared" si="37"/>
        <v>0.66812690436320887</v>
      </c>
      <c r="DF12" s="267">
        <f t="shared" si="37"/>
        <v>0.66945261046060367</v>
      </c>
      <c r="DG12" s="261">
        <f t="shared" si="37"/>
        <v>0.67247513215113408</v>
      </c>
      <c r="DH12" s="261">
        <f t="shared" si="37"/>
        <v>0.67343336800765519</v>
      </c>
      <c r="DI12" s="261">
        <f t="shared" si="37"/>
        <v>0.67548459143450901</v>
      </c>
      <c r="DJ12" s="261">
        <f t="shared" si="37"/>
        <v>0.6769191885723268</v>
      </c>
      <c r="DK12" s="261">
        <f t="shared" si="37"/>
        <v>0.67952565555550148</v>
      </c>
      <c r="DL12" s="261">
        <f t="shared" ref="DL12:FQ12" si="38">SUM(DL9/DL10)</f>
        <v>0.68081286600563939</v>
      </c>
      <c r="DM12" s="261">
        <f t="shared" si="38"/>
        <v>0.68282557606547778</v>
      </c>
      <c r="DN12" s="261">
        <f t="shared" si="38"/>
        <v>0.6843266686549534</v>
      </c>
      <c r="DO12" s="261">
        <f t="shared" si="38"/>
        <v>0.68612987923378077</v>
      </c>
      <c r="DP12" s="261">
        <f t="shared" si="38"/>
        <v>0.68632497672189841</v>
      </c>
      <c r="DQ12" s="261">
        <f t="shared" si="38"/>
        <v>0.6903771460090552</v>
      </c>
      <c r="DR12" s="261">
        <f t="shared" si="38"/>
        <v>0.68936789949943222</v>
      </c>
      <c r="DS12" s="261">
        <f t="shared" si="38"/>
        <v>0.69117513027599808</v>
      </c>
      <c r="DT12" s="261">
        <f t="shared" si="38"/>
        <v>0.69193944942330599</v>
      </c>
      <c r="DU12" s="261">
        <f t="shared" si="38"/>
        <v>0.69577086245086073</v>
      </c>
      <c r="DV12" s="354">
        <f t="shared" si="38"/>
        <v>0.69814488557075072</v>
      </c>
      <c r="DW12" s="354">
        <f t="shared" si="38"/>
        <v>0.70124660917094406</v>
      </c>
      <c r="DX12" s="354">
        <f t="shared" si="38"/>
        <v>0.70284093407801573</v>
      </c>
      <c r="DY12" s="354">
        <f t="shared" si="38"/>
        <v>0.70619831433535929</v>
      </c>
      <c r="DZ12" s="354">
        <f t="shared" si="38"/>
        <v>0.70787617385283386</v>
      </c>
      <c r="EA12" s="354">
        <f t="shared" si="38"/>
        <v>0.70840077227219123</v>
      </c>
      <c r="EB12" s="354">
        <f t="shared" si="38"/>
        <v>0.71015582679252676</v>
      </c>
      <c r="EC12" s="354">
        <f t="shared" si="38"/>
        <v>0.71119268588788331</v>
      </c>
      <c r="ED12" s="354">
        <f t="shared" si="38"/>
        <v>0.71210293178578177</v>
      </c>
      <c r="EE12" s="354">
        <f t="shared" si="38"/>
        <v>0.71514085012856798</v>
      </c>
      <c r="EF12" s="354">
        <f t="shared" si="38"/>
        <v>0.71605448326692311</v>
      </c>
      <c r="EG12" s="354">
        <f t="shared" si="38"/>
        <v>0.71791829856671485</v>
      </c>
      <c r="EH12" s="354">
        <f t="shared" si="38"/>
        <v>0.71959879091607493</v>
      </c>
      <c r="EI12" s="354">
        <f t="shared" si="38"/>
        <v>0.72087301291087558</v>
      </c>
      <c r="EJ12" s="354">
        <f t="shared" si="38"/>
        <v>0.7227214414248937</v>
      </c>
      <c r="EK12" s="354">
        <f t="shared" si="38"/>
        <v>0.72352096922383347</v>
      </c>
      <c r="EL12" s="354">
        <f t="shared" si="38"/>
        <v>0.72462401590808911</v>
      </c>
      <c r="EM12" s="354">
        <f t="shared" si="38"/>
        <v>0.72500378395204523</v>
      </c>
      <c r="EN12" s="354">
        <f t="shared" si="38"/>
        <v>0.72525672696895527</v>
      </c>
      <c r="EO12" s="354">
        <f t="shared" si="38"/>
        <v>0.72552970874064115</v>
      </c>
      <c r="EP12" s="354">
        <f t="shared" si="38"/>
        <v>0.72545839281264268</v>
      </c>
      <c r="EQ12" s="354">
        <f t="shared" si="38"/>
        <v>0.72682668812205731</v>
      </c>
      <c r="ER12" s="354">
        <f t="shared" si="38"/>
        <v>0.72868230872642736</v>
      </c>
      <c r="ES12" s="354">
        <f t="shared" si="38"/>
        <v>0.72949621977692936</v>
      </c>
      <c r="ET12" s="354">
        <f t="shared" si="38"/>
        <v>0.73229579281772661</v>
      </c>
      <c r="EU12" s="354">
        <f t="shared" si="38"/>
        <v>0.73367032250288899</v>
      </c>
      <c r="EV12" s="354">
        <f t="shared" si="38"/>
        <v>0.73431340702799086</v>
      </c>
      <c r="EW12" s="354">
        <f t="shared" si="38"/>
        <v>0.73495285054365123</v>
      </c>
      <c r="EX12" s="354">
        <f t="shared" si="38"/>
        <v>0.73630437791076986</v>
      </c>
      <c r="EY12" s="354">
        <f t="shared" si="38"/>
        <v>0.73841861181683188</v>
      </c>
      <c r="EZ12" s="354">
        <f t="shared" si="38"/>
        <v>0.73983912833939747</v>
      </c>
      <c r="FA12" s="354">
        <f t="shared" si="38"/>
        <v>0.74152225610530142</v>
      </c>
      <c r="FB12" s="354">
        <f t="shared" si="38"/>
        <v>0.74320165709166852</v>
      </c>
      <c r="FC12" s="354">
        <f t="shared" si="38"/>
        <v>0.74462456472497385</v>
      </c>
      <c r="FD12" s="354">
        <f t="shared" si="38"/>
        <v>0.74698271802102856</v>
      </c>
      <c r="FE12" s="354">
        <f t="shared" si="38"/>
        <v>0.74974801122706902</v>
      </c>
      <c r="FF12" s="354">
        <f t="shared" si="38"/>
        <v>0.75307495321027917</v>
      </c>
      <c r="FG12" s="354">
        <f t="shared" si="38"/>
        <v>0.75602693762673301</v>
      </c>
      <c r="FH12" s="354">
        <f t="shared" si="38"/>
        <v>0.75814907427186429</v>
      </c>
      <c r="FI12" s="354">
        <f t="shared" si="38"/>
        <v>0.76062944658815945</v>
      </c>
      <c r="FJ12" s="354">
        <f t="shared" si="38"/>
        <v>0.76229624379872429</v>
      </c>
      <c r="FK12" s="354">
        <f t="shared" si="38"/>
        <v>0.76336109263297935</v>
      </c>
      <c r="FL12" s="354">
        <f t="shared" si="38"/>
        <v>0.76602771327111829</v>
      </c>
      <c r="FM12" s="354">
        <f t="shared" si="38"/>
        <v>0.76840899674542473</v>
      </c>
      <c r="FN12" s="354">
        <f t="shared" si="38"/>
        <v>0.76970314278087637</v>
      </c>
      <c r="FO12" s="354">
        <f t="shared" si="38"/>
        <v>0.77221768340123009</v>
      </c>
      <c r="FP12" s="354">
        <f t="shared" si="38"/>
        <v>0.7747093265255155</v>
      </c>
      <c r="FQ12" s="354">
        <f t="shared" si="38"/>
        <v>0.77673668552680963</v>
      </c>
      <c r="FR12" s="354">
        <f t="shared" ref="FR12:FT12" si="39">SUM(FR9/FR10)</f>
        <v>0.77915424610051998</v>
      </c>
      <c r="FS12" s="354">
        <f t="shared" si="39"/>
        <v>0.78121440789228458</v>
      </c>
      <c r="FT12" s="354">
        <f t="shared" si="39"/>
        <v>0.78273665258638603</v>
      </c>
    </row>
    <row r="13" spans="2:182" x14ac:dyDescent="0.25">
      <c r="B13" s="3"/>
      <c r="N13" s="66"/>
      <c r="Z13" s="20"/>
      <c r="AL13" s="20"/>
      <c r="AX13" s="20"/>
      <c r="BJ13" s="20"/>
      <c r="BV13" s="20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O13" s="336"/>
      <c r="DP13" s="337"/>
      <c r="DQ13" s="337"/>
      <c r="DV13" s="302"/>
      <c r="DW13" s="302"/>
      <c r="DX13" s="302"/>
    </row>
    <row r="14" spans="2:182" x14ac:dyDescent="0.25">
      <c r="B14" s="55" t="s">
        <v>13</v>
      </c>
      <c r="N14" s="20"/>
      <c r="Z14" s="20"/>
      <c r="AL14" s="20"/>
      <c r="AX14" s="20"/>
      <c r="BJ14" s="20"/>
      <c r="BV14" s="20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O14" s="336"/>
      <c r="DP14" s="337"/>
      <c r="DQ14" s="337"/>
      <c r="DV14" s="302"/>
      <c r="DW14" s="302"/>
      <c r="DX14" s="302"/>
    </row>
    <row r="15" spans="2:182" x14ac:dyDescent="0.25">
      <c r="B15" s="3"/>
      <c r="N15" s="20"/>
      <c r="Z15" s="20"/>
      <c r="AL15" s="20"/>
      <c r="AX15" s="20"/>
      <c r="BJ15" s="20"/>
      <c r="BV15" s="20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</row>
    <row r="16" spans="2:182" s="68" customFormat="1" x14ac:dyDescent="0.25">
      <c r="B16" s="87" t="s">
        <v>1</v>
      </c>
      <c r="C16" s="69">
        <v>85696</v>
      </c>
      <c r="D16" s="69">
        <v>86203</v>
      </c>
      <c r="E16" s="69">
        <v>85492</v>
      </c>
      <c r="F16" s="69">
        <v>84963</v>
      </c>
      <c r="G16" s="69">
        <v>84820</v>
      </c>
      <c r="H16" s="69">
        <v>85008</v>
      </c>
      <c r="I16" s="69">
        <v>85364</v>
      </c>
      <c r="J16" s="69">
        <v>85531</v>
      </c>
      <c r="K16" s="69">
        <v>84966</v>
      </c>
      <c r="L16" s="69">
        <v>84816</v>
      </c>
      <c r="M16" s="69">
        <v>83370</v>
      </c>
      <c r="N16" s="89">
        <v>83457</v>
      </c>
      <c r="O16" s="69">
        <f>48750+39166</f>
        <v>87916</v>
      </c>
      <c r="P16" s="69">
        <f>43605+34188</f>
        <v>77793</v>
      </c>
      <c r="Q16" s="69">
        <f>45963+36348</f>
        <v>82311</v>
      </c>
      <c r="R16" s="69">
        <f>45229+35136</f>
        <v>80365</v>
      </c>
      <c r="S16" s="69">
        <f>45033+34413</f>
        <v>79446</v>
      </c>
      <c r="T16" s="69">
        <f>44716+33581</f>
        <v>78297</v>
      </c>
      <c r="U16" s="68">
        <f>46174+35068</f>
        <v>81242</v>
      </c>
      <c r="V16" s="68">
        <f>43441+32223</f>
        <v>75664</v>
      </c>
      <c r="W16" s="68">
        <f>43579+31555</f>
        <v>75134</v>
      </c>
      <c r="X16" s="68">
        <f>47279+33889</f>
        <v>81168</v>
      </c>
      <c r="Y16" s="68">
        <f>36836+26023</f>
        <v>62859</v>
      </c>
      <c r="Z16" s="89">
        <f>42708+29644</f>
        <v>72352</v>
      </c>
      <c r="AA16" s="68">
        <f>43350+29146</f>
        <v>72496</v>
      </c>
      <c r="AB16" s="68">
        <f>41203+27338</f>
        <v>68541</v>
      </c>
      <c r="AC16" s="68">
        <f>46558+31569</f>
        <v>78127</v>
      </c>
      <c r="AD16" s="68">
        <f>42490+27502</f>
        <v>69992</v>
      </c>
      <c r="AE16" s="68">
        <f>40192+25637</f>
        <v>65829</v>
      </c>
      <c r="AF16" s="68">
        <f>43241+27972</f>
        <v>71213</v>
      </c>
      <c r="AG16" s="68">
        <f>40750+25925</f>
        <v>66675</v>
      </c>
      <c r="AH16" s="68">
        <f>42258+26281</f>
        <v>68539</v>
      </c>
      <c r="AI16" s="68">
        <f>40091+24917</f>
        <v>65008</v>
      </c>
      <c r="AJ16" s="68">
        <f>38947+23732</f>
        <v>62679</v>
      </c>
      <c r="AK16" s="68">
        <f>37022+22359</f>
        <v>59381</v>
      </c>
      <c r="AL16" s="89">
        <f>35548+21212</f>
        <v>56760</v>
      </c>
      <c r="AM16" s="68">
        <f>38372+22728</f>
        <v>61100</v>
      </c>
      <c r="AN16" s="68">
        <f>20352+34160</f>
        <v>54512</v>
      </c>
      <c r="AO16" s="68">
        <f>37065+22386</f>
        <v>59451</v>
      </c>
      <c r="AP16" s="68">
        <f>35468+20415</f>
        <v>55883</v>
      </c>
      <c r="AQ16" s="68">
        <f>20495+35455</f>
        <v>55950</v>
      </c>
      <c r="AR16" s="68">
        <f>36590+21383</f>
        <v>57973</v>
      </c>
      <c r="AS16" s="68">
        <f>35065+19927</f>
        <v>54992</v>
      </c>
      <c r="AT16" s="68">
        <f>39548+22688</f>
        <v>62236</v>
      </c>
      <c r="AU16" s="68">
        <f>36762+20879</f>
        <v>57641</v>
      </c>
      <c r="AV16" s="68">
        <f>36245+20366</f>
        <v>56611</v>
      </c>
      <c r="AW16" s="68">
        <f>34043+19297</f>
        <v>53340</v>
      </c>
      <c r="AX16" s="89">
        <f>33648+18963</f>
        <v>52611</v>
      </c>
      <c r="AY16" s="68">
        <f>35187+20299</f>
        <v>55486</v>
      </c>
      <c r="AZ16" s="68">
        <f>33372+19138</f>
        <v>52510</v>
      </c>
      <c r="BA16" s="68">
        <f>37805+22276</f>
        <v>60081</v>
      </c>
      <c r="BB16" s="68">
        <f>32392+18645</f>
        <v>51037</v>
      </c>
      <c r="BC16" s="68">
        <f>35225+20607</f>
        <v>55832</v>
      </c>
      <c r="BD16" s="68">
        <f>34792+20117</f>
        <v>54909</v>
      </c>
      <c r="BE16" s="68">
        <f>31704+18160</f>
        <v>49864</v>
      </c>
      <c r="BF16" s="68">
        <f>35677+20203</f>
        <v>55880</v>
      </c>
      <c r="BG16" s="68">
        <f>30857+17759</f>
        <v>48616</v>
      </c>
      <c r="BH16" s="68">
        <f>33074+18801</f>
        <v>51875</v>
      </c>
      <c r="BI16" s="68">
        <f>29535+16958</f>
        <v>46493</v>
      </c>
      <c r="BJ16" s="89">
        <f>28009+15461</f>
        <v>43470</v>
      </c>
      <c r="BK16" s="68">
        <f>30717+17418</f>
        <v>48135</v>
      </c>
      <c r="BL16" s="68">
        <f>27275+15993</f>
        <v>43268</v>
      </c>
      <c r="BM16" s="68">
        <f>29689+18295</f>
        <v>47984</v>
      </c>
      <c r="BN16" s="68">
        <f>27018+15978</f>
        <v>42996</v>
      </c>
      <c r="BO16" s="68">
        <f>29354+17755</f>
        <v>47109</v>
      </c>
      <c r="BP16" s="68">
        <f>28286+16476</f>
        <v>44762</v>
      </c>
      <c r="BQ16" s="68">
        <f>27882+16124</f>
        <v>44006</v>
      </c>
      <c r="BR16" s="68">
        <f>29583+17045</f>
        <v>46628</v>
      </c>
      <c r="BS16" s="68">
        <f>24667+14036</f>
        <v>38703</v>
      </c>
      <c r="BT16" s="68">
        <f>26743+15021</f>
        <v>41764</v>
      </c>
      <c r="BU16" s="68">
        <f>26483+14649</f>
        <v>41132</v>
      </c>
      <c r="BV16" s="89">
        <f>26107+14412</f>
        <v>40519</v>
      </c>
      <c r="BW16" s="69">
        <f>25765+14155</f>
        <v>39920</v>
      </c>
      <c r="BX16" s="69">
        <f>25451+14034</f>
        <v>39485</v>
      </c>
      <c r="BY16" s="69">
        <f>25234+13841</f>
        <v>39075</v>
      </c>
      <c r="BZ16" s="69">
        <f>25006+13456</f>
        <v>38462</v>
      </c>
      <c r="CA16" s="69">
        <f>24791+13309</f>
        <v>38100</v>
      </c>
      <c r="CB16" s="69">
        <f>24607+13198</f>
        <v>37805</v>
      </c>
      <c r="CC16" s="69">
        <f>24397+13004</f>
        <v>37401</v>
      </c>
      <c r="CD16" s="69">
        <f>24138+12825</f>
        <v>36963</v>
      </c>
      <c r="CE16" s="69">
        <f>23775+12623</f>
        <v>36398</v>
      </c>
      <c r="CF16" s="69">
        <f>23495+12257</f>
        <v>35752</v>
      </c>
      <c r="CG16" s="69">
        <f>23241+11948</f>
        <v>35189</v>
      </c>
      <c r="CH16" s="89">
        <f>23064+11661</f>
        <v>34725</v>
      </c>
      <c r="CI16" s="71">
        <f>22534+11439</f>
        <v>33973</v>
      </c>
      <c r="CJ16" s="69">
        <f>22098+11300</f>
        <v>33398</v>
      </c>
      <c r="CK16" s="69">
        <f>21981+11034</f>
        <v>33015</v>
      </c>
      <c r="CL16" s="69">
        <f>21870+10771</f>
        <v>32641</v>
      </c>
      <c r="CM16" s="69">
        <f>21596+10526</f>
        <v>32122</v>
      </c>
      <c r="CN16" s="69">
        <f>21299+10276</f>
        <v>31575</v>
      </c>
      <c r="CO16" s="69">
        <f>20849+9942</f>
        <v>30791</v>
      </c>
      <c r="CP16" s="69">
        <f>20560+9613</f>
        <v>30173</v>
      </c>
      <c r="CQ16" s="69">
        <f>20022+9282</f>
        <v>29304</v>
      </c>
      <c r="CR16" s="69">
        <f>19595+8769</f>
        <v>28364</v>
      </c>
      <c r="CS16" s="69">
        <f>19311+8495</f>
        <v>27806</v>
      </c>
      <c r="CT16" s="89">
        <f>19070+8307</f>
        <v>27377</v>
      </c>
      <c r="CU16" s="69">
        <f>17331+7601</f>
        <v>24932</v>
      </c>
      <c r="CV16" s="69">
        <f>18408+8245</f>
        <v>26653</v>
      </c>
      <c r="CW16" s="69">
        <f>18038+8249</f>
        <v>26287</v>
      </c>
      <c r="CX16" s="69">
        <f>17776+8163</f>
        <v>25939</v>
      </c>
      <c r="CY16" s="69">
        <f>17665+7983</f>
        <v>25648</v>
      </c>
      <c r="CZ16" s="69">
        <f>17418+7866</f>
        <v>25284</v>
      </c>
      <c r="DA16" s="69">
        <f>17176+7700</f>
        <v>24876</v>
      </c>
      <c r="DB16" s="69">
        <f>16255+7220</f>
        <v>23475</v>
      </c>
      <c r="DC16" s="69">
        <f>16855+7472</f>
        <v>24327</v>
      </c>
      <c r="DD16" s="275">
        <f>15831+6887</f>
        <v>22718</v>
      </c>
      <c r="DE16" s="69">
        <f>15633+6883</f>
        <v>22516</v>
      </c>
      <c r="DF16" s="89">
        <f>15622+6825</f>
        <v>22447</v>
      </c>
      <c r="DG16" s="68">
        <f>14471+6277</f>
        <v>20748</v>
      </c>
      <c r="DH16" s="68">
        <f>15528+6710</f>
        <v>22238</v>
      </c>
      <c r="DI16" s="321">
        <f>15325+6747</f>
        <v>22072</v>
      </c>
      <c r="DJ16" s="297">
        <f>14650+6420</f>
        <v>21070</v>
      </c>
      <c r="DK16" s="297">
        <f>13785+6002</f>
        <v>19787</v>
      </c>
      <c r="DL16" s="297">
        <f>14961+6500</f>
        <v>21461</v>
      </c>
      <c r="DM16" s="297">
        <f>14225+6109</f>
        <v>20334</v>
      </c>
      <c r="DN16" s="297">
        <f>14474+6235</f>
        <v>20709</v>
      </c>
      <c r="DO16" s="297">
        <f>13633+5893</f>
        <v>19526</v>
      </c>
      <c r="DP16" s="297">
        <f>13018+5495</f>
        <v>18513</v>
      </c>
      <c r="DQ16" s="297">
        <f>13373+5633</f>
        <v>19006</v>
      </c>
      <c r="DR16" s="297">
        <f>12098+5153</f>
        <v>17251</v>
      </c>
      <c r="DS16" s="297">
        <f>12621+5429</f>
        <v>18050</v>
      </c>
      <c r="DT16" s="297">
        <f>13100+5663</f>
        <v>18763</v>
      </c>
      <c r="DU16" s="297">
        <f>13768+5701</f>
        <v>19469</v>
      </c>
      <c r="DV16" s="351">
        <f>13812+5600</f>
        <v>19412</v>
      </c>
      <c r="DW16" s="351">
        <f>13688+5514</f>
        <v>19202</v>
      </c>
      <c r="DX16" s="351">
        <f>13457+5434</f>
        <v>18891</v>
      </c>
      <c r="DY16" s="351">
        <f>13461+5407</f>
        <v>18868</v>
      </c>
      <c r="DZ16" s="351">
        <f>13312+5344</f>
        <v>18656</v>
      </c>
      <c r="EA16" s="351">
        <f>13172+5264</f>
        <v>18436</v>
      </c>
      <c r="EB16" s="351">
        <f>13167+5154</f>
        <v>18321</v>
      </c>
      <c r="EC16" s="351">
        <f>13018+5038</f>
        <v>18056</v>
      </c>
      <c r="ED16" s="351">
        <f>12941+5011</f>
        <v>17952</v>
      </c>
      <c r="EE16" s="351">
        <f>12742+4926</f>
        <v>17668</v>
      </c>
      <c r="EF16" s="351">
        <f>12464+4882</f>
        <v>17346</v>
      </c>
      <c r="EG16" s="351">
        <f>12336+4782</f>
        <v>17118</v>
      </c>
      <c r="EH16" s="351">
        <f>12077+4648</f>
        <v>16725</v>
      </c>
      <c r="EI16" s="351">
        <f>12026+4581</f>
        <v>16607</v>
      </c>
      <c r="EJ16" s="351">
        <f>11826+4518</f>
        <v>16344</v>
      </c>
      <c r="EK16" s="351">
        <f>11763+4429</f>
        <v>16192</v>
      </c>
      <c r="EL16" s="351">
        <f>11757+4311</f>
        <v>16068</v>
      </c>
      <c r="EM16" s="351">
        <f>11656+4245</f>
        <v>15901</v>
      </c>
      <c r="EN16" s="351">
        <f>11636+4156</f>
        <v>15792</v>
      </c>
      <c r="EO16" s="351">
        <f>11543+4078</f>
        <v>15621</v>
      </c>
      <c r="EP16" s="351">
        <f>11397+4021</f>
        <v>15418</v>
      </c>
      <c r="EQ16" s="351">
        <f>10781+3932</f>
        <v>14713</v>
      </c>
      <c r="ER16" s="351">
        <f>10496+3909</f>
        <v>14405</v>
      </c>
      <c r="ES16" s="351">
        <f>10593+4052</f>
        <v>14645</v>
      </c>
      <c r="ET16" s="351">
        <f>10687+4025</f>
        <v>14712</v>
      </c>
      <c r="EU16" s="351">
        <f>10624+4010</f>
        <v>14634</v>
      </c>
      <c r="EV16" s="351">
        <f>10613+4003</f>
        <v>14616</v>
      </c>
      <c r="EW16" s="351">
        <f>10530+3990</f>
        <v>14520</v>
      </c>
      <c r="EX16" s="351">
        <f>10488+3962</f>
        <v>14450</v>
      </c>
      <c r="EY16" s="351">
        <f>10411+3938</f>
        <v>14349</v>
      </c>
      <c r="EZ16" s="297">
        <f>10368+3901</f>
        <v>14269</v>
      </c>
      <c r="FA16" s="68">
        <f>10340+3860</f>
        <v>14200</v>
      </c>
      <c r="FB16" s="68">
        <f>10306+3835</f>
        <v>14141</v>
      </c>
      <c r="FC16" s="68">
        <f>10244+3808</f>
        <v>14052</v>
      </c>
      <c r="FD16" s="68">
        <f>10116+3773</f>
        <v>13889</v>
      </c>
      <c r="FE16" s="68">
        <f>9976+3710</f>
        <v>13686</v>
      </c>
      <c r="FF16" s="68">
        <f>9929+3632</f>
        <v>13561</v>
      </c>
      <c r="FG16" s="68">
        <f>9841+3584</f>
        <v>13425</v>
      </c>
      <c r="FH16" s="68">
        <f>9690+3488</f>
        <v>13178</v>
      </c>
      <c r="FI16" s="68">
        <f>9400+3417</f>
        <v>12817</v>
      </c>
      <c r="FJ16" s="68">
        <f>9318+3340</f>
        <v>12658</v>
      </c>
      <c r="FK16" s="68">
        <f>9152+3241</f>
        <v>12393</v>
      </c>
      <c r="FL16" s="68">
        <f>9017+3176</f>
        <v>12193</v>
      </c>
      <c r="FM16" s="68">
        <f>8886+3073</f>
        <v>11959</v>
      </c>
      <c r="FN16" s="68">
        <f>8741+2992</f>
        <v>11733</v>
      </c>
      <c r="FO16" s="68">
        <f>8606+2891</f>
        <v>11497</v>
      </c>
      <c r="FP16" s="68">
        <f>8545+2802</f>
        <v>11347</v>
      </c>
      <c r="FQ16" s="68">
        <f>8452+2713</f>
        <v>11165</v>
      </c>
      <c r="FR16" s="68">
        <f>8392+2609</f>
        <v>11001</v>
      </c>
      <c r="FS16" s="68">
        <f>8333+2535</f>
        <v>10868</v>
      </c>
      <c r="FT16" s="68">
        <f>8185+2517</f>
        <v>10702</v>
      </c>
    </row>
    <row r="17" spans="2:176" s="68" customFormat="1" ht="13.8" thickBot="1" x14ac:dyDescent="0.3">
      <c r="B17" s="90" t="s">
        <v>8</v>
      </c>
      <c r="C17" s="92">
        <v>3746</v>
      </c>
      <c r="D17" s="92">
        <v>5169</v>
      </c>
      <c r="E17" s="92">
        <v>6459</v>
      </c>
      <c r="F17" s="92">
        <v>7329</v>
      </c>
      <c r="G17" s="92">
        <v>8369</v>
      </c>
      <c r="H17" s="92">
        <v>8985</v>
      </c>
      <c r="I17" s="92">
        <v>9925</v>
      </c>
      <c r="J17" s="92">
        <v>10725</v>
      </c>
      <c r="K17" s="92">
        <v>11015</v>
      </c>
      <c r="L17" s="92">
        <v>12922</v>
      </c>
      <c r="M17" s="92">
        <v>13754</v>
      </c>
      <c r="N17" s="93">
        <v>14285</v>
      </c>
      <c r="O17" s="92">
        <f>5594+12347</f>
        <v>17941</v>
      </c>
      <c r="P17" s="92">
        <f>5637+11708</f>
        <v>17345</v>
      </c>
      <c r="Q17" s="92">
        <f>6504+13302</f>
        <v>19806</v>
      </c>
      <c r="R17" s="92">
        <f>6520+12509</f>
        <v>19029</v>
      </c>
      <c r="S17" s="92">
        <f>6910+13223</f>
        <v>20133</v>
      </c>
      <c r="T17" s="92">
        <f>7237+13854</f>
        <v>21091</v>
      </c>
      <c r="U17" s="68">
        <f t="shared" ref="U17:Z17" si="40">U18-U16</f>
        <v>23531</v>
      </c>
      <c r="V17" s="68">
        <f t="shared" si="40"/>
        <v>24122</v>
      </c>
      <c r="W17" s="68">
        <f t="shared" si="40"/>
        <v>24776</v>
      </c>
      <c r="X17" s="68">
        <f t="shared" si="40"/>
        <v>28205</v>
      </c>
      <c r="Y17" s="68">
        <f t="shared" si="40"/>
        <v>23306</v>
      </c>
      <c r="Z17" s="89">
        <f t="shared" si="40"/>
        <v>28168</v>
      </c>
      <c r="AA17" s="68">
        <f>10129+19874</f>
        <v>30003</v>
      </c>
      <c r="AB17" s="68">
        <f>10137+19174</f>
        <v>29311</v>
      </c>
      <c r="AC17" s="68">
        <f>12120+23083</f>
        <v>35203</v>
      </c>
      <c r="AD17" s="68">
        <f>11128+20892</f>
        <v>32020</v>
      </c>
      <c r="AE17" s="68">
        <f>11072+20385</f>
        <v>31457</v>
      </c>
      <c r="AF17" s="68">
        <f>12542+22867</f>
        <v>35409</v>
      </c>
      <c r="AG17" s="68">
        <f>13017+22962</f>
        <v>35979</v>
      </c>
      <c r="AH17" s="68">
        <f>14244+24819</f>
        <v>39063</v>
      </c>
      <c r="AI17" s="68">
        <f>14130+24792</f>
        <v>38922</v>
      </c>
      <c r="AJ17" s="68">
        <f>14304+24801</f>
        <v>39105</v>
      </c>
      <c r="AK17" s="68">
        <f>14477+24779</f>
        <v>39256</v>
      </c>
      <c r="AL17" s="89">
        <f>14257+24280</f>
        <v>38537</v>
      </c>
      <c r="AM17" s="68">
        <f>16237+27584</f>
        <v>43821</v>
      </c>
      <c r="AN17" s="68">
        <f>14937+25187</f>
        <v>40124</v>
      </c>
      <c r="AO17" s="68">
        <f>16680+27865</f>
        <v>44545</v>
      </c>
      <c r="AP17" s="68">
        <f>16218+26342</f>
        <v>42560</v>
      </c>
      <c r="AQ17" s="68">
        <f>16800+27202</f>
        <v>44002</v>
      </c>
      <c r="AR17" s="68">
        <f>17819+29009</f>
        <v>46828</v>
      </c>
      <c r="AS17" s="68">
        <f>27487+17304</f>
        <v>44791</v>
      </c>
      <c r="AT17" s="68">
        <f>19951+31529</f>
        <v>51480</v>
      </c>
      <c r="AU17" s="68">
        <f>18912+29842</f>
        <v>48754</v>
      </c>
      <c r="AV17" s="68">
        <f>19235+29810</f>
        <v>49045</v>
      </c>
      <c r="AW17" s="68">
        <f>18374+28483</f>
        <v>46857</v>
      </c>
      <c r="AX17" s="89">
        <f>18808+28465</f>
        <v>47273</v>
      </c>
      <c r="AY17" s="68">
        <f>19672+30027</f>
        <v>49699</v>
      </c>
      <c r="AZ17" s="68">
        <f>18758+28875</f>
        <v>47633</v>
      </c>
      <c r="BA17" s="68">
        <f>22193+34115</f>
        <v>56308</v>
      </c>
      <c r="BB17" s="68">
        <f>19447+28859</f>
        <v>48306</v>
      </c>
      <c r="BC17" s="68">
        <f>22247+32986</f>
        <v>55233</v>
      </c>
      <c r="BD17" s="68">
        <f>22646+32632</f>
        <v>55278</v>
      </c>
      <c r="BE17" s="68">
        <f>21234+30461</f>
        <v>51695</v>
      </c>
      <c r="BF17" s="68">
        <f>24382+34658</f>
        <v>59040</v>
      </c>
      <c r="BG17" s="68">
        <f>22052+31174</f>
        <v>53226</v>
      </c>
      <c r="BH17" s="68">
        <f>24980+34332</f>
        <v>59312</v>
      </c>
      <c r="BI17" s="68">
        <f>23161+32076</f>
        <v>55237</v>
      </c>
      <c r="BJ17" s="89">
        <f>21981+30194</f>
        <v>52175</v>
      </c>
      <c r="BK17" s="68">
        <f>24987+34646</f>
        <v>59633</v>
      </c>
      <c r="BL17" s="68">
        <f>24648+32674</f>
        <v>57322</v>
      </c>
      <c r="BM17" s="68">
        <f>27397+37341</f>
        <v>64738</v>
      </c>
      <c r="BN17" s="68">
        <f>24925+33421</f>
        <v>58346</v>
      </c>
      <c r="BO17" s="68">
        <f>28041+37845</f>
        <v>65886</v>
      </c>
      <c r="BP17" s="68">
        <f>27061+36183</f>
        <v>63244</v>
      </c>
      <c r="BQ17" s="68">
        <f>27609+36642</f>
        <v>64251</v>
      </c>
      <c r="BR17" s="68">
        <f>30227+39840</f>
        <v>70067</v>
      </c>
      <c r="BS17" s="68">
        <f>25760+34391</f>
        <v>60151</v>
      </c>
      <c r="BT17" s="68">
        <f>29089+38289</f>
        <v>67378</v>
      </c>
      <c r="BU17" s="68">
        <f>29321+38536</f>
        <v>67857</v>
      </c>
      <c r="BV17" s="89">
        <f>29638+38907</f>
        <v>68545</v>
      </c>
      <c r="BW17" s="69">
        <f>29770+39385</f>
        <v>69155</v>
      </c>
      <c r="BX17" s="69">
        <f>29999+39429</f>
        <v>69428</v>
      </c>
      <c r="BY17" s="69">
        <f>30457+39782</f>
        <v>70239</v>
      </c>
      <c r="BZ17" s="69">
        <f>30972+39815</f>
        <v>70787</v>
      </c>
      <c r="CA17" s="69">
        <f>31455+40002</f>
        <v>71457</v>
      </c>
      <c r="CB17" s="69">
        <f>40114+31544</f>
        <v>71658</v>
      </c>
      <c r="CC17" s="69">
        <f>31802+40395</f>
        <v>72197</v>
      </c>
      <c r="CD17" s="69">
        <f>32067+40667</f>
        <v>72734</v>
      </c>
      <c r="CE17" s="69">
        <f>40855+32199</f>
        <v>73054</v>
      </c>
      <c r="CF17" s="69">
        <f>32710+41171</f>
        <v>73881</v>
      </c>
      <c r="CG17" s="69">
        <f>33298+42009</f>
        <v>75307</v>
      </c>
      <c r="CH17" s="89">
        <f>34486+42789</f>
        <v>77275</v>
      </c>
      <c r="CI17" s="92">
        <f>33173+41779</f>
        <v>74952</v>
      </c>
      <c r="CJ17" s="92">
        <f>33311+42269</f>
        <v>75580</v>
      </c>
      <c r="CK17" s="92">
        <f>33649+42212</f>
        <v>75861</v>
      </c>
      <c r="CL17" s="92">
        <f>34057+42341</f>
        <v>76398</v>
      </c>
      <c r="CM17" s="92">
        <f>34466+42538</f>
        <v>77004</v>
      </c>
      <c r="CN17" s="92">
        <f>42828+35037</f>
        <v>77865</v>
      </c>
      <c r="CO17" s="92">
        <f>35357+43119</f>
        <v>78476</v>
      </c>
      <c r="CP17" s="92">
        <f>36013+43384</f>
        <v>79397</v>
      </c>
      <c r="CQ17" s="92">
        <f>36472+43832</f>
        <v>80304</v>
      </c>
      <c r="CR17" s="92">
        <f>37048+44266</f>
        <v>81314</v>
      </c>
      <c r="CS17" s="92">
        <f>37453+44522</f>
        <v>81975</v>
      </c>
      <c r="CT17" s="93">
        <f>37717+44630</f>
        <v>82347</v>
      </c>
      <c r="CU17" s="91">
        <f>34603+40933</f>
        <v>75536</v>
      </c>
      <c r="CV17" s="92">
        <f>37423+45455</f>
        <v>82878</v>
      </c>
      <c r="CW17" s="92">
        <f>37402+45919</f>
        <v>83321</v>
      </c>
      <c r="CX17" s="92">
        <f>37686+46047</f>
        <v>83733</v>
      </c>
      <c r="CY17" s="92">
        <f>37948+46046</f>
        <v>83994</v>
      </c>
      <c r="CZ17" s="92">
        <f>38452+46102</f>
        <v>84554</v>
      </c>
      <c r="DA17" s="92">
        <f>38614+46255</f>
        <v>84869</v>
      </c>
      <c r="DB17" s="92">
        <f>37139+44224</f>
        <v>81363</v>
      </c>
      <c r="DC17" s="92">
        <f>39168+46496</f>
        <v>85664</v>
      </c>
      <c r="DD17" s="92">
        <f>37230+43639</f>
        <v>80869</v>
      </c>
      <c r="DE17" s="92">
        <f>38013+44939</f>
        <v>82952</v>
      </c>
      <c r="DF17" s="93">
        <f>39190+46784</f>
        <v>85974</v>
      </c>
      <c r="DG17" s="321">
        <f>36400+42950</f>
        <v>79350</v>
      </c>
      <c r="DH17" s="68">
        <f>40069+47232</f>
        <v>87301</v>
      </c>
      <c r="DI17" s="320">
        <f>39754+47796</f>
        <v>87550</v>
      </c>
      <c r="DJ17" s="68">
        <f>38470+46008</f>
        <v>84478</v>
      </c>
      <c r="DK17" s="68">
        <f>37285+43671</f>
        <v>80956</v>
      </c>
      <c r="DL17" s="68">
        <f>40501+48192</f>
        <v>88693</v>
      </c>
      <c r="DM17" s="68">
        <f>39626+46530</f>
        <v>86156</v>
      </c>
      <c r="DN17" s="68">
        <f>41284+48733</f>
        <v>90017</v>
      </c>
      <c r="DO17" s="68">
        <f>39322+46760</f>
        <v>86082</v>
      </c>
      <c r="DP17" s="68">
        <f>38467+44731</f>
        <v>83198</v>
      </c>
      <c r="DQ17" s="68">
        <f>40690+47039</f>
        <v>87729</v>
      </c>
      <c r="DR17" s="68">
        <f>37425+43671</f>
        <v>81096</v>
      </c>
      <c r="DS17" s="68">
        <f>39022+45681</f>
        <v>84703</v>
      </c>
      <c r="DT17" s="68">
        <f>40770+48431</f>
        <v>89201</v>
      </c>
      <c r="DU17" s="68">
        <f>43861+49543</f>
        <v>93404</v>
      </c>
      <c r="DV17" s="351">
        <f>44740+49380</f>
        <v>94120</v>
      </c>
      <c r="DW17" s="351">
        <f>45009+49318</f>
        <v>94327</v>
      </c>
      <c r="DX17" s="351">
        <f>44868+49751</f>
        <v>94619</v>
      </c>
      <c r="DY17" s="351">
        <f>45457+49770</f>
        <v>95227</v>
      </c>
      <c r="DZ17" s="351">
        <f>45810+50088</f>
        <v>95898</v>
      </c>
      <c r="EA17" s="351">
        <f>45988+50147</f>
        <v>96135</v>
      </c>
      <c r="EB17" s="351">
        <f>45927+50290</f>
        <v>96217</v>
      </c>
      <c r="EC17" s="351">
        <f>46277+50751</f>
        <v>97028</v>
      </c>
      <c r="ED17" s="351">
        <f>46317+50713</f>
        <v>97030</v>
      </c>
      <c r="EE17" s="351">
        <f>46707+50911</f>
        <v>97618</v>
      </c>
      <c r="EF17" s="351">
        <f>46245+51618</f>
        <v>97863</v>
      </c>
      <c r="EG17" s="351">
        <f>46535+51780</f>
        <v>98315</v>
      </c>
      <c r="EH17" s="351">
        <f>46738+51243</f>
        <v>97981</v>
      </c>
      <c r="EI17" s="351">
        <f>46800+50673</f>
        <v>97473</v>
      </c>
      <c r="EJ17" s="351">
        <f>48708+53049</f>
        <v>101757</v>
      </c>
      <c r="EK17" s="351">
        <f>48578+52086</f>
        <v>100664</v>
      </c>
      <c r="EL17" s="351">
        <f>48987+51643</f>
        <v>100630</v>
      </c>
      <c r="EM17" s="351">
        <f>49240+51513</f>
        <v>100753</v>
      </c>
      <c r="EN17" s="352">
        <f>49646+51538</f>
        <v>101184</v>
      </c>
      <c r="EO17" s="352">
        <f>50023+51791</f>
        <v>101814</v>
      </c>
      <c r="EP17" s="352">
        <f>49921+51595</f>
        <v>101516</v>
      </c>
      <c r="EQ17" s="352">
        <f>46632+49714</f>
        <v>96346</v>
      </c>
      <c r="ER17" s="352">
        <f>48475+52509</f>
        <v>100984</v>
      </c>
      <c r="ES17" s="352">
        <f>47643+53856</f>
        <v>101499</v>
      </c>
      <c r="ET17" s="352">
        <f>48642+54012</f>
        <v>102654</v>
      </c>
      <c r="EU17" s="352">
        <f>48831+54264</f>
        <v>103095</v>
      </c>
      <c r="EV17" s="352">
        <f>49034+53819</f>
        <v>102853</v>
      </c>
      <c r="EW17" s="352">
        <f>49415+54804</f>
        <v>104219</v>
      </c>
      <c r="EX17" s="352">
        <f>49744+54596</f>
        <v>104340</v>
      </c>
      <c r="EY17" s="352">
        <f>49468+54468</f>
        <v>103936</v>
      </c>
      <c r="EZ17" s="68">
        <f>49414+54259</f>
        <v>103673</v>
      </c>
      <c r="FA17" s="68">
        <f>49987+54996</f>
        <v>104983</v>
      </c>
      <c r="FB17" s="68">
        <f>50150+55264</f>
        <v>105414</v>
      </c>
      <c r="FC17" s="68">
        <f>49524+54977</f>
        <v>104501</v>
      </c>
      <c r="FD17" s="68">
        <f>49786+55598</f>
        <v>105384</v>
      </c>
      <c r="FE17" s="68">
        <f>50011+55466</f>
        <v>105477</v>
      </c>
      <c r="FF17" s="92">
        <f>50437+55511</f>
        <v>105948</v>
      </c>
      <c r="FG17" s="92">
        <f>50282+55185</f>
        <v>105467</v>
      </c>
      <c r="FH17" s="92">
        <f>51373+55398</f>
        <v>106771</v>
      </c>
      <c r="FI17" s="92">
        <f>51424+55803</f>
        <v>107227</v>
      </c>
      <c r="FJ17" s="92">
        <f>51680+55665</f>
        <v>107345</v>
      </c>
      <c r="FK17" s="92">
        <f>51987+55770</f>
        <v>107757</v>
      </c>
      <c r="FL17" s="92">
        <f>52222+55669</f>
        <v>107891</v>
      </c>
      <c r="FM17" s="92">
        <f>52475+55796</f>
        <v>108271</v>
      </c>
      <c r="FN17" s="92">
        <f>52258+55462</f>
        <v>107720</v>
      </c>
      <c r="FO17" s="92">
        <f>52588+55655</f>
        <v>108243</v>
      </c>
      <c r="FP17" s="92">
        <f>53158+56517</f>
        <v>109675</v>
      </c>
      <c r="FQ17" s="92">
        <f>53478+55850</f>
        <v>109328</v>
      </c>
      <c r="FR17" s="92">
        <f>54189+54794</f>
        <v>108983</v>
      </c>
      <c r="FS17" s="92">
        <f>54408+54816</f>
        <v>109224</v>
      </c>
      <c r="FT17" s="92">
        <f>55335+54718</f>
        <v>110053</v>
      </c>
    </row>
    <row r="18" spans="2:176" s="68" customFormat="1" ht="13.8" thickTop="1" x14ac:dyDescent="0.25">
      <c r="B18" s="87" t="s">
        <v>9</v>
      </c>
      <c r="C18" s="94">
        <f t="shared" ref="C18:H18" si="41">SUM(C16:C17)</f>
        <v>89442</v>
      </c>
      <c r="D18" s="94">
        <f t="shared" si="41"/>
        <v>91372</v>
      </c>
      <c r="E18" s="94">
        <f t="shared" si="41"/>
        <v>91951</v>
      </c>
      <c r="F18" s="94">
        <f t="shared" si="41"/>
        <v>92292</v>
      </c>
      <c r="G18" s="94">
        <f t="shared" si="41"/>
        <v>93189</v>
      </c>
      <c r="H18" s="94">
        <f t="shared" si="41"/>
        <v>93993</v>
      </c>
      <c r="I18" s="94">
        <f t="shared" ref="I18:Q18" si="42">SUM(I16:I17)</f>
        <v>95289</v>
      </c>
      <c r="J18" s="94">
        <f t="shared" si="42"/>
        <v>96256</v>
      </c>
      <c r="K18" s="94">
        <f t="shared" si="42"/>
        <v>95981</v>
      </c>
      <c r="L18" s="94">
        <f t="shared" si="42"/>
        <v>97738</v>
      </c>
      <c r="M18" s="94">
        <f t="shared" si="42"/>
        <v>97124</v>
      </c>
      <c r="N18" s="107">
        <f t="shared" si="42"/>
        <v>97742</v>
      </c>
      <c r="O18" s="94">
        <f t="shared" si="42"/>
        <v>105857</v>
      </c>
      <c r="P18" s="94">
        <f t="shared" si="42"/>
        <v>95138</v>
      </c>
      <c r="Q18" s="94">
        <f t="shared" si="42"/>
        <v>102117</v>
      </c>
      <c r="R18" s="94">
        <f>SUM(R16:R17)</f>
        <v>99394</v>
      </c>
      <c r="S18" s="94">
        <f>SUM(S16:S17)</f>
        <v>99579</v>
      </c>
      <c r="T18" s="94">
        <f>SUM(T16:T17)</f>
        <v>99388</v>
      </c>
      <c r="U18" s="95">
        <f>54200+50573</f>
        <v>104773</v>
      </c>
      <c r="V18" s="198">
        <f>51671+48115</f>
        <v>99786</v>
      </c>
      <c r="W18" s="95">
        <f>51860+48050</f>
        <v>99910</v>
      </c>
      <c r="X18" s="95">
        <f>56662+52711</f>
        <v>109373</v>
      </c>
      <c r="Y18" s="95">
        <f>44500+41665</f>
        <v>86165</v>
      </c>
      <c r="Z18" s="107">
        <f>52188+48332</f>
        <v>100520</v>
      </c>
      <c r="AA18" s="95">
        <f t="shared" ref="AA18:AF18" si="43">SUM(AA16:AA17)</f>
        <v>102499</v>
      </c>
      <c r="AB18" s="95">
        <f t="shared" si="43"/>
        <v>97852</v>
      </c>
      <c r="AC18" s="95">
        <f t="shared" si="43"/>
        <v>113330</v>
      </c>
      <c r="AD18" s="95">
        <f t="shared" si="43"/>
        <v>102012</v>
      </c>
      <c r="AE18" s="95">
        <f t="shared" si="43"/>
        <v>97286</v>
      </c>
      <c r="AF18" s="95">
        <f t="shared" si="43"/>
        <v>106622</v>
      </c>
      <c r="AG18" s="95">
        <f t="shared" ref="AG18:AL18" si="44">SUM(AG16:AG17)</f>
        <v>102654</v>
      </c>
      <c r="AH18" s="95">
        <f t="shared" si="44"/>
        <v>107602</v>
      </c>
      <c r="AI18" s="95">
        <f t="shared" si="44"/>
        <v>103930</v>
      </c>
      <c r="AJ18" s="95">
        <f t="shared" si="44"/>
        <v>101784</v>
      </c>
      <c r="AK18" s="95">
        <f t="shared" si="44"/>
        <v>98637</v>
      </c>
      <c r="AL18" s="107">
        <f t="shared" si="44"/>
        <v>95297</v>
      </c>
      <c r="AM18" s="95">
        <f t="shared" ref="AM18:AR18" si="45">SUM(AM16:AM17)</f>
        <v>104921</v>
      </c>
      <c r="AN18" s="95">
        <f t="shared" si="45"/>
        <v>94636</v>
      </c>
      <c r="AO18" s="95">
        <f t="shared" si="45"/>
        <v>103996</v>
      </c>
      <c r="AP18" s="95">
        <f t="shared" si="45"/>
        <v>98443</v>
      </c>
      <c r="AQ18" s="95">
        <f t="shared" si="45"/>
        <v>99952</v>
      </c>
      <c r="AR18" s="95">
        <f t="shared" si="45"/>
        <v>104801</v>
      </c>
      <c r="AS18" s="95">
        <f t="shared" ref="AS18:AX18" si="46">SUM(AS16:AS17)</f>
        <v>99783</v>
      </c>
      <c r="AT18" s="95">
        <f t="shared" si="46"/>
        <v>113716</v>
      </c>
      <c r="AU18" s="95">
        <f t="shared" si="46"/>
        <v>106395</v>
      </c>
      <c r="AV18" s="95">
        <f t="shared" si="46"/>
        <v>105656</v>
      </c>
      <c r="AW18" s="95">
        <f t="shared" si="46"/>
        <v>100197</v>
      </c>
      <c r="AX18" s="107">
        <f t="shared" si="46"/>
        <v>99884</v>
      </c>
      <c r="AY18" s="95">
        <f t="shared" ref="AY18:BJ18" si="47">SUM(AY16:AY17)</f>
        <v>105185</v>
      </c>
      <c r="AZ18" s="95">
        <f t="shared" si="47"/>
        <v>100143</v>
      </c>
      <c r="BA18" s="95">
        <f t="shared" si="47"/>
        <v>116389</v>
      </c>
      <c r="BB18" s="95">
        <f t="shared" si="47"/>
        <v>99343</v>
      </c>
      <c r="BC18" s="95">
        <f t="shared" si="47"/>
        <v>111065</v>
      </c>
      <c r="BD18" s="95">
        <f t="shared" si="47"/>
        <v>110187</v>
      </c>
      <c r="BE18" s="95">
        <f t="shared" si="47"/>
        <v>101559</v>
      </c>
      <c r="BF18" s="95">
        <f t="shared" si="47"/>
        <v>114920</v>
      </c>
      <c r="BG18" s="95">
        <f t="shared" si="47"/>
        <v>101842</v>
      </c>
      <c r="BH18" s="95">
        <f t="shared" si="47"/>
        <v>111187</v>
      </c>
      <c r="BI18" s="95">
        <f t="shared" si="47"/>
        <v>101730</v>
      </c>
      <c r="BJ18" s="107">
        <f t="shared" si="47"/>
        <v>95645</v>
      </c>
      <c r="BK18" s="95">
        <f t="shared" ref="BK18:BV18" si="48">SUM(BK16:BK17)</f>
        <v>107768</v>
      </c>
      <c r="BL18" s="95">
        <f t="shared" si="48"/>
        <v>100590</v>
      </c>
      <c r="BM18" s="95">
        <f t="shared" si="48"/>
        <v>112722</v>
      </c>
      <c r="BN18" s="95">
        <f t="shared" si="48"/>
        <v>101342</v>
      </c>
      <c r="BO18" s="95">
        <f t="shared" si="48"/>
        <v>112995</v>
      </c>
      <c r="BP18" s="95">
        <f t="shared" si="48"/>
        <v>108006</v>
      </c>
      <c r="BQ18" s="95">
        <f t="shared" si="48"/>
        <v>108257</v>
      </c>
      <c r="BR18" s="95">
        <f t="shared" si="48"/>
        <v>116695</v>
      </c>
      <c r="BS18" s="95">
        <f t="shared" si="48"/>
        <v>98854</v>
      </c>
      <c r="BT18" s="95">
        <f t="shared" si="48"/>
        <v>109142</v>
      </c>
      <c r="BU18" s="95">
        <f t="shared" si="48"/>
        <v>108989</v>
      </c>
      <c r="BV18" s="107">
        <f t="shared" si="48"/>
        <v>109064</v>
      </c>
      <c r="BW18" s="95">
        <f t="shared" ref="BW18:CB18" si="49">SUM(BW16:BW17)</f>
        <v>109075</v>
      </c>
      <c r="BX18" s="95">
        <f t="shared" si="49"/>
        <v>108913</v>
      </c>
      <c r="BY18" s="95">
        <f t="shared" si="49"/>
        <v>109314</v>
      </c>
      <c r="BZ18" s="95">
        <f t="shared" si="49"/>
        <v>109249</v>
      </c>
      <c r="CA18" s="95">
        <f t="shared" si="49"/>
        <v>109557</v>
      </c>
      <c r="CB18" s="95">
        <f t="shared" si="49"/>
        <v>109463</v>
      </c>
      <c r="CC18" s="95">
        <f t="shared" ref="CC18:CN18" si="50">SUM(CC16:CC17)</f>
        <v>109598</v>
      </c>
      <c r="CD18" s="95">
        <f t="shared" si="50"/>
        <v>109697</v>
      </c>
      <c r="CE18" s="95">
        <f t="shared" si="50"/>
        <v>109452</v>
      </c>
      <c r="CF18" s="95">
        <f t="shared" si="50"/>
        <v>109633</v>
      </c>
      <c r="CG18" s="95">
        <f t="shared" si="50"/>
        <v>110496</v>
      </c>
      <c r="CH18" s="107">
        <f t="shared" si="50"/>
        <v>112000</v>
      </c>
      <c r="CI18" s="106">
        <f t="shared" si="50"/>
        <v>108925</v>
      </c>
      <c r="CJ18" s="94">
        <f t="shared" si="50"/>
        <v>108978</v>
      </c>
      <c r="CK18" s="94">
        <f t="shared" si="50"/>
        <v>108876</v>
      </c>
      <c r="CL18" s="94">
        <f t="shared" si="50"/>
        <v>109039</v>
      </c>
      <c r="CM18" s="94">
        <f t="shared" si="50"/>
        <v>109126</v>
      </c>
      <c r="CN18" s="94">
        <f t="shared" si="50"/>
        <v>109440</v>
      </c>
      <c r="CO18" s="94">
        <f t="shared" ref="CO18:CT18" si="51">SUM(CO16:CO17)</f>
        <v>109267</v>
      </c>
      <c r="CP18" s="94">
        <f t="shared" si="51"/>
        <v>109570</v>
      </c>
      <c r="CQ18" s="94">
        <f t="shared" si="51"/>
        <v>109608</v>
      </c>
      <c r="CR18" s="94">
        <f t="shared" si="51"/>
        <v>109678</v>
      </c>
      <c r="CS18" s="94">
        <f t="shared" si="51"/>
        <v>109781</v>
      </c>
      <c r="CT18" s="107">
        <f t="shared" si="51"/>
        <v>109724</v>
      </c>
      <c r="CU18" s="95">
        <f t="shared" ref="CU18:DK18" si="52">SUM(CU16:CU17)</f>
        <v>100468</v>
      </c>
      <c r="CV18" s="95">
        <f t="shared" si="52"/>
        <v>109531</v>
      </c>
      <c r="CW18" s="95">
        <f t="shared" si="52"/>
        <v>109608</v>
      </c>
      <c r="CX18" s="95">
        <f t="shared" si="52"/>
        <v>109672</v>
      </c>
      <c r="CY18" s="95">
        <f t="shared" si="52"/>
        <v>109642</v>
      </c>
      <c r="CZ18" s="95">
        <f t="shared" si="52"/>
        <v>109838</v>
      </c>
      <c r="DA18" s="95">
        <f t="shared" si="52"/>
        <v>109745</v>
      </c>
      <c r="DB18" s="95">
        <f t="shared" si="52"/>
        <v>104838</v>
      </c>
      <c r="DC18" s="95">
        <f t="shared" si="52"/>
        <v>109991</v>
      </c>
      <c r="DD18" s="95">
        <f t="shared" si="52"/>
        <v>103587</v>
      </c>
      <c r="DE18" s="95">
        <f t="shared" si="52"/>
        <v>105468</v>
      </c>
      <c r="DF18" s="107">
        <f t="shared" si="52"/>
        <v>108421</v>
      </c>
      <c r="DG18" s="95">
        <f t="shared" si="52"/>
        <v>100098</v>
      </c>
      <c r="DH18" s="95">
        <f t="shared" si="52"/>
        <v>109539</v>
      </c>
      <c r="DI18" s="95">
        <f t="shared" si="52"/>
        <v>109622</v>
      </c>
      <c r="DJ18" s="95">
        <f t="shared" si="52"/>
        <v>105548</v>
      </c>
      <c r="DK18" s="95">
        <f t="shared" si="52"/>
        <v>100743</v>
      </c>
      <c r="DL18" s="95">
        <f t="shared" ref="DL18:FT18" si="53">SUM(DL16:DL17)</f>
        <v>110154</v>
      </c>
      <c r="DM18" s="95">
        <f t="shared" si="53"/>
        <v>106490</v>
      </c>
      <c r="DN18" s="95">
        <f t="shared" si="53"/>
        <v>110726</v>
      </c>
      <c r="DO18" s="95">
        <f t="shared" si="53"/>
        <v>105608</v>
      </c>
      <c r="DP18" s="95">
        <f t="shared" si="53"/>
        <v>101711</v>
      </c>
      <c r="DQ18" s="95">
        <f t="shared" si="53"/>
        <v>106735</v>
      </c>
      <c r="DR18" s="95">
        <f t="shared" si="53"/>
        <v>98347</v>
      </c>
      <c r="DS18" s="95">
        <f t="shared" si="53"/>
        <v>102753</v>
      </c>
      <c r="DT18" s="95">
        <f t="shared" si="53"/>
        <v>107964</v>
      </c>
      <c r="DU18" s="95">
        <f t="shared" si="53"/>
        <v>112873</v>
      </c>
      <c r="DV18" s="355">
        <f t="shared" si="53"/>
        <v>113532</v>
      </c>
      <c r="DW18" s="355">
        <f t="shared" si="53"/>
        <v>113529</v>
      </c>
      <c r="DX18" s="355">
        <f t="shared" si="53"/>
        <v>113510</v>
      </c>
      <c r="DY18" s="355">
        <f t="shared" si="53"/>
        <v>114095</v>
      </c>
      <c r="DZ18" s="355">
        <f t="shared" si="53"/>
        <v>114554</v>
      </c>
      <c r="EA18" s="355">
        <f t="shared" si="53"/>
        <v>114571</v>
      </c>
      <c r="EB18" s="355">
        <f t="shared" si="53"/>
        <v>114538</v>
      </c>
      <c r="EC18" s="355">
        <f t="shared" si="53"/>
        <v>115084</v>
      </c>
      <c r="ED18" s="355">
        <f t="shared" si="53"/>
        <v>114982</v>
      </c>
      <c r="EE18" s="355">
        <f t="shared" si="53"/>
        <v>115286</v>
      </c>
      <c r="EF18" s="355">
        <f t="shared" si="53"/>
        <v>115209</v>
      </c>
      <c r="EG18" s="355">
        <f t="shared" si="53"/>
        <v>115433</v>
      </c>
      <c r="EH18" s="355">
        <f t="shared" si="53"/>
        <v>114706</v>
      </c>
      <c r="EI18" s="355">
        <f t="shared" si="53"/>
        <v>114080</v>
      </c>
      <c r="EJ18" s="355">
        <f t="shared" si="53"/>
        <v>118101</v>
      </c>
      <c r="EK18" s="355">
        <f t="shared" si="53"/>
        <v>116856</v>
      </c>
      <c r="EL18" s="355">
        <f t="shared" si="53"/>
        <v>116698</v>
      </c>
      <c r="EM18" s="355">
        <f t="shared" si="53"/>
        <v>116654</v>
      </c>
      <c r="EN18" s="355">
        <f t="shared" si="53"/>
        <v>116976</v>
      </c>
      <c r="EO18" s="355">
        <f t="shared" si="53"/>
        <v>117435</v>
      </c>
      <c r="EP18" s="355">
        <f t="shared" si="53"/>
        <v>116934</v>
      </c>
      <c r="EQ18" s="355">
        <f t="shared" si="53"/>
        <v>111059</v>
      </c>
      <c r="ER18" s="355">
        <f t="shared" si="53"/>
        <v>115389</v>
      </c>
      <c r="ES18" s="355">
        <f t="shared" si="53"/>
        <v>116144</v>
      </c>
      <c r="ET18" s="355">
        <f t="shared" si="53"/>
        <v>117366</v>
      </c>
      <c r="EU18" s="355">
        <f t="shared" si="53"/>
        <v>117729</v>
      </c>
      <c r="EV18" s="355">
        <f t="shared" si="53"/>
        <v>117469</v>
      </c>
      <c r="EW18" s="355">
        <f t="shared" si="53"/>
        <v>118739</v>
      </c>
      <c r="EX18" s="355">
        <f t="shared" si="53"/>
        <v>118790</v>
      </c>
      <c r="EY18" s="355">
        <f t="shared" si="53"/>
        <v>118285</v>
      </c>
      <c r="EZ18" s="355">
        <f t="shared" si="53"/>
        <v>117942</v>
      </c>
      <c r="FA18" s="355">
        <f t="shared" si="53"/>
        <v>119183</v>
      </c>
      <c r="FB18" s="355">
        <f t="shared" si="53"/>
        <v>119555</v>
      </c>
      <c r="FC18" s="355">
        <f t="shared" si="53"/>
        <v>118553</v>
      </c>
      <c r="FD18" s="355">
        <f t="shared" si="53"/>
        <v>119273</v>
      </c>
      <c r="FE18" s="355">
        <f t="shared" si="53"/>
        <v>119163</v>
      </c>
      <c r="FF18" s="355">
        <f t="shared" si="53"/>
        <v>119509</v>
      </c>
      <c r="FG18" s="355">
        <f t="shared" si="53"/>
        <v>118892</v>
      </c>
      <c r="FH18" s="355">
        <f t="shared" si="53"/>
        <v>119949</v>
      </c>
      <c r="FI18" s="355">
        <f t="shared" si="53"/>
        <v>120044</v>
      </c>
      <c r="FJ18" s="355">
        <f t="shared" si="53"/>
        <v>120003</v>
      </c>
      <c r="FK18" s="355">
        <f t="shared" si="53"/>
        <v>120150</v>
      </c>
      <c r="FL18" s="355">
        <f t="shared" si="53"/>
        <v>120084</v>
      </c>
      <c r="FM18" s="355">
        <f t="shared" si="53"/>
        <v>120230</v>
      </c>
      <c r="FN18" s="355">
        <f t="shared" si="53"/>
        <v>119453</v>
      </c>
      <c r="FO18" s="355">
        <f t="shared" si="53"/>
        <v>119740</v>
      </c>
      <c r="FP18" s="355">
        <f t="shared" si="53"/>
        <v>121022</v>
      </c>
      <c r="FQ18" s="355">
        <f t="shared" si="53"/>
        <v>120493</v>
      </c>
      <c r="FR18" s="355">
        <f t="shared" si="53"/>
        <v>119984</v>
      </c>
      <c r="FS18" s="355">
        <f t="shared" si="53"/>
        <v>120092</v>
      </c>
      <c r="FT18" s="355">
        <f t="shared" si="53"/>
        <v>120755</v>
      </c>
    </row>
    <row r="19" spans="2:176" x14ac:dyDescent="0.25">
      <c r="B19" s="3" t="s">
        <v>10</v>
      </c>
      <c r="C19" s="14">
        <f t="shared" ref="C19:H19" si="54">SUM(C16)/C18</f>
        <v>0.95811811006015069</v>
      </c>
      <c r="D19" s="14">
        <f t="shared" si="54"/>
        <v>0.94342905923039877</v>
      </c>
      <c r="E19" s="14">
        <f t="shared" si="54"/>
        <v>0.92975606573066094</v>
      </c>
      <c r="F19" s="14">
        <f t="shared" si="54"/>
        <v>0.92058900013002209</v>
      </c>
      <c r="G19" s="14">
        <f t="shared" si="54"/>
        <v>0.91019326315337645</v>
      </c>
      <c r="H19" s="14">
        <f t="shared" si="54"/>
        <v>0.90440777504707792</v>
      </c>
      <c r="I19" s="14">
        <f t="shared" ref="I19:Q19" si="55">SUM(I16)/I18</f>
        <v>0.89584317182465967</v>
      </c>
      <c r="J19" s="14">
        <f t="shared" si="55"/>
        <v>0.88857837433510634</v>
      </c>
      <c r="K19" s="14">
        <f t="shared" si="55"/>
        <v>0.88523770329544393</v>
      </c>
      <c r="L19" s="14">
        <f t="shared" si="55"/>
        <v>0.86778939614070272</v>
      </c>
      <c r="M19" s="14">
        <f t="shared" si="55"/>
        <v>0.85838721634199577</v>
      </c>
      <c r="N19" s="23">
        <f t="shared" si="55"/>
        <v>0.85384993145219046</v>
      </c>
      <c r="O19" s="14">
        <f t="shared" si="55"/>
        <v>0.83051664037333384</v>
      </c>
      <c r="P19" s="14">
        <f t="shared" si="55"/>
        <v>0.81768588786814944</v>
      </c>
      <c r="Q19" s="14">
        <f t="shared" si="55"/>
        <v>0.8060460060518817</v>
      </c>
      <c r="R19" s="14">
        <f t="shared" ref="R19:W19" si="56">SUM(R16)/R18</f>
        <v>0.80854981185987085</v>
      </c>
      <c r="S19" s="14">
        <f t="shared" si="56"/>
        <v>0.7978188172204983</v>
      </c>
      <c r="T19" s="14">
        <f t="shared" si="56"/>
        <v>0.7877912826498169</v>
      </c>
      <c r="U19" s="14">
        <f t="shared" si="56"/>
        <v>0.77540969524591263</v>
      </c>
      <c r="V19" s="14">
        <f t="shared" si="56"/>
        <v>0.7582626821397791</v>
      </c>
      <c r="W19" s="14">
        <f t="shared" si="56"/>
        <v>0.75201681513362029</v>
      </c>
      <c r="X19" s="14">
        <f t="shared" ref="X19:AC19" si="57">SUM(X16)/X18</f>
        <v>0.74212099878397775</v>
      </c>
      <c r="Y19" s="14">
        <f t="shared" si="57"/>
        <v>0.72951894620785707</v>
      </c>
      <c r="Z19" s="23">
        <f t="shared" si="57"/>
        <v>0.7197771587743732</v>
      </c>
      <c r="AA19" s="14">
        <f t="shared" si="57"/>
        <v>0.7072849491214549</v>
      </c>
      <c r="AB19" s="14">
        <f t="shared" si="57"/>
        <v>0.70045579037730454</v>
      </c>
      <c r="AC19" s="14">
        <f t="shared" si="57"/>
        <v>0.68937615812229769</v>
      </c>
      <c r="AD19" s="14">
        <f t="shared" ref="AD19:AI19" si="58">SUM(AD16)/AD18</f>
        <v>0.68611535897737519</v>
      </c>
      <c r="AE19" s="14">
        <f t="shared" si="58"/>
        <v>0.67665440042760516</v>
      </c>
      <c r="AF19" s="14">
        <f t="shared" si="58"/>
        <v>0.66790155877773816</v>
      </c>
      <c r="AG19" s="14">
        <f t="shared" si="58"/>
        <v>0.64951195277339413</v>
      </c>
      <c r="AH19" s="14">
        <f t="shared" si="58"/>
        <v>0.63696771435475175</v>
      </c>
      <c r="AI19" s="14">
        <f t="shared" si="58"/>
        <v>0.62549793129991338</v>
      </c>
      <c r="AJ19" s="14">
        <f t="shared" ref="AJ19:AO19" si="59">SUM(AJ16)/AJ18</f>
        <v>0.61580405564725305</v>
      </c>
      <c r="AK19" s="14">
        <f t="shared" si="59"/>
        <v>0.60201547086792984</v>
      </c>
      <c r="AL19" s="23">
        <f t="shared" si="59"/>
        <v>0.59561161421660702</v>
      </c>
      <c r="AM19" s="14">
        <f t="shared" si="59"/>
        <v>0.58234290561470059</v>
      </c>
      <c r="AN19" s="14">
        <f t="shared" si="59"/>
        <v>0.57601758316074225</v>
      </c>
      <c r="AO19" s="14">
        <f t="shared" si="59"/>
        <v>0.57166621793145889</v>
      </c>
      <c r="AP19" s="14">
        <f t="shared" ref="AP19:AU19" si="60">SUM(AP16)/AP18</f>
        <v>0.56766860010361331</v>
      </c>
      <c r="AQ19" s="14">
        <f t="shared" si="60"/>
        <v>0.55976868897070597</v>
      </c>
      <c r="AR19" s="14">
        <f t="shared" si="60"/>
        <v>0.55317220255531918</v>
      </c>
      <c r="AS19" s="14">
        <f t="shared" si="60"/>
        <v>0.55111592154976297</v>
      </c>
      <c r="AT19" s="14">
        <f t="shared" si="60"/>
        <v>0.54729325688557462</v>
      </c>
      <c r="AU19" s="14">
        <f t="shared" si="60"/>
        <v>0.5417641806475868</v>
      </c>
      <c r="AV19" s="14">
        <f t="shared" ref="AV19:BJ19" si="61">SUM(AV16)/AV18</f>
        <v>0.53580487620201411</v>
      </c>
      <c r="AW19" s="14">
        <f t="shared" si="61"/>
        <v>0.53235126800203603</v>
      </c>
      <c r="AX19" s="23">
        <f t="shared" si="61"/>
        <v>0.52672099635577274</v>
      </c>
      <c r="AY19" s="14">
        <f t="shared" si="61"/>
        <v>0.5275086751913296</v>
      </c>
      <c r="AZ19" s="14">
        <f t="shared" si="61"/>
        <v>0.52435017924368155</v>
      </c>
      <c r="BA19" s="14">
        <f t="shared" si="61"/>
        <v>0.51620857641186024</v>
      </c>
      <c r="BB19" s="14">
        <f t="shared" si="61"/>
        <v>0.51374530666478768</v>
      </c>
      <c r="BC19" s="14">
        <f t="shared" si="61"/>
        <v>0.5026966190969252</v>
      </c>
      <c r="BD19" s="14">
        <f t="shared" si="61"/>
        <v>0.49832557379727194</v>
      </c>
      <c r="BE19" s="14">
        <f t="shared" si="61"/>
        <v>0.49098553550153112</v>
      </c>
      <c r="BF19" s="14">
        <f t="shared" si="61"/>
        <v>0.48625130525583016</v>
      </c>
      <c r="BG19" s="14">
        <f t="shared" si="61"/>
        <v>0.4773669016712162</v>
      </c>
      <c r="BH19" s="14">
        <f t="shared" si="61"/>
        <v>0.4665563420184014</v>
      </c>
      <c r="BI19" s="14">
        <f t="shared" si="61"/>
        <v>0.45702349356138799</v>
      </c>
      <c r="BJ19" s="23">
        <f t="shared" si="61"/>
        <v>0.45449317789743321</v>
      </c>
      <c r="BK19" s="14">
        <f t="shared" ref="BK19:BV19" si="62">SUM(BK16)/BK18</f>
        <v>0.44665392324252096</v>
      </c>
      <c r="BL19" s="14">
        <f t="shared" si="62"/>
        <v>0.43014216124863308</v>
      </c>
      <c r="BM19" s="14">
        <f t="shared" si="62"/>
        <v>0.42568442717481947</v>
      </c>
      <c r="BN19" s="14">
        <f t="shared" si="62"/>
        <v>0.42426634564149118</v>
      </c>
      <c r="BO19" s="14">
        <f t="shared" si="62"/>
        <v>0.41691225275454669</v>
      </c>
      <c r="BP19" s="14">
        <f t="shared" si="62"/>
        <v>0.41443993852193395</v>
      </c>
      <c r="BQ19" s="14">
        <f t="shared" si="62"/>
        <v>0.40649565386072034</v>
      </c>
      <c r="BR19" s="14">
        <f t="shared" si="62"/>
        <v>0.39957153262779038</v>
      </c>
      <c r="BS19" s="14">
        <f t="shared" si="62"/>
        <v>0.39151678232544967</v>
      </c>
      <c r="BT19" s="14">
        <f t="shared" si="62"/>
        <v>0.38265745542504259</v>
      </c>
      <c r="BU19" s="14">
        <f t="shared" si="62"/>
        <v>0.37739588398829238</v>
      </c>
      <c r="BV19" s="23">
        <f t="shared" si="62"/>
        <v>0.37151580723245065</v>
      </c>
      <c r="BW19" s="14">
        <f t="shared" ref="BW19:CB19" si="63">SUM(BW16)/BW18</f>
        <v>0.36598670639468256</v>
      </c>
      <c r="BX19" s="14">
        <f t="shared" si="63"/>
        <v>0.36253707087308218</v>
      </c>
      <c r="BY19" s="14">
        <f t="shared" si="63"/>
        <v>0.35745650145452551</v>
      </c>
      <c r="BZ19" s="14">
        <f t="shared" si="63"/>
        <v>0.35205814240862615</v>
      </c>
      <c r="CA19" s="14">
        <f t="shared" si="63"/>
        <v>0.34776417755141159</v>
      </c>
      <c r="CB19" s="14">
        <f t="shared" si="63"/>
        <v>0.34536784118834674</v>
      </c>
      <c r="CC19" s="14">
        <f t="shared" ref="CC19:DK19" si="64">SUM(CC16)/CC18</f>
        <v>0.34125622730341792</v>
      </c>
      <c r="CD19" s="14">
        <f t="shared" si="64"/>
        <v>0.33695543178026749</v>
      </c>
      <c r="CE19" s="14">
        <f t="shared" si="64"/>
        <v>0.33254760077476886</v>
      </c>
      <c r="CF19" s="14">
        <f t="shared" si="64"/>
        <v>0.32610619065427382</v>
      </c>
      <c r="CG19" s="14">
        <f t="shared" si="64"/>
        <v>0.3184640167969881</v>
      </c>
      <c r="CH19" s="23">
        <f t="shared" si="64"/>
        <v>0.31004464285714284</v>
      </c>
      <c r="CI19" s="258">
        <f t="shared" si="64"/>
        <v>0.31189350470507232</v>
      </c>
      <c r="CJ19" s="259">
        <f t="shared" si="64"/>
        <v>0.30646552515186554</v>
      </c>
      <c r="CK19" s="259">
        <f t="shared" si="64"/>
        <v>0.30323487269921745</v>
      </c>
      <c r="CL19" s="259">
        <f t="shared" si="64"/>
        <v>0.29935160814020673</v>
      </c>
      <c r="CM19" s="259">
        <f t="shared" si="64"/>
        <v>0.29435698183750891</v>
      </c>
      <c r="CN19" s="259">
        <f t="shared" si="64"/>
        <v>0.2885142543859649</v>
      </c>
      <c r="CO19" s="259">
        <f t="shared" si="64"/>
        <v>0.28179596767551046</v>
      </c>
      <c r="CP19" s="259">
        <f t="shared" si="64"/>
        <v>0.27537647166195128</v>
      </c>
      <c r="CQ19" s="259">
        <f t="shared" si="64"/>
        <v>0.2673527479746004</v>
      </c>
      <c r="CR19" s="259">
        <f t="shared" si="64"/>
        <v>0.25861157205638324</v>
      </c>
      <c r="CS19" s="259">
        <f t="shared" si="64"/>
        <v>0.25328608775653344</v>
      </c>
      <c r="CT19" s="265">
        <f t="shared" si="64"/>
        <v>0.24950785607524334</v>
      </c>
      <c r="CU19" s="259">
        <f t="shared" si="64"/>
        <v>0.24815861766930764</v>
      </c>
      <c r="CV19" s="259">
        <f t="shared" si="64"/>
        <v>0.24333750262482767</v>
      </c>
      <c r="CW19" s="259">
        <f t="shared" si="64"/>
        <v>0.23982738486241881</v>
      </c>
      <c r="CX19" s="259">
        <f t="shared" si="64"/>
        <v>0.23651433364942739</v>
      </c>
      <c r="CY19" s="259">
        <f t="shared" si="64"/>
        <v>0.23392495576512651</v>
      </c>
      <c r="CZ19" s="259">
        <f t="shared" si="64"/>
        <v>0.2301935577851017</v>
      </c>
      <c r="DA19" s="259">
        <f t="shared" si="64"/>
        <v>0.22667091894847147</v>
      </c>
      <c r="DB19" s="259">
        <f t="shared" si="64"/>
        <v>0.22391690036055628</v>
      </c>
      <c r="DC19" s="259">
        <f t="shared" si="64"/>
        <v>0.22117264139793255</v>
      </c>
      <c r="DD19" s="259">
        <f t="shared" si="64"/>
        <v>0.2193132342861556</v>
      </c>
      <c r="DE19" s="259">
        <f t="shared" si="64"/>
        <v>0.21348655516365153</v>
      </c>
      <c r="DF19" s="265">
        <f t="shared" si="64"/>
        <v>0.20703553739589195</v>
      </c>
      <c r="DG19" s="259">
        <f t="shared" si="64"/>
        <v>0.20727686866870468</v>
      </c>
      <c r="DH19" s="259">
        <f t="shared" si="64"/>
        <v>0.20301445147390426</v>
      </c>
      <c r="DI19" s="259">
        <f t="shared" si="64"/>
        <v>0.20134644505664923</v>
      </c>
      <c r="DJ19" s="259">
        <f t="shared" si="64"/>
        <v>0.19962481524993367</v>
      </c>
      <c r="DK19" s="259">
        <f t="shared" si="64"/>
        <v>0.19641066873132623</v>
      </c>
      <c r="DL19" s="259">
        <f t="shared" ref="DL19:FK19" si="65">SUM(DL16)/DL18</f>
        <v>0.19482724186139405</v>
      </c>
      <c r="DM19" s="259">
        <f t="shared" si="65"/>
        <v>0.19094750680815101</v>
      </c>
      <c r="DN19" s="259">
        <f t="shared" si="65"/>
        <v>0.187029243357477</v>
      </c>
      <c r="DO19" s="259">
        <f t="shared" si="65"/>
        <v>0.18489129611393076</v>
      </c>
      <c r="DP19" s="259">
        <f t="shared" si="65"/>
        <v>0.18201571118168144</v>
      </c>
      <c r="DQ19" s="259">
        <f t="shared" si="65"/>
        <v>0.17806717571555722</v>
      </c>
      <c r="DR19" s="259">
        <f t="shared" si="65"/>
        <v>0.17540951935493712</v>
      </c>
      <c r="DS19" s="259">
        <f t="shared" si="65"/>
        <v>0.17566397088162877</v>
      </c>
      <c r="DT19" s="259">
        <f t="shared" si="65"/>
        <v>0.17378941128524322</v>
      </c>
      <c r="DU19" s="259">
        <f t="shared" si="65"/>
        <v>0.1724858912228788</v>
      </c>
      <c r="DV19" s="282">
        <f t="shared" si="65"/>
        <v>0.17098263044780326</v>
      </c>
      <c r="DW19" s="282">
        <f t="shared" si="65"/>
        <v>0.16913740101648037</v>
      </c>
      <c r="DX19" s="282">
        <f t="shared" si="65"/>
        <v>0.16642586556250549</v>
      </c>
      <c r="DY19" s="282">
        <f t="shared" si="65"/>
        <v>0.16537096279416275</v>
      </c>
      <c r="DZ19" s="282">
        <f t="shared" si="65"/>
        <v>0.16285769156904167</v>
      </c>
      <c r="EA19" s="282">
        <f t="shared" si="65"/>
        <v>0.16091332012463888</v>
      </c>
      <c r="EB19" s="282">
        <f t="shared" si="65"/>
        <v>0.15995564790724476</v>
      </c>
      <c r="EC19" s="282">
        <f t="shared" si="65"/>
        <v>0.15689409474818394</v>
      </c>
      <c r="ED19" s="282">
        <f t="shared" si="65"/>
        <v>0.15612878537510219</v>
      </c>
      <c r="EE19" s="282">
        <f t="shared" si="65"/>
        <v>0.15325364745068784</v>
      </c>
      <c r="EF19" s="282">
        <f t="shared" si="65"/>
        <v>0.15056115407650444</v>
      </c>
      <c r="EG19" s="282">
        <f t="shared" si="65"/>
        <v>0.14829381546005041</v>
      </c>
      <c r="EH19" s="282">
        <f t="shared" si="65"/>
        <v>0.1458075427614946</v>
      </c>
      <c r="EI19" s="282">
        <f t="shared" si="65"/>
        <v>0.14557328190743338</v>
      </c>
      <c r="EJ19" s="282">
        <f t="shared" si="65"/>
        <v>0.1383900220997282</v>
      </c>
      <c r="EK19" s="282">
        <f t="shared" si="65"/>
        <v>0.13856370233449716</v>
      </c>
      <c r="EL19" s="282">
        <f t="shared" si="65"/>
        <v>0.13768873502545032</v>
      </c>
      <c r="EM19" s="282">
        <f t="shared" si="65"/>
        <v>0.13630908498636995</v>
      </c>
      <c r="EN19" s="282">
        <f t="shared" si="65"/>
        <v>0.13500205170291341</v>
      </c>
      <c r="EO19" s="282">
        <f t="shared" si="65"/>
        <v>0.13301826542342574</v>
      </c>
      <c r="EP19" s="282">
        <f t="shared" si="65"/>
        <v>0.13185215591701302</v>
      </c>
      <c r="EQ19" s="282">
        <f t="shared" si="65"/>
        <v>0.13247913271324252</v>
      </c>
      <c r="ER19" s="282">
        <f t="shared" si="65"/>
        <v>0.12483858946693359</v>
      </c>
      <c r="ES19" s="282">
        <f t="shared" si="65"/>
        <v>0.12609347017495523</v>
      </c>
      <c r="ET19" s="282">
        <f t="shared" si="65"/>
        <v>0.12535146464904656</v>
      </c>
      <c r="EU19" s="282">
        <f t="shared" si="65"/>
        <v>0.12430242336212828</v>
      </c>
      <c r="EV19" s="282">
        <f t="shared" si="65"/>
        <v>0.12442431620257259</v>
      </c>
      <c r="EW19" s="282">
        <f t="shared" si="65"/>
        <v>0.12228501166423837</v>
      </c>
      <c r="EX19" s="282">
        <f t="shared" si="65"/>
        <v>0.12164323596262312</v>
      </c>
      <c r="EY19" s="282">
        <f t="shared" si="65"/>
        <v>0.12130870355497315</v>
      </c>
      <c r="EZ19" s="282">
        <f t="shared" si="65"/>
        <v>0.12098319512980957</v>
      </c>
      <c r="FA19" s="282">
        <f t="shared" si="65"/>
        <v>0.11914450886451927</v>
      </c>
      <c r="FB19" s="282">
        <f t="shared" si="65"/>
        <v>0.11828028940654929</v>
      </c>
      <c r="FC19" s="282">
        <f t="shared" si="65"/>
        <v>0.11852926539185006</v>
      </c>
      <c r="FD19" s="282">
        <f t="shared" si="65"/>
        <v>0.11644714227025396</v>
      </c>
      <c r="FE19" s="282">
        <f t="shared" si="65"/>
        <v>0.11485108632713174</v>
      </c>
      <c r="FF19" s="282">
        <f t="shared" si="65"/>
        <v>0.11347262549264073</v>
      </c>
      <c r="FG19" s="282">
        <f t="shared" si="65"/>
        <v>0.11291760589442519</v>
      </c>
      <c r="FH19" s="282">
        <f t="shared" si="65"/>
        <v>0.10986335859406915</v>
      </c>
      <c r="FI19" s="282">
        <f t="shared" si="65"/>
        <v>0.10676918463230149</v>
      </c>
      <c r="FJ19" s="282">
        <f t="shared" si="65"/>
        <v>0.10548069631592544</v>
      </c>
      <c r="FK19" s="282">
        <f t="shared" si="65"/>
        <v>0.10314606741573033</v>
      </c>
      <c r="FL19" s="282">
        <f t="shared" ref="FL19:FT19" si="66">SUM(FL16)/FL18</f>
        <v>0.10153725725325606</v>
      </c>
      <c r="FM19" s="282">
        <f t="shared" si="66"/>
        <v>9.9467686933377694E-2</v>
      </c>
      <c r="FN19" s="282">
        <f t="shared" si="66"/>
        <v>9.822273195315312E-2</v>
      </c>
      <c r="FO19" s="282">
        <f t="shared" si="66"/>
        <v>9.6016368799064639E-2</v>
      </c>
      <c r="FP19" s="282">
        <f t="shared" si="66"/>
        <v>9.3759812265538492E-2</v>
      </c>
      <c r="FQ19" s="282">
        <f t="shared" si="66"/>
        <v>9.2660984455528533E-2</v>
      </c>
      <c r="FR19" s="282">
        <f t="shared" si="66"/>
        <v>9.1687224963328443E-2</v>
      </c>
      <c r="FS19" s="282">
        <f t="shared" si="66"/>
        <v>9.0497285414515544E-2</v>
      </c>
      <c r="FT19" s="282">
        <f t="shared" si="66"/>
        <v>8.8625729783445822E-2</v>
      </c>
    </row>
    <row r="20" spans="2:176" ht="13.8" thickBot="1" x14ac:dyDescent="0.3">
      <c r="B20" s="4" t="s">
        <v>11</v>
      </c>
      <c r="C20" s="15">
        <f t="shared" ref="C20:H20" si="67">SUM(C17/C18)</f>
        <v>4.1881889939849287E-2</v>
      </c>
      <c r="D20" s="15">
        <f t="shared" si="67"/>
        <v>5.6570940769601188E-2</v>
      </c>
      <c r="E20" s="15">
        <f t="shared" si="67"/>
        <v>7.0243934269339101E-2</v>
      </c>
      <c r="F20" s="15">
        <f t="shared" si="67"/>
        <v>7.9410999869977891E-2</v>
      </c>
      <c r="G20" s="15">
        <f t="shared" si="67"/>
        <v>8.9806736846623533E-2</v>
      </c>
      <c r="H20" s="15">
        <f t="shared" si="67"/>
        <v>9.5592224952922022E-2</v>
      </c>
      <c r="I20" s="15">
        <f t="shared" ref="I20:Q20" si="68">SUM(I17/I18)</f>
        <v>0.10415682817534028</v>
      </c>
      <c r="J20" s="15">
        <f t="shared" si="68"/>
        <v>0.11142162566489362</v>
      </c>
      <c r="K20" s="15">
        <f t="shared" si="68"/>
        <v>0.11476229670455611</v>
      </c>
      <c r="L20" s="15">
        <f t="shared" si="68"/>
        <v>0.13221060385929731</v>
      </c>
      <c r="M20" s="15">
        <f t="shared" si="68"/>
        <v>0.1416127836580042</v>
      </c>
      <c r="N20" s="24">
        <f t="shared" si="68"/>
        <v>0.14615006854780954</v>
      </c>
      <c r="O20" s="15">
        <f t="shared" si="68"/>
        <v>0.16948335962666616</v>
      </c>
      <c r="P20" s="15">
        <f t="shared" si="68"/>
        <v>0.18231411213185059</v>
      </c>
      <c r="Q20" s="15">
        <f t="shared" si="68"/>
        <v>0.19395399394811833</v>
      </c>
      <c r="R20" s="15">
        <f t="shared" ref="R20:W20" si="69">SUM(R17/R18)</f>
        <v>0.19145018814012918</v>
      </c>
      <c r="S20" s="15">
        <f t="shared" si="69"/>
        <v>0.2021811827795017</v>
      </c>
      <c r="T20" s="15">
        <f t="shared" si="69"/>
        <v>0.21220871735018312</v>
      </c>
      <c r="U20" s="15">
        <f t="shared" si="69"/>
        <v>0.22459030475408739</v>
      </c>
      <c r="V20" s="15">
        <f t="shared" si="69"/>
        <v>0.24173731786022087</v>
      </c>
      <c r="W20" s="15">
        <f t="shared" si="69"/>
        <v>0.24798318486637974</v>
      </c>
      <c r="X20" s="15">
        <f t="shared" ref="X20:AC20" si="70">SUM(X17/X18)</f>
        <v>0.25787900121602225</v>
      </c>
      <c r="Y20" s="15">
        <f t="shared" si="70"/>
        <v>0.27048105379214299</v>
      </c>
      <c r="Z20" s="24">
        <f t="shared" si="70"/>
        <v>0.28022284122562674</v>
      </c>
      <c r="AA20" s="15">
        <f t="shared" si="70"/>
        <v>0.29271505087854516</v>
      </c>
      <c r="AB20" s="15">
        <f t="shared" si="70"/>
        <v>0.29954420962269551</v>
      </c>
      <c r="AC20" s="15">
        <f t="shared" si="70"/>
        <v>0.31062384187770231</v>
      </c>
      <c r="AD20" s="15">
        <f t="shared" ref="AD20:AI20" si="71">SUM(AD17/AD18)</f>
        <v>0.31388464102262481</v>
      </c>
      <c r="AE20" s="15">
        <f t="shared" si="71"/>
        <v>0.32334559957239478</v>
      </c>
      <c r="AF20" s="15">
        <f t="shared" si="71"/>
        <v>0.33209844122226184</v>
      </c>
      <c r="AG20" s="15">
        <f t="shared" si="71"/>
        <v>0.35048804722660587</v>
      </c>
      <c r="AH20" s="15">
        <f t="shared" si="71"/>
        <v>0.36303228564524825</v>
      </c>
      <c r="AI20" s="15">
        <f t="shared" si="71"/>
        <v>0.37450206870008662</v>
      </c>
      <c r="AJ20" s="15">
        <f t="shared" ref="AJ20:AO20" si="72">SUM(AJ17/AJ18)</f>
        <v>0.38419594435274701</v>
      </c>
      <c r="AK20" s="15">
        <f t="shared" si="72"/>
        <v>0.39798452913207011</v>
      </c>
      <c r="AL20" s="24">
        <f t="shared" si="72"/>
        <v>0.40438838578339298</v>
      </c>
      <c r="AM20" s="15">
        <f t="shared" si="72"/>
        <v>0.41765709438529941</v>
      </c>
      <c r="AN20" s="15">
        <f t="shared" si="72"/>
        <v>0.4239824168392578</v>
      </c>
      <c r="AO20" s="15">
        <f t="shared" si="72"/>
        <v>0.42833378206854111</v>
      </c>
      <c r="AP20" s="15">
        <f t="shared" ref="AP20:AU20" si="73">SUM(AP17/AP18)</f>
        <v>0.43233139989638675</v>
      </c>
      <c r="AQ20" s="15">
        <f t="shared" si="73"/>
        <v>0.44023131102929408</v>
      </c>
      <c r="AR20" s="15">
        <f t="shared" si="73"/>
        <v>0.44682779744468087</v>
      </c>
      <c r="AS20" s="15">
        <f t="shared" si="73"/>
        <v>0.44888407845023703</v>
      </c>
      <c r="AT20" s="15">
        <f t="shared" si="73"/>
        <v>0.45270674311442544</v>
      </c>
      <c r="AU20" s="15">
        <f t="shared" si="73"/>
        <v>0.4582358193524132</v>
      </c>
      <c r="AV20" s="15">
        <f>SUM(AV17/AV18)</f>
        <v>0.46419512379798594</v>
      </c>
      <c r="AW20" s="15">
        <f>SUM(AW17/AW18)</f>
        <v>0.46764873199796403</v>
      </c>
      <c r="AX20" s="24">
        <f>SUM(AX17/AX18)</f>
        <v>0.47327900364422731</v>
      </c>
      <c r="AY20" s="15">
        <f t="shared" ref="AY20:BG20" si="74">SUM(AY17/AY18)</f>
        <v>0.47249132480867045</v>
      </c>
      <c r="AZ20" s="15">
        <f t="shared" si="74"/>
        <v>0.47564982075631845</v>
      </c>
      <c r="BA20" s="15">
        <f t="shared" si="74"/>
        <v>0.48379142358813976</v>
      </c>
      <c r="BB20" s="15">
        <f t="shared" si="74"/>
        <v>0.48625469333521232</v>
      </c>
      <c r="BC20" s="15">
        <f t="shared" si="74"/>
        <v>0.4973033809030748</v>
      </c>
      <c r="BD20" s="15">
        <f t="shared" si="74"/>
        <v>0.50167442620272806</v>
      </c>
      <c r="BE20" s="15">
        <f t="shared" si="74"/>
        <v>0.50901446449846888</v>
      </c>
      <c r="BF20" s="15">
        <f t="shared" si="74"/>
        <v>0.51374869474416984</v>
      </c>
      <c r="BG20" s="15">
        <f t="shared" si="74"/>
        <v>0.5226330983287838</v>
      </c>
      <c r="BH20" s="15">
        <f>SUM(BH17/BH18)</f>
        <v>0.53344365798159854</v>
      </c>
      <c r="BI20" s="15">
        <f>SUM(BI17/BI18)</f>
        <v>0.54297650643861206</v>
      </c>
      <c r="BJ20" s="24">
        <f>SUM(BJ17/BJ18)</f>
        <v>0.54550682210256674</v>
      </c>
      <c r="BK20" s="15">
        <f t="shared" ref="BK20:BS20" si="75">SUM(BK17/BK18)</f>
        <v>0.55334607675747904</v>
      </c>
      <c r="BL20" s="15">
        <f t="shared" si="75"/>
        <v>0.56985783875136697</v>
      </c>
      <c r="BM20" s="15">
        <f t="shared" si="75"/>
        <v>0.57431557282518053</v>
      </c>
      <c r="BN20" s="15">
        <f t="shared" si="75"/>
        <v>0.57573365435850876</v>
      </c>
      <c r="BO20" s="15">
        <f t="shared" si="75"/>
        <v>0.58308774724545331</v>
      </c>
      <c r="BP20" s="15">
        <f t="shared" si="75"/>
        <v>0.58556006147806605</v>
      </c>
      <c r="BQ20" s="15">
        <f t="shared" si="75"/>
        <v>0.59350434613927971</v>
      </c>
      <c r="BR20" s="15">
        <f t="shared" si="75"/>
        <v>0.60042846737220956</v>
      </c>
      <c r="BS20" s="15">
        <f t="shared" si="75"/>
        <v>0.60848321767455038</v>
      </c>
      <c r="BT20" s="15">
        <f>SUM(BT17/BT18)</f>
        <v>0.61734254457495741</v>
      </c>
      <c r="BU20" s="15">
        <f>SUM(BU17/BU18)</f>
        <v>0.62260411601170762</v>
      </c>
      <c r="BV20" s="24">
        <f>SUM(BV17/BV18)</f>
        <v>0.6284841927675493</v>
      </c>
      <c r="BW20" s="15">
        <f t="shared" ref="BW20:CB20" si="76">SUM(BW17/BW18)</f>
        <v>0.63401329360531744</v>
      </c>
      <c r="BX20" s="15">
        <f t="shared" si="76"/>
        <v>0.63746292912691782</v>
      </c>
      <c r="BY20" s="15">
        <f t="shared" si="76"/>
        <v>0.64254349854547455</v>
      </c>
      <c r="BZ20" s="15">
        <f t="shared" si="76"/>
        <v>0.64794185759137379</v>
      </c>
      <c r="CA20" s="15">
        <f t="shared" si="76"/>
        <v>0.65223582244858835</v>
      </c>
      <c r="CB20" s="15">
        <f t="shared" si="76"/>
        <v>0.65463215881165326</v>
      </c>
      <c r="CC20" s="15">
        <f t="shared" ref="CC20:DK20" si="77">SUM(CC17/CC18)</f>
        <v>0.65874377269658202</v>
      </c>
      <c r="CD20" s="15">
        <f t="shared" si="77"/>
        <v>0.66304456821973257</v>
      </c>
      <c r="CE20" s="15">
        <f t="shared" si="77"/>
        <v>0.66745239922523114</v>
      </c>
      <c r="CF20" s="15">
        <f t="shared" si="77"/>
        <v>0.67389380934572618</v>
      </c>
      <c r="CG20" s="15">
        <f t="shared" si="77"/>
        <v>0.6815359832030119</v>
      </c>
      <c r="CH20" s="24">
        <f t="shared" si="77"/>
        <v>0.68995535714285716</v>
      </c>
      <c r="CI20" s="260">
        <f t="shared" si="77"/>
        <v>0.68810649529492773</v>
      </c>
      <c r="CJ20" s="261">
        <f t="shared" si="77"/>
        <v>0.69353447484813446</v>
      </c>
      <c r="CK20" s="261">
        <f t="shared" si="77"/>
        <v>0.69676512730078255</v>
      </c>
      <c r="CL20" s="261">
        <f t="shared" si="77"/>
        <v>0.70064839185979333</v>
      </c>
      <c r="CM20" s="261">
        <f t="shared" si="77"/>
        <v>0.70564301816249109</v>
      </c>
      <c r="CN20" s="261">
        <f t="shared" si="77"/>
        <v>0.7114857456140351</v>
      </c>
      <c r="CO20" s="261">
        <f t="shared" si="77"/>
        <v>0.71820403232448959</v>
      </c>
      <c r="CP20" s="261">
        <f t="shared" si="77"/>
        <v>0.72462352833804877</v>
      </c>
      <c r="CQ20" s="261">
        <f t="shared" si="77"/>
        <v>0.7326472520253996</v>
      </c>
      <c r="CR20" s="261">
        <f t="shared" si="77"/>
        <v>0.74138842794361681</v>
      </c>
      <c r="CS20" s="261">
        <f t="shared" si="77"/>
        <v>0.7467139122434665</v>
      </c>
      <c r="CT20" s="267">
        <f t="shared" si="77"/>
        <v>0.75049214392475672</v>
      </c>
      <c r="CU20" s="261">
        <f t="shared" si="77"/>
        <v>0.75184138233069231</v>
      </c>
      <c r="CV20" s="261">
        <f t="shared" si="77"/>
        <v>0.75666249737517233</v>
      </c>
      <c r="CW20" s="261">
        <f t="shared" si="77"/>
        <v>0.76017261513758116</v>
      </c>
      <c r="CX20" s="261">
        <f t="shared" si="77"/>
        <v>0.76348566635057258</v>
      </c>
      <c r="CY20" s="261">
        <f t="shared" si="77"/>
        <v>0.76607504423487349</v>
      </c>
      <c r="CZ20" s="261">
        <f t="shared" si="77"/>
        <v>0.76980644221489836</v>
      </c>
      <c r="DA20" s="261">
        <f t="shared" si="77"/>
        <v>0.77332908105152853</v>
      </c>
      <c r="DB20" s="261">
        <f t="shared" si="77"/>
        <v>0.77608309963944366</v>
      </c>
      <c r="DC20" s="261">
        <f t="shared" si="77"/>
        <v>0.77882735860206742</v>
      </c>
      <c r="DD20" s="261">
        <f t="shared" si="77"/>
        <v>0.78068676571384443</v>
      </c>
      <c r="DE20" s="261">
        <f t="shared" si="77"/>
        <v>0.78651344483634844</v>
      </c>
      <c r="DF20" s="267">
        <f t="shared" si="77"/>
        <v>0.79296446260410802</v>
      </c>
      <c r="DG20" s="261">
        <f t="shared" si="77"/>
        <v>0.79272313133129535</v>
      </c>
      <c r="DH20" s="261">
        <f t="shared" si="77"/>
        <v>0.79698554852609571</v>
      </c>
      <c r="DI20" s="261">
        <f t="shared" si="77"/>
        <v>0.79865355494335077</v>
      </c>
      <c r="DJ20" s="261">
        <f t="shared" si="77"/>
        <v>0.8003751847500663</v>
      </c>
      <c r="DK20" s="261">
        <f t="shared" si="77"/>
        <v>0.80358933126867371</v>
      </c>
      <c r="DL20" s="261">
        <f t="shared" ref="DL20:DU20" si="78">SUM(DL17/DL18)</f>
        <v>0.805172758138606</v>
      </c>
      <c r="DM20" s="261">
        <f t="shared" si="78"/>
        <v>0.80905249319184902</v>
      </c>
      <c r="DN20" s="261">
        <f t="shared" si="78"/>
        <v>0.81297075664252294</v>
      </c>
      <c r="DO20" s="261">
        <f t="shared" si="78"/>
        <v>0.81510870388606926</v>
      </c>
      <c r="DP20" s="261">
        <f t="shared" si="78"/>
        <v>0.81798428881831853</v>
      </c>
      <c r="DQ20" s="261">
        <f t="shared" si="78"/>
        <v>0.82193282428444281</v>
      </c>
      <c r="DR20" s="261">
        <f t="shared" si="78"/>
        <v>0.82459048064506291</v>
      </c>
      <c r="DS20" s="261">
        <f t="shared" si="78"/>
        <v>0.82433602911837123</v>
      </c>
      <c r="DT20" s="261">
        <f t="shared" si="78"/>
        <v>0.82621058871475672</v>
      </c>
      <c r="DU20" s="261">
        <f t="shared" si="78"/>
        <v>0.82751410877712117</v>
      </c>
      <c r="DV20" s="354">
        <f t="shared" ref="DV20:FK20" si="79">SUM(DV17/DV18)</f>
        <v>0.82901736955219674</v>
      </c>
      <c r="DW20" s="354">
        <f t="shared" si="79"/>
        <v>0.83086259898351966</v>
      </c>
      <c r="DX20" s="354">
        <f t="shared" si="79"/>
        <v>0.83357413443749451</v>
      </c>
      <c r="DY20" s="354">
        <f t="shared" si="79"/>
        <v>0.83462903720583725</v>
      </c>
      <c r="DZ20" s="354">
        <f t="shared" si="79"/>
        <v>0.83714230843095827</v>
      </c>
      <c r="EA20" s="354">
        <f t="shared" si="79"/>
        <v>0.83908667987536112</v>
      </c>
      <c r="EB20" s="354">
        <f t="shared" si="79"/>
        <v>0.8400443520927553</v>
      </c>
      <c r="EC20" s="354">
        <f t="shared" si="79"/>
        <v>0.84310590525181606</v>
      </c>
      <c r="ED20" s="354">
        <f t="shared" si="79"/>
        <v>0.84387121462489778</v>
      </c>
      <c r="EE20" s="354">
        <f t="shared" si="79"/>
        <v>0.84674635254931219</v>
      </c>
      <c r="EF20" s="354">
        <f t="shared" si="79"/>
        <v>0.84943884592349561</v>
      </c>
      <c r="EG20" s="354">
        <f t="shared" si="79"/>
        <v>0.85170618453994962</v>
      </c>
      <c r="EH20" s="354">
        <f t="shared" si="79"/>
        <v>0.85419245723850534</v>
      </c>
      <c r="EI20" s="354">
        <f t="shared" si="79"/>
        <v>0.85442671809256665</v>
      </c>
      <c r="EJ20" s="354">
        <f t="shared" si="79"/>
        <v>0.86160997790027183</v>
      </c>
      <c r="EK20" s="354">
        <f t="shared" si="79"/>
        <v>0.86143629766550289</v>
      </c>
      <c r="EL20" s="354">
        <f t="shared" si="79"/>
        <v>0.86231126497454968</v>
      </c>
      <c r="EM20" s="354">
        <f t="shared" si="79"/>
        <v>0.86369091501363005</v>
      </c>
      <c r="EN20" s="354">
        <f t="shared" si="79"/>
        <v>0.86499794829708654</v>
      </c>
      <c r="EO20" s="354">
        <f t="shared" si="79"/>
        <v>0.86698173457657424</v>
      </c>
      <c r="EP20" s="354">
        <f t="shared" si="79"/>
        <v>0.86814784408298695</v>
      </c>
      <c r="EQ20" s="354">
        <f t="shared" si="79"/>
        <v>0.86752086728675748</v>
      </c>
      <c r="ER20" s="354">
        <f t="shared" si="79"/>
        <v>0.8751614105330664</v>
      </c>
      <c r="ES20" s="354">
        <f t="shared" si="79"/>
        <v>0.8739065298250448</v>
      </c>
      <c r="ET20" s="354">
        <f t="shared" si="79"/>
        <v>0.87464853535095344</v>
      </c>
      <c r="EU20" s="354">
        <f t="shared" si="79"/>
        <v>0.87569757663787173</v>
      </c>
      <c r="EV20" s="354">
        <f t="shared" si="79"/>
        <v>0.87557568379742745</v>
      </c>
      <c r="EW20" s="354">
        <f t="shared" si="79"/>
        <v>0.87771498833576167</v>
      </c>
      <c r="EX20" s="354">
        <f t="shared" si="79"/>
        <v>0.87835676403737684</v>
      </c>
      <c r="EY20" s="354">
        <f t="shared" si="79"/>
        <v>0.87869129644502686</v>
      </c>
      <c r="EZ20" s="354">
        <f t="shared" si="79"/>
        <v>0.8790168048701904</v>
      </c>
      <c r="FA20" s="354">
        <f t="shared" si="79"/>
        <v>0.88085549113548078</v>
      </c>
      <c r="FB20" s="354">
        <f t="shared" si="79"/>
        <v>0.88171971059345067</v>
      </c>
      <c r="FC20" s="354">
        <f t="shared" si="79"/>
        <v>0.88147073460814995</v>
      </c>
      <c r="FD20" s="354">
        <f t="shared" si="79"/>
        <v>0.88355285772974601</v>
      </c>
      <c r="FE20" s="354">
        <f t="shared" si="79"/>
        <v>0.8851489136728683</v>
      </c>
      <c r="FF20" s="354">
        <f t="shared" si="79"/>
        <v>0.8865273745073593</v>
      </c>
      <c r="FG20" s="354">
        <f t="shared" si="79"/>
        <v>0.88708239410557477</v>
      </c>
      <c r="FH20" s="354">
        <f t="shared" si="79"/>
        <v>0.89013664140593085</v>
      </c>
      <c r="FI20" s="354">
        <f t="shared" si="79"/>
        <v>0.89323081536769855</v>
      </c>
      <c r="FJ20" s="354">
        <f t="shared" si="79"/>
        <v>0.89451930368407462</v>
      </c>
      <c r="FK20" s="354">
        <f t="shared" si="79"/>
        <v>0.89685393258426971</v>
      </c>
      <c r="FL20" s="354">
        <f t="shared" ref="FL20:FT20" si="80">SUM(FL17/FL18)</f>
        <v>0.89846274274674398</v>
      </c>
      <c r="FM20" s="354">
        <f t="shared" si="80"/>
        <v>0.90053231306662229</v>
      </c>
      <c r="FN20" s="354">
        <f t="shared" si="80"/>
        <v>0.90177726804684688</v>
      </c>
      <c r="FO20" s="354">
        <f t="shared" si="80"/>
        <v>0.90398363120093539</v>
      </c>
      <c r="FP20" s="354">
        <f t="shared" si="80"/>
        <v>0.90624018773446147</v>
      </c>
      <c r="FQ20" s="354">
        <f t="shared" si="80"/>
        <v>0.90733901554447149</v>
      </c>
      <c r="FR20" s="354">
        <f t="shared" si="80"/>
        <v>0.90831277503667152</v>
      </c>
      <c r="FS20" s="354">
        <f t="shared" si="80"/>
        <v>0.90950271458548448</v>
      </c>
      <c r="FT20" s="354">
        <f t="shared" si="80"/>
        <v>0.91137427021655415</v>
      </c>
    </row>
    <row r="21" spans="2:176" ht="14.4" customHeight="1" x14ac:dyDescent="0.25">
      <c r="B21" s="179"/>
      <c r="N21" s="20"/>
      <c r="Z21" s="20"/>
      <c r="AL21" s="20"/>
      <c r="AX21" s="20"/>
      <c r="BJ21" s="20"/>
      <c r="BV21" s="20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20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V21" s="302"/>
      <c r="DW21" s="302"/>
      <c r="DX21" s="302"/>
    </row>
    <row r="22" spans="2:176" hidden="1" x14ac:dyDescent="0.25">
      <c r="B22" s="55" t="s">
        <v>49</v>
      </c>
      <c r="C22" s="42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42"/>
      <c r="P22" s="18"/>
      <c r="Q22" s="18"/>
      <c r="R22" s="18"/>
      <c r="S22" s="18"/>
      <c r="T22" s="18"/>
      <c r="Z22" s="20"/>
      <c r="AL22" s="20"/>
      <c r="AX22" s="20"/>
      <c r="BJ22" s="20"/>
      <c r="BV22" s="20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</row>
    <row r="23" spans="2:176" hidden="1" x14ac:dyDescent="0.25">
      <c r="B23" s="55" t="s">
        <v>50</v>
      </c>
      <c r="C23" s="42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42"/>
      <c r="P23" s="18"/>
      <c r="Q23" s="18"/>
      <c r="R23" s="18"/>
      <c r="S23" s="18"/>
      <c r="T23" s="18"/>
      <c r="Z23" s="20"/>
      <c r="AL23" s="20"/>
      <c r="AX23" s="20"/>
      <c r="BJ23" s="20"/>
      <c r="BV23" s="20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</row>
    <row r="24" spans="2:176" s="68" customFormat="1" hidden="1" x14ac:dyDescent="0.25">
      <c r="B24" s="87" t="s">
        <v>1</v>
      </c>
      <c r="C24" s="71">
        <v>326</v>
      </c>
      <c r="D24" s="69">
        <v>315</v>
      </c>
      <c r="E24" s="69">
        <v>284</v>
      </c>
      <c r="F24" s="69">
        <v>272</v>
      </c>
      <c r="G24" s="69">
        <v>258</v>
      </c>
      <c r="H24" s="69">
        <v>243</v>
      </c>
      <c r="I24" s="69">
        <v>238</v>
      </c>
      <c r="J24" s="69">
        <v>231</v>
      </c>
      <c r="K24" s="69">
        <v>221</v>
      </c>
      <c r="L24" s="69">
        <v>250</v>
      </c>
      <c r="M24" s="69">
        <v>206</v>
      </c>
      <c r="N24" s="89">
        <v>205</v>
      </c>
      <c r="O24" s="71">
        <f>193+39</f>
        <v>232</v>
      </c>
      <c r="P24" s="69">
        <f>160+39</f>
        <v>199</v>
      </c>
      <c r="Q24" s="69">
        <f>168+39</f>
        <v>207</v>
      </c>
      <c r="R24" s="69">
        <f>175+20</f>
        <v>195</v>
      </c>
      <c r="S24" s="69">
        <f>175+20</f>
        <v>195</v>
      </c>
      <c r="T24" s="69">
        <f>157+20</f>
        <v>177</v>
      </c>
      <c r="U24" s="68">
        <v>185</v>
      </c>
      <c r="V24" s="68">
        <v>170</v>
      </c>
      <c r="W24" s="68">
        <v>165</v>
      </c>
      <c r="X24" s="68">
        <f>183</f>
        <v>183</v>
      </c>
      <c r="Y24" s="68">
        <v>120</v>
      </c>
      <c r="Z24" s="89">
        <v>145</v>
      </c>
      <c r="AA24" s="68">
        <f>374+18</f>
        <v>392</v>
      </c>
      <c r="AB24" s="68">
        <f>359+13</f>
        <v>372</v>
      </c>
      <c r="AC24" s="68">
        <f>401+16</f>
        <v>417</v>
      </c>
      <c r="AD24" s="68">
        <f>365+15</f>
        <v>380</v>
      </c>
      <c r="AE24" s="68">
        <f>343+13</f>
        <v>356</v>
      </c>
      <c r="AF24" s="68">
        <f>386+14</f>
        <v>400</v>
      </c>
      <c r="AG24" s="68">
        <f>360+18</f>
        <v>378</v>
      </c>
      <c r="AH24" s="68">
        <f>374+4</f>
        <v>378</v>
      </c>
      <c r="AI24" s="68">
        <f>357+4</f>
        <v>361</v>
      </c>
      <c r="AJ24" s="68">
        <f>344</f>
        <v>344</v>
      </c>
      <c r="AK24" s="68">
        <v>339</v>
      </c>
      <c r="AL24" s="89">
        <v>319</v>
      </c>
      <c r="AM24" s="68">
        <v>350</v>
      </c>
      <c r="AN24" s="68">
        <v>316</v>
      </c>
      <c r="AO24" s="68">
        <v>296</v>
      </c>
      <c r="AP24" s="68">
        <f>265</f>
        <v>265</v>
      </c>
      <c r="AQ24" s="68">
        <v>270</v>
      </c>
      <c r="AR24" s="68">
        <v>298</v>
      </c>
      <c r="AS24" s="68">
        <v>247</v>
      </c>
      <c r="AT24" s="68">
        <v>278</v>
      </c>
      <c r="AU24" s="68">
        <v>223</v>
      </c>
      <c r="AV24" s="68">
        <v>229</v>
      </c>
      <c r="AW24" s="68">
        <v>215</v>
      </c>
      <c r="AX24" s="89">
        <v>208</v>
      </c>
      <c r="AY24" s="68">
        <v>235</v>
      </c>
      <c r="AZ24" s="68">
        <v>214</v>
      </c>
      <c r="BA24" s="68">
        <v>268</v>
      </c>
      <c r="BB24" s="68">
        <v>204</v>
      </c>
      <c r="BC24" s="68">
        <v>257</v>
      </c>
      <c r="BD24" s="68">
        <v>242</v>
      </c>
      <c r="BE24" s="68">
        <f>210+4</f>
        <v>214</v>
      </c>
      <c r="BF24" s="68">
        <f>253+3</f>
        <v>256</v>
      </c>
      <c r="BG24" s="68">
        <f>214+3</f>
        <v>217</v>
      </c>
      <c r="BH24" s="68">
        <v>243</v>
      </c>
      <c r="BI24" s="68">
        <v>218</v>
      </c>
      <c r="BJ24" s="89">
        <v>181</v>
      </c>
      <c r="BK24" s="68">
        <f>241+5</f>
        <v>246</v>
      </c>
      <c r="BL24" s="68">
        <f>188+3</f>
        <v>191</v>
      </c>
      <c r="BM24" s="68">
        <f>220+3</f>
        <v>223</v>
      </c>
      <c r="BN24" s="68">
        <f>185+1</f>
        <v>186</v>
      </c>
      <c r="BO24" s="68">
        <f>213+5</f>
        <v>218</v>
      </c>
      <c r="BP24" s="68">
        <f>201+3</f>
        <v>204</v>
      </c>
      <c r="BQ24" s="68">
        <v>206</v>
      </c>
      <c r="BR24" s="68">
        <v>226</v>
      </c>
      <c r="BS24" s="68">
        <v>169</v>
      </c>
      <c r="BT24" s="68">
        <f>193+3</f>
        <v>196</v>
      </c>
      <c r="BU24" s="68">
        <f>191</f>
        <v>191</v>
      </c>
      <c r="BV24" s="89">
        <v>193</v>
      </c>
      <c r="BW24" s="69">
        <f>188</f>
        <v>188</v>
      </c>
      <c r="BX24" s="69">
        <v>188</v>
      </c>
      <c r="BY24" s="69">
        <v>187</v>
      </c>
      <c r="BZ24" s="69">
        <v>184</v>
      </c>
      <c r="CA24" s="69">
        <v>182</v>
      </c>
      <c r="CB24" s="69">
        <v>181</v>
      </c>
      <c r="CC24" s="69">
        <f>181</f>
        <v>181</v>
      </c>
      <c r="CD24" s="69">
        <v>177</v>
      </c>
      <c r="CE24" s="69">
        <v>177</v>
      </c>
      <c r="CF24" s="69">
        <v>177</v>
      </c>
      <c r="CG24" s="69">
        <v>175</v>
      </c>
      <c r="CH24" s="89">
        <v>172</v>
      </c>
      <c r="CI24" s="71">
        <v>170</v>
      </c>
      <c r="CJ24" s="69">
        <v>159</v>
      </c>
      <c r="CK24" s="69">
        <v>163</v>
      </c>
      <c r="CL24" s="69">
        <v>156</v>
      </c>
      <c r="CM24" s="69">
        <v>155</v>
      </c>
      <c r="CN24" s="69">
        <v>153</v>
      </c>
      <c r="CO24" s="69">
        <v>154</v>
      </c>
      <c r="CP24" s="69">
        <v>97</v>
      </c>
      <c r="CQ24" s="69">
        <v>84</v>
      </c>
      <c r="CR24" s="69">
        <v>84</v>
      </c>
      <c r="CS24" s="69">
        <v>84</v>
      </c>
      <c r="CT24" s="89">
        <v>83</v>
      </c>
      <c r="CU24" s="69">
        <v>77</v>
      </c>
      <c r="CV24" s="69">
        <v>80</v>
      </c>
      <c r="CW24" s="69">
        <v>80</v>
      </c>
      <c r="CX24" s="69">
        <v>79</v>
      </c>
      <c r="CY24" s="69">
        <v>78</v>
      </c>
      <c r="CZ24" s="69">
        <v>79</v>
      </c>
      <c r="DA24" s="69">
        <v>82</v>
      </c>
      <c r="DB24" s="69">
        <v>76</v>
      </c>
      <c r="DC24" s="69">
        <v>79</v>
      </c>
      <c r="DD24" s="69">
        <v>74</v>
      </c>
      <c r="DE24" s="69">
        <v>75</v>
      </c>
      <c r="DF24" s="89">
        <v>75</v>
      </c>
      <c r="DG24" s="68">
        <v>63</v>
      </c>
      <c r="DH24" s="68">
        <v>57</v>
      </c>
      <c r="DI24" s="68">
        <v>55</v>
      </c>
      <c r="DJ24" s="68">
        <v>53</v>
      </c>
      <c r="DK24" s="68">
        <v>52</v>
      </c>
      <c r="DL24" s="68">
        <v>54</v>
      </c>
      <c r="DM24" s="68">
        <v>51</v>
      </c>
      <c r="DN24" s="68">
        <v>45</v>
      </c>
      <c r="DO24" s="68">
        <v>29</v>
      </c>
      <c r="DP24" s="68">
        <v>29</v>
      </c>
      <c r="DQ24" s="68">
        <v>32</v>
      </c>
      <c r="DR24" s="68">
        <v>28</v>
      </c>
      <c r="DS24" s="68">
        <v>33</v>
      </c>
      <c r="DT24" s="68">
        <v>26</v>
      </c>
      <c r="DU24" s="68">
        <v>34</v>
      </c>
      <c r="DV24" s="351">
        <v>34</v>
      </c>
      <c r="DW24" s="351">
        <v>33</v>
      </c>
      <c r="DX24" s="351">
        <v>32</v>
      </c>
      <c r="DY24" s="68">
        <v>32</v>
      </c>
      <c r="DZ24" s="297">
        <v>32</v>
      </c>
      <c r="EA24" s="68">
        <v>34</v>
      </c>
      <c r="EB24" s="68">
        <v>29</v>
      </c>
      <c r="EC24" s="68">
        <v>24</v>
      </c>
      <c r="ED24" s="68">
        <v>23</v>
      </c>
      <c r="EE24" s="68">
        <v>21</v>
      </c>
      <c r="EF24" s="68">
        <v>22</v>
      </c>
      <c r="EG24" s="68">
        <v>23</v>
      </c>
      <c r="EH24" s="68">
        <v>19</v>
      </c>
      <c r="EI24" s="68">
        <v>19</v>
      </c>
      <c r="EJ24" s="68">
        <v>19</v>
      </c>
      <c r="EK24" s="68">
        <v>19</v>
      </c>
      <c r="EL24" s="68">
        <v>19</v>
      </c>
      <c r="EM24" s="68">
        <v>20</v>
      </c>
      <c r="EN24" s="68">
        <v>20</v>
      </c>
      <c r="EO24" s="68">
        <v>21</v>
      </c>
      <c r="EP24" s="68">
        <v>21</v>
      </c>
      <c r="EQ24" s="68">
        <f>19</f>
        <v>19</v>
      </c>
      <c r="ER24" s="68">
        <f>18</f>
        <v>18</v>
      </c>
      <c r="ES24" s="68">
        <v>18</v>
      </c>
      <c r="ET24" s="68">
        <v>18</v>
      </c>
      <c r="EU24" s="68">
        <v>18</v>
      </c>
      <c r="EV24" s="68">
        <v>18</v>
      </c>
      <c r="EW24" s="68">
        <v>18</v>
      </c>
      <c r="EX24" s="68">
        <v>17</v>
      </c>
      <c r="EY24" s="68">
        <v>17</v>
      </c>
      <c r="EZ24" s="68">
        <v>17</v>
      </c>
      <c r="FA24" s="68">
        <v>17</v>
      </c>
      <c r="FB24" s="68">
        <v>17</v>
      </c>
      <c r="FC24" s="68">
        <v>17</v>
      </c>
      <c r="FD24" s="68">
        <v>17</v>
      </c>
      <c r="FE24" s="68">
        <v>17</v>
      </c>
      <c r="FF24" s="68">
        <v>17</v>
      </c>
      <c r="FG24" s="68">
        <v>17</v>
      </c>
      <c r="FH24" s="68">
        <v>17</v>
      </c>
      <c r="FI24" s="68">
        <v>16</v>
      </c>
      <c r="FJ24" s="68">
        <v>16</v>
      </c>
      <c r="FK24" s="68">
        <v>15</v>
      </c>
      <c r="FL24" s="68">
        <v>18</v>
      </c>
      <c r="FM24" s="68">
        <v>12</v>
      </c>
      <c r="FN24" s="68">
        <v>11</v>
      </c>
      <c r="FO24" s="68">
        <v>11</v>
      </c>
      <c r="FP24" s="68">
        <v>11</v>
      </c>
      <c r="FQ24" s="68">
        <v>11</v>
      </c>
      <c r="FR24" s="68">
        <v>11</v>
      </c>
      <c r="FS24" s="68">
        <v>12</v>
      </c>
      <c r="FT24" s="68">
        <v>14</v>
      </c>
    </row>
    <row r="25" spans="2:176" s="68" customFormat="1" ht="13.8" hidden="1" thickBot="1" x14ac:dyDescent="0.3">
      <c r="B25" s="90" t="s">
        <v>8</v>
      </c>
      <c r="C25" s="72">
        <v>124</v>
      </c>
      <c r="D25" s="92">
        <v>190</v>
      </c>
      <c r="E25" s="92">
        <v>207</v>
      </c>
      <c r="F25" s="92">
        <v>218</v>
      </c>
      <c r="G25" s="92">
        <v>249</v>
      </c>
      <c r="H25" s="92">
        <v>255</v>
      </c>
      <c r="I25" s="92">
        <v>262</v>
      </c>
      <c r="J25" s="92">
        <v>275</v>
      </c>
      <c r="K25" s="92">
        <v>273</v>
      </c>
      <c r="L25" s="92">
        <v>332</v>
      </c>
      <c r="M25" s="92">
        <v>338</v>
      </c>
      <c r="N25" s="93">
        <v>319</v>
      </c>
      <c r="O25" s="72">
        <f>350+6</f>
        <v>356</v>
      </c>
      <c r="P25" s="92">
        <f>326+2</f>
        <v>328</v>
      </c>
      <c r="Q25" s="92">
        <f>354+2</f>
        <v>356</v>
      </c>
      <c r="R25" s="92">
        <f>327+21</f>
        <v>348</v>
      </c>
      <c r="S25" s="92">
        <f>332+20</f>
        <v>352</v>
      </c>
      <c r="T25" s="69">
        <f>330+20</f>
        <v>350</v>
      </c>
      <c r="U25" s="68">
        <f t="shared" ref="U25:Z25" si="81">U26-U24</f>
        <v>378</v>
      </c>
      <c r="V25" s="68">
        <f t="shared" si="81"/>
        <v>389</v>
      </c>
      <c r="W25" s="68">
        <f t="shared" si="81"/>
        <v>380</v>
      </c>
      <c r="X25" s="68">
        <f t="shared" si="81"/>
        <v>432</v>
      </c>
      <c r="Y25" s="68">
        <f t="shared" si="81"/>
        <v>336</v>
      </c>
      <c r="Z25" s="89">
        <f t="shared" si="81"/>
        <v>391</v>
      </c>
      <c r="AA25" s="68">
        <f>429+27</f>
        <v>456</v>
      </c>
      <c r="AB25" s="68">
        <f>383+24</f>
        <v>407</v>
      </c>
      <c r="AC25" s="68">
        <f>508+27</f>
        <v>535</v>
      </c>
      <c r="AD25" s="68">
        <f>433+24</f>
        <v>457</v>
      </c>
      <c r="AE25" s="68">
        <f>444+25</f>
        <v>469</v>
      </c>
      <c r="AF25" s="68">
        <f>462+30</f>
        <v>492</v>
      </c>
      <c r="AG25" s="68">
        <f>476+27</f>
        <v>503</v>
      </c>
      <c r="AH25" s="68">
        <f>480+44</f>
        <v>524</v>
      </c>
      <c r="AI25" s="68">
        <f>431+35</f>
        <v>466</v>
      </c>
      <c r="AJ25" s="68">
        <v>528</v>
      </c>
      <c r="AK25" s="68">
        <v>478</v>
      </c>
      <c r="AL25" s="89">
        <v>492</v>
      </c>
      <c r="AM25" s="68">
        <v>546</v>
      </c>
      <c r="AN25" s="68">
        <v>447</v>
      </c>
      <c r="AO25" s="68">
        <v>595</v>
      </c>
      <c r="AP25" s="68">
        <f>519+36</f>
        <v>555</v>
      </c>
      <c r="AQ25" s="68">
        <f>531+30</f>
        <v>561</v>
      </c>
      <c r="AR25" s="68">
        <f>562+41</f>
        <v>603</v>
      </c>
      <c r="AS25" s="68">
        <v>578</v>
      </c>
      <c r="AT25" s="68">
        <v>695</v>
      </c>
      <c r="AU25" s="68">
        <v>654</v>
      </c>
      <c r="AV25" s="68">
        <f>640</f>
        <v>640</v>
      </c>
      <c r="AW25" s="68">
        <f>585+35</f>
        <v>620</v>
      </c>
      <c r="AX25" s="89">
        <f>582+35</f>
        <v>617</v>
      </c>
      <c r="AY25" s="68">
        <f>597+38</f>
        <v>635</v>
      </c>
      <c r="AZ25" s="68">
        <f>568+28</f>
        <v>596</v>
      </c>
      <c r="BA25" s="68">
        <f>712+58</f>
        <v>770</v>
      </c>
      <c r="BB25" s="68">
        <f>558+31</f>
        <v>589</v>
      </c>
      <c r="BC25" s="68">
        <f>680+40</f>
        <v>720</v>
      </c>
      <c r="BD25" s="68">
        <f>662+45</f>
        <v>707</v>
      </c>
      <c r="BE25" s="68">
        <f>592+35</f>
        <v>627</v>
      </c>
      <c r="BF25" s="68">
        <f>681+42</f>
        <v>723</v>
      </c>
      <c r="BG25" s="68">
        <f>587+36</f>
        <v>623</v>
      </c>
      <c r="BH25" s="68">
        <v>700</v>
      </c>
      <c r="BI25" s="68">
        <v>639</v>
      </c>
      <c r="BJ25" s="89">
        <v>582</v>
      </c>
      <c r="BK25" s="68">
        <f>644+59</f>
        <v>703</v>
      </c>
      <c r="BL25" s="68">
        <f>613+33</f>
        <v>646</v>
      </c>
      <c r="BM25" s="68">
        <f>701+46</f>
        <v>747</v>
      </c>
      <c r="BN25" s="68">
        <f>611+30</f>
        <v>641</v>
      </c>
      <c r="BO25" s="68">
        <f>691+46</f>
        <v>737</v>
      </c>
      <c r="BP25" s="68">
        <f>666+45</f>
        <v>711</v>
      </c>
      <c r="BQ25" s="68">
        <v>688</v>
      </c>
      <c r="BR25" s="68">
        <v>771</v>
      </c>
      <c r="BS25" s="68">
        <v>625</v>
      </c>
      <c r="BT25" s="68">
        <f>668+39</f>
        <v>707</v>
      </c>
      <c r="BU25" s="68">
        <f>667+39</f>
        <v>706</v>
      </c>
      <c r="BV25" s="89">
        <f>666+39</f>
        <v>705</v>
      </c>
      <c r="BW25" s="69">
        <f>669+38</f>
        <v>707</v>
      </c>
      <c r="BX25" s="69">
        <f>375+39</f>
        <v>414</v>
      </c>
      <c r="BY25" s="69">
        <f>713+39</f>
        <v>752</v>
      </c>
      <c r="BZ25" s="69">
        <v>718</v>
      </c>
      <c r="CA25" s="69">
        <v>713</v>
      </c>
      <c r="CB25" s="69">
        <v>711</v>
      </c>
      <c r="CC25" s="69">
        <v>712</v>
      </c>
      <c r="CD25" s="69">
        <v>715</v>
      </c>
      <c r="CE25" s="69">
        <v>714</v>
      </c>
      <c r="CF25" s="69">
        <v>712</v>
      </c>
      <c r="CG25" s="69">
        <v>715</v>
      </c>
      <c r="CH25" s="89">
        <v>724</v>
      </c>
      <c r="CI25" s="72">
        <f>683+48</f>
        <v>731</v>
      </c>
      <c r="CJ25" s="92">
        <f>698+43</f>
        <v>741</v>
      </c>
      <c r="CK25" s="92">
        <f>695+42</f>
        <v>737</v>
      </c>
      <c r="CL25" s="92">
        <f>693+41</f>
        <v>734</v>
      </c>
      <c r="CM25" s="92">
        <f>693+41</f>
        <v>734</v>
      </c>
      <c r="CN25" s="92">
        <f>702+44</f>
        <v>746</v>
      </c>
      <c r="CO25" s="92">
        <f>697+42</f>
        <v>739</v>
      </c>
      <c r="CP25" s="92">
        <f>753+54</f>
        <v>807</v>
      </c>
      <c r="CQ25" s="92">
        <f>765+46</f>
        <v>811</v>
      </c>
      <c r="CR25" s="92">
        <f>764+42</f>
        <v>806</v>
      </c>
      <c r="CS25" s="92">
        <f>767+50</f>
        <v>817</v>
      </c>
      <c r="CT25" s="93">
        <f>789+49</f>
        <v>838</v>
      </c>
      <c r="CU25" s="91">
        <f>699+39</f>
        <v>738</v>
      </c>
      <c r="CV25" s="92">
        <f>787+50</f>
        <v>837</v>
      </c>
      <c r="CW25" s="92">
        <f>789+43</f>
        <v>832</v>
      </c>
      <c r="CX25" s="92">
        <f>788+46</f>
        <v>834</v>
      </c>
      <c r="CY25" s="92">
        <f>781+43</f>
        <v>824</v>
      </c>
      <c r="CZ25" s="276">
        <f>778+47</f>
        <v>825</v>
      </c>
      <c r="DA25" s="92">
        <f>795+44</f>
        <v>839</v>
      </c>
      <c r="DB25" s="92">
        <f>750+45</f>
        <v>795</v>
      </c>
      <c r="DC25" s="92">
        <f>779+46</f>
        <v>825</v>
      </c>
      <c r="DD25" s="92">
        <f>741+45</f>
        <v>786</v>
      </c>
      <c r="DE25" s="92">
        <f>751+44</f>
        <v>795</v>
      </c>
      <c r="DF25" s="93">
        <f>787+41</f>
        <v>828</v>
      </c>
      <c r="DG25" s="68">
        <f>656+31</f>
        <v>687</v>
      </c>
      <c r="DH25" s="68">
        <f>763+38</f>
        <v>801</v>
      </c>
      <c r="DI25" s="68">
        <f>767+35</f>
        <v>802</v>
      </c>
      <c r="DJ25" s="68">
        <f>701+32</f>
        <v>733</v>
      </c>
      <c r="DK25" s="68">
        <f>682+32</f>
        <v>714</v>
      </c>
      <c r="DL25" s="68">
        <f>763+29</f>
        <v>792</v>
      </c>
      <c r="DM25" s="68">
        <f>707+29</f>
        <v>736</v>
      </c>
      <c r="DN25" s="68">
        <f>770+29</f>
        <v>799</v>
      </c>
      <c r="DO25" s="68">
        <f>739+27</f>
        <v>766</v>
      </c>
      <c r="DP25" s="68">
        <f>724+27</f>
        <v>751</v>
      </c>
      <c r="DQ25" s="68">
        <f>753+25</f>
        <v>778</v>
      </c>
      <c r="DR25" s="68">
        <f>625+24</f>
        <v>649</v>
      </c>
      <c r="DS25" s="68">
        <f>742+28</f>
        <v>770</v>
      </c>
      <c r="DT25" s="68">
        <f>770+37</f>
        <v>807</v>
      </c>
      <c r="DU25" s="68">
        <f>820+38</f>
        <v>858</v>
      </c>
      <c r="DV25" s="351">
        <f>819+40</f>
        <v>859</v>
      </c>
      <c r="DW25" s="351">
        <f>816+39</f>
        <v>855</v>
      </c>
      <c r="DX25" s="351">
        <f>826+39</f>
        <v>865</v>
      </c>
      <c r="DY25" s="351">
        <f>884+39</f>
        <v>923</v>
      </c>
      <c r="DZ25" s="351">
        <f>842+39</f>
        <v>881</v>
      </c>
      <c r="EA25" s="351">
        <f>822+38</f>
        <v>860</v>
      </c>
      <c r="EB25" s="351">
        <f>827+42</f>
        <v>869</v>
      </c>
      <c r="EC25" s="351">
        <f>829+39</f>
        <v>868</v>
      </c>
      <c r="ED25" s="351">
        <f>836+40</f>
        <v>876</v>
      </c>
      <c r="EE25" s="351">
        <f>831+40</f>
        <v>871</v>
      </c>
      <c r="EF25" s="351">
        <f>843+41</f>
        <v>884</v>
      </c>
      <c r="EG25" s="351">
        <f>831+42</f>
        <v>873</v>
      </c>
      <c r="EH25" s="351">
        <f>822+40</f>
        <v>862</v>
      </c>
      <c r="EI25" s="351">
        <f>836+42</f>
        <v>878</v>
      </c>
      <c r="EJ25" s="351">
        <f>836+42</f>
        <v>878</v>
      </c>
      <c r="EK25" s="351">
        <f>838+42</f>
        <v>880</v>
      </c>
      <c r="EL25" s="351">
        <f>841+42</f>
        <v>883</v>
      </c>
      <c r="EM25" s="351">
        <f>852+42</f>
        <v>894</v>
      </c>
      <c r="EN25" s="352">
        <f>846+43</f>
        <v>889</v>
      </c>
      <c r="EO25" s="352">
        <f>846+45</f>
        <v>891</v>
      </c>
      <c r="EP25" s="352">
        <f>831+40</f>
        <v>871</v>
      </c>
      <c r="EQ25" s="352">
        <f>816+42</f>
        <v>858</v>
      </c>
      <c r="ER25" s="352">
        <f>835+41</f>
        <v>876</v>
      </c>
      <c r="ES25" s="352">
        <f>802+41</f>
        <v>843</v>
      </c>
      <c r="ET25" s="352">
        <f>856+43</f>
        <v>899</v>
      </c>
      <c r="EU25" s="352">
        <f>853+43</f>
        <v>896</v>
      </c>
      <c r="EV25" s="352">
        <f>856+43</f>
        <v>899</v>
      </c>
      <c r="EW25" s="352">
        <f>852+45</f>
        <v>897</v>
      </c>
      <c r="EX25" s="352">
        <f>850+44</f>
        <v>894</v>
      </c>
      <c r="EY25" s="352">
        <f>850+43</f>
        <v>893</v>
      </c>
      <c r="EZ25" s="68">
        <f>851+46</f>
        <v>897</v>
      </c>
      <c r="FA25" s="68">
        <f>855+44</f>
        <v>899</v>
      </c>
      <c r="FB25" s="68">
        <f>863+45</f>
        <v>908</v>
      </c>
      <c r="FC25" s="92">
        <f>848+47</f>
        <v>895</v>
      </c>
      <c r="FD25" s="92">
        <f>857+45</f>
        <v>902</v>
      </c>
      <c r="FE25" s="92">
        <f>860+45</f>
        <v>905</v>
      </c>
      <c r="FF25" s="92">
        <f>852+45</f>
        <v>897</v>
      </c>
      <c r="FG25" s="92">
        <f>852+45</f>
        <v>897</v>
      </c>
      <c r="FH25" s="92">
        <f>859+45</f>
        <v>904</v>
      </c>
      <c r="FI25" s="92">
        <f>864+45</f>
        <v>909</v>
      </c>
      <c r="FJ25" s="92">
        <f>866+45</f>
        <v>911</v>
      </c>
      <c r="FK25" s="92">
        <f t="shared" ref="FK25" si="82">859+45</f>
        <v>904</v>
      </c>
      <c r="FL25" s="92">
        <f>861+45</f>
        <v>906</v>
      </c>
      <c r="FM25" s="92">
        <f>862+58</f>
        <v>920</v>
      </c>
      <c r="FN25" s="92">
        <f>868+47</f>
        <v>915</v>
      </c>
      <c r="FO25" s="92">
        <f>869+50</f>
        <v>919</v>
      </c>
      <c r="FP25" s="92">
        <f>934+53</f>
        <v>987</v>
      </c>
      <c r="FQ25" s="92">
        <f>875+51</f>
        <v>926</v>
      </c>
      <c r="FR25" s="92">
        <f>872+51</f>
        <v>923</v>
      </c>
      <c r="FS25" s="92">
        <f>874+51</f>
        <v>925</v>
      </c>
      <c r="FT25" s="92">
        <f>907+51</f>
        <v>958</v>
      </c>
    </row>
    <row r="26" spans="2:176" s="68" customFormat="1" ht="13.8" hidden="1" thickTop="1" x14ac:dyDescent="0.25">
      <c r="B26" s="87" t="s">
        <v>9</v>
      </c>
      <c r="C26" s="106">
        <f t="shared" ref="C26:Q26" si="83">SUM(C24:C25)</f>
        <v>450</v>
      </c>
      <c r="D26" s="94">
        <f t="shared" si="83"/>
        <v>505</v>
      </c>
      <c r="E26" s="94">
        <f t="shared" si="83"/>
        <v>491</v>
      </c>
      <c r="F26" s="94">
        <f t="shared" si="83"/>
        <v>490</v>
      </c>
      <c r="G26" s="94">
        <f t="shared" si="83"/>
        <v>507</v>
      </c>
      <c r="H26" s="94">
        <f t="shared" si="83"/>
        <v>498</v>
      </c>
      <c r="I26" s="94">
        <f t="shared" si="83"/>
        <v>500</v>
      </c>
      <c r="J26" s="94">
        <f t="shared" si="83"/>
        <v>506</v>
      </c>
      <c r="K26" s="94">
        <f t="shared" si="83"/>
        <v>494</v>
      </c>
      <c r="L26" s="94">
        <f t="shared" si="83"/>
        <v>582</v>
      </c>
      <c r="M26" s="94">
        <f t="shared" si="83"/>
        <v>544</v>
      </c>
      <c r="N26" s="107">
        <f t="shared" si="83"/>
        <v>524</v>
      </c>
      <c r="O26" s="106">
        <f t="shared" si="83"/>
        <v>588</v>
      </c>
      <c r="P26" s="94">
        <f t="shared" si="83"/>
        <v>527</v>
      </c>
      <c r="Q26" s="94">
        <f t="shared" si="83"/>
        <v>563</v>
      </c>
      <c r="R26" s="94">
        <f>SUM(R24:R25)</f>
        <v>543</v>
      </c>
      <c r="S26" s="94">
        <f>SUM(S24:S25)</f>
        <v>547</v>
      </c>
      <c r="T26" s="95">
        <f>SUM(T24:T25)</f>
        <v>527</v>
      </c>
      <c r="U26" s="95">
        <v>563</v>
      </c>
      <c r="V26" s="95">
        <v>559</v>
      </c>
      <c r="W26" s="95">
        <v>545</v>
      </c>
      <c r="X26" s="95">
        <f>571+44</f>
        <v>615</v>
      </c>
      <c r="Y26" s="95">
        <f>418+38</f>
        <v>456</v>
      </c>
      <c r="Z26" s="107">
        <f>499+37</f>
        <v>536</v>
      </c>
      <c r="AA26" s="95">
        <f t="shared" ref="AA26:AF26" si="84">SUM(AA24:AA25)</f>
        <v>848</v>
      </c>
      <c r="AB26" s="95">
        <f t="shared" si="84"/>
        <v>779</v>
      </c>
      <c r="AC26" s="95">
        <f t="shared" si="84"/>
        <v>952</v>
      </c>
      <c r="AD26" s="95">
        <f t="shared" si="84"/>
        <v>837</v>
      </c>
      <c r="AE26" s="95">
        <f t="shared" si="84"/>
        <v>825</v>
      </c>
      <c r="AF26" s="95">
        <f t="shared" si="84"/>
        <v>892</v>
      </c>
      <c r="AG26" s="95">
        <f t="shared" ref="AG26:AL26" si="85">SUM(AG24:AG25)</f>
        <v>881</v>
      </c>
      <c r="AH26" s="95">
        <f t="shared" si="85"/>
        <v>902</v>
      </c>
      <c r="AI26" s="95">
        <f t="shared" si="85"/>
        <v>827</v>
      </c>
      <c r="AJ26" s="95">
        <f t="shared" si="85"/>
        <v>872</v>
      </c>
      <c r="AK26" s="95">
        <f t="shared" si="85"/>
        <v>817</v>
      </c>
      <c r="AL26" s="107">
        <f t="shared" si="85"/>
        <v>811</v>
      </c>
      <c r="AM26" s="95">
        <f t="shared" ref="AM26:AR26" si="86">SUM(AM24:AM25)</f>
        <v>896</v>
      </c>
      <c r="AN26" s="95">
        <f t="shared" si="86"/>
        <v>763</v>
      </c>
      <c r="AO26" s="95">
        <f t="shared" si="86"/>
        <v>891</v>
      </c>
      <c r="AP26" s="95">
        <f t="shared" si="86"/>
        <v>820</v>
      </c>
      <c r="AQ26" s="95">
        <f t="shared" si="86"/>
        <v>831</v>
      </c>
      <c r="AR26" s="95">
        <f t="shared" si="86"/>
        <v>901</v>
      </c>
      <c r="AS26" s="95">
        <f t="shared" ref="AS26:AX26" si="87">SUM(AS24:AS25)</f>
        <v>825</v>
      </c>
      <c r="AT26" s="95">
        <f t="shared" si="87"/>
        <v>973</v>
      </c>
      <c r="AU26" s="95">
        <f t="shared" si="87"/>
        <v>877</v>
      </c>
      <c r="AV26" s="95">
        <f t="shared" si="87"/>
        <v>869</v>
      </c>
      <c r="AW26" s="95">
        <f t="shared" si="87"/>
        <v>835</v>
      </c>
      <c r="AX26" s="107">
        <f t="shared" si="87"/>
        <v>825</v>
      </c>
      <c r="AY26" s="95">
        <f t="shared" ref="AY26:BJ26" si="88">SUM(AY24:AY25)</f>
        <v>870</v>
      </c>
      <c r="AZ26" s="95">
        <f t="shared" si="88"/>
        <v>810</v>
      </c>
      <c r="BA26" s="95">
        <f t="shared" si="88"/>
        <v>1038</v>
      </c>
      <c r="BB26" s="95">
        <f t="shared" si="88"/>
        <v>793</v>
      </c>
      <c r="BC26" s="95">
        <f t="shared" si="88"/>
        <v>977</v>
      </c>
      <c r="BD26" s="95">
        <f t="shared" si="88"/>
        <v>949</v>
      </c>
      <c r="BE26" s="95">
        <f t="shared" si="88"/>
        <v>841</v>
      </c>
      <c r="BF26" s="95">
        <f t="shared" si="88"/>
        <v>979</v>
      </c>
      <c r="BG26" s="95">
        <f t="shared" si="88"/>
        <v>840</v>
      </c>
      <c r="BH26" s="95">
        <f t="shared" si="88"/>
        <v>943</v>
      </c>
      <c r="BI26" s="95">
        <f t="shared" si="88"/>
        <v>857</v>
      </c>
      <c r="BJ26" s="107">
        <f t="shared" si="88"/>
        <v>763</v>
      </c>
      <c r="BK26" s="95">
        <f t="shared" ref="BK26:BV26" si="89">SUM(BK24:BK25)</f>
        <v>949</v>
      </c>
      <c r="BL26" s="95">
        <f t="shared" si="89"/>
        <v>837</v>
      </c>
      <c r="BM26" s="95">
        <f t="shared" si="89"/>
        <v>970</v>
      </c>
      <c r="BN26" s="95">
        <f t="shared" si="89"/>
        <v>827</v>
      </c>
      <c r="BO26" s="95">
        <f t="shared" si="89"/>
        <v>955</v>
      </c>
      <c r="BP26" s="95">
        <f t="shared" si="89"/>
        <v>915</v>
      </c>
      <c r="BQ26" s="95">
        <f t="shared" si="89"/>
        <v>894</v>
      </c>
      <c r="BR26" s="95">
        <f t="shared" si="89"/>
        <v>997</v>
      </c>
      <c r="BS26" s="95">
        <f t="shared" si="89"/>
        <v>794</v>
      </c>
      <c r="BT26" s="95">
        <f t="shared" si="89"/>
        <v>903</v>
      </c>
      <c r="BU26" s="95">
        <f t="shared" si="89"/>
        <v>897</v>
      </c>
      <c r="BV26" s="107">
        <f t="shared" si="89"/>
        <v>898</v>
      </c>
      <c r="BW26" s="95">
        <f t="shared" ref="BW26:CB26" si="90">SUM(BW24:BW25)</f>
        <v>895</v>
      </c>
      <c r="BX26" s="95">
        <f t="shared" si="90"/>
        <v>602</v>
      </c>
      <c r="BY26" s="95">
        <f t="shared" si="90"/>
        <v>939</v>
      </c>
      <c r="BZ26" s="95">
        <f t="shared" si="90"/>
        <v>902</v>
      </c>
      <c r="CA26" s="95">
        <f t="shared" si="90"/>
        <v>895</v>
      </c>
      <c r="CB26" s="95">
        <f t="shared" si="90"/>
        <v>892</v>
      </c>
      <c r="CC26" s="95">
        <f t="shared" ref="CC26:CN26" si="91">SUM(CC24:CC25)</f>
        <v>893</v>
      </c>
      <c r="CD26" s="95">
        <f t="shared" si="91"/>
        <v>892</v>
      </c>
      <c r="CE26" s="95">
        <f t="shared" si="91"/>
        <v>891</v>
      </c>
      <c r="CF26" s="95">
        <f t="shared" si="91"/>
        <v>889</v>
      </c>
      <c r="CG26" s="95">
        <f t="shared" si="91"/>
        <v>890</v>
      </c>
      <c r="CH26" s="107">
        <f t="shared" si="91"/>
        <v>896</v>
      </c>
      <c r="CI26" s="106">
        <f t="shared" si="91"/>
        <v>901</v>
      </c>
      <c r="CJ26" s="94">
        <f t="shared" si="91"/>
        <v>900</v>
      </c>
      <c r="CK26" s="94">
        <f t="shared" si="91"/>
        <v>900</v>
      </c>
      <c r="CL26" s="94">
        <f t="shared" si="91"/>
        <v>890</v>
      </c>
      <c r="CM26" s="94">
        <f t="shared" si="91"/>
        <v>889</v>
      </c>
      <c r="CN26" s="94">
        <f t="shared" si="91"/>
        <v>899</v>
      </c>
      <c r="CO26" s="94">
        <f t="shared" ref="CO26:CT26" si="92">SUM(CO24:CO25)</f>
        <v>893</v>
      </c>
      <c r="CP26" s="94">
        <f t="shared" si="92"/>
        <v>904</v>
      </c>
      <c r="CQ26" s="94">
        <f t="shared" si="92"/>
        <v>895</v>
      </c>
      <c r="CR26" s="94">
        <f t="shared" si="92"/>
        <v>890</v>
      </c>
      <c r="CS26" s="94">
        <f t="shared" si="92"/>
        <v>901</v>
      </c>
      <c r="CT26" s="107">
        <f t="shared" si="92"/>
        <v>921</v>
      </c>
      <c r="CU26" s="95">
        <f t="shared" ref="CU26:DK26" si="93">SUM(CU24:CU25)</f>
        <v>815</v>
      </c>
      <c r="CV26" s="95">
        <f t="shared" si="93"/>
        <v>917</v>
      </c>
      <c r="CW26" s="95">
        <f t="shared" si="93"/>
        <v>912</v>
      </c>
      <c r="CX26" s="95">
        <f t="shared" si="93"/>
        <v>913</v>
      </c>
      <c r="CY26" s="95">
        <f t="shared" si="93"/>
        <v>902</v>
      </c>
      <c r="CZ26" s="95">
        <f t="shared" si="93"/>
        <v>904</v>
      </c>
      <c r="DA26" s="95">
        <f t="shared" si="93"/>
        <v>921</v>
      </c>
      <c r="DB26" s="95">
        <f t="shared" si="93"/>
        <v>871</v>
      </c>
      <c r="DC26" s="95">
        <f t="shared" si="93"/>
        <v>904</v>
      </c>
      <c r="DD26" s="95">
        <f t="shared" si="93"/>
        <v>860</v>
      </c>
      <c r="DE26" s="95">
        <f t="shared" si="93"/>
        <v>870</v>
      </c>
      <c r="DF26" s="107">
        <f t="shared" si="93"/>
        <v>903</v>
      </c>
      <c r="DG26" s="95">
        <f t="shared" si="93"/>
        <v>750</v>
      </c>
      <c r="DH26" s="95">
        <f t="shared" si="93"/>
        <v>858</v>
      </c>
      <c r="DI26" s="95">
        <f t="shared" si="93"/>
        <v>857</v>
      </c>
      <c r="DJ26" s="95">
        <f t="shared" si="93"/>
        <v>786</v>
      </c>
      <c r="DK26" s="95">
        <f t="shared" si="93"/>
        <v>766</v>
      </c>
      <c r="DL26" s="95">
        <f t="shared" ref="DL26:DU26" si="94">SUM(DL24:DL25)</f>
        <v>846</v>
      </c>
      <c r="DM26" s="95">
        <f t="shared" si="94"/>
        <v>787</v>
      </c>
      <c r="DN26" s="95">
        <f t="shared" si="94"/>
        <v>844</v>
      </c>
      <c r="DO26" s="95">
        <f t="shared" si="94"/>
        <v>795</v>
      </c>
      <c r="DP26" s="95">
        <f t="shared" si="94"/>
        <v>780</v>
      </c>
      <c r="DQ26" s="95">
        <f t="shared" si="94"/>
        <v>810</v>
      </c>
      <c r="DR26" s="95">
        <f t="shared" si="94"/>
        <v>677</v>
      </c>
      <c r="DS26" s="95">
        <f t="shared" si="94"/>
        <v>803</v>
      </c>
      <c r="DT26" s="95">
        <f t="shared" si="94"/>
        <v>833</v>
      </c>
      <c r="DU26" s="95">
        <f t="shared" si="94"/>
        <v>892</v>
      </c>
      <c r="DV26" s="355">
        <f t="shared" ref="DV26:FK26" si="95">SUM(DV24:DV25)</f>
        <v>893</v>
      </c>
      <c r="DW26" s="355">
        <f t="shared" si="95"/>
        <v>888</v>
      </c>
      <c r="DX26" s="355">
        <f t="shared" si="95"/>
        <v>897</v>
      </c>
      <c r="DY26" s="355">
        <f t="shared" si="95"/>
        <v>955</v>
      </c>
      <c r="DZ26" s="355">
        <f t="shared" si="95"/>
        <v>913</v>
      </c>
      <c r="EA26" s="355">
        <f t="shared" si="95"/>
        <v>894</v>
      </c>
      <c r="EB26" s="355">
        <f t="shared" si="95"/>
        <v>898</v>
      </c>
      <c r="EC26" s="355">
        <f t="shared" si="95"/>
        <v>892</v>
      </c>
      <c r="ED26" s="355">
        <f t="shared" si="95"/>
        <v>899</v>
      </c>
      <c r="EE26" s="355">
        <f t="shared" si="95"/>
        <v>892</v>
      </c>
      <c r="EF26" s="355">
        <f t="shared" si="95"/>
        <v>906</v>
      </c>
      <c r="EG26" s="355">
        <f t="shared" si="95"/>
        <v>896</v>
      </c>
      <c r="EH26" s="355">
        <f t="shared" si="95"/>
        <v>881</v>
      </c>
      <c r="EI26" s="355">
        <f t="shared" si="95"/>
        <v>897</v>
      </c>
      <c r="EJ26" s="355">
        <f t="shared" si="95"/>
        <v>897</v>
      </c>
      <c r="EK26" s="355">
        <f t="shared" si="95"/>
        <v>899</v>
      </c>
      <c r="EL26" s="355">
        <f t="shared" si="95"/>
        <v>902</v>
      </c>
      <c r="EM26" s="355">
        <f t="shared" si="95"/>
        <v>914</v>
      </c>
      <c r="EN26" s="355">
        <f t="shared" si="95"/>
        <v>909</v>
      </c>
      <c r="EO26" s="355">
        <f t="shared" si="95"/>
        <v>912</v>
      </c>
      <c r="EP26" s="355">
        <f t="shared" si="95"/>
        <v>892</v>
      </c>
      <c r="EQ26" s="355">
        <f t="shared" si="95"/>
        <v>877</v>
      </c>
      <c r="ER26" s="355">
        <f t="shared" si="95"/>
        <v>894</v>
      </c>
      <c r="ES26" s="355">
        <f t="shared" si="95"/>
        <v>861</v>
      </c>
      <c r="ET26" s="355">
        <f t="shared" si="95"/>
        <v>917</v>
      </c>
      <c r="EU26" s="355">
        <f t="shared" si="95"/>
        <v>914</v>
      </c>
      <c r="EV26" s="355">
        <f t="shared" si="95"/>
        <v>917</v>
      </c>
      <c r="EW26" s="355">
        <f t="shared" si="95"/>
        <v>915</v>
      </c>
      <c r="EX26" s="355">
        <f t="shared" si="95"/>
        <v>911</v>
      </c>
      <c r="EY26" s="355">
        <f t="shared" si="95"/>
        <v>910</v>
      </c>
      <c r="EZ26" s="355">
        <f t="shared" si="95"/>
        <v>914</v>
      </c>
      <c r="FA26" s="355">
        <f t="shared" si="95"/>
        <v>916</v>
      </c>
      <c r="FB26" s="355">
        <f t="shared" si="95"/>
        <v>925</v>
      </c>
      <c r="FC26" s="355">
        <f t="shared" si="95"/>
        <v>912</v>
      </c>
      <c r="FD26" s="355">
        <f t="shared" si="95"/>
        <v>919</v>
      </c>
      <c r="FE26" s="355">
        <f t="shared" si="95"/>
        <v>922</v>
      </c>
      <c r="FF26" s="355">
        <f t="shared" si="95"/>
        <v>914</v>
      </c>
      <c r="FG26" s="355">
        <f t="shared" si="95"/>
        <v>914</v>
      </c>
      <c r="FH26" s="355">
        <f t="shared" si="95"/>
        <v>921</v>
      </c>
      <c r="FI26" s="355">
        <f t="shared" si="95"/>
        <v>925</v>
      </c>
      <c r="FJ26" s="355">
        <f t="shared" si="95"/>
        <v>927</v>
      </c>
      <c r="FK26" s="355">
        <f t="shared" si="95"/>
        <v>919</v>
      </c>
      <c r="FL26" s="355">
        <f t="shared" ref="FL26:FQ26" si="96">SUM(FL24:FL25)</f>
        <v>924</v>
      </c>
      <c r="FM26" s="355">
        <f t="shared" si="96"/>
        <v>932</v>
      </c>
      <c r="FN26" s="355">
        <f t="shared" si="96"/>
        <v>926</v>
      </c>
      <c r="FO26" s="355">
        <f t="shared" si="96"/>
        <v>930</v>
      </c>
      <c r="FP26" s="355">
        <f t="shared" si="96"/>
        <v>998</v>
      </c>
      <c r="FQ26" s="355">
        <f t="shared" si="96"/>
        <v>937</v>
      </c>
      <c r="FR26" s="355">
        <f t="shared" ref="FR26:FT26" si="97">SUM(FR24:FR25)</f>
        <v>934</v>
      </c>
      <c r="FS26" s="355">
        <f t="shared" si="97"/>
        <v>937</v>
      </c>
      <c r="FT26" s="355">
        <f t="shared" si="97"/>
        <v>972</v>
      </c>
    </row>
    <row r="27" spans="2:176" hidden="1" x14ac:dyDescent="0.25">
      <c r="B27" s="3" t="s">
        <v>10</v>
      </c>
      <c r="C27" s="36">
        <f t="shared" ref="C27:Q27" si="98">SUM(C24)/C26</f>
        <v>0.72444444444444445</v>
      </c>
      <c r="D27" s="14">
        <f t="shared" si="98"/>
        <v>0.62376237623762376</v>
      </c>
      <c r="E27" s="14">
        <f t="shared" si="98"/>
        <v>0.57841140529531565</v>
      </c>
      <c r="F27" s="14">
        <f t="shared" si="98"/>
        <v>0.55510204081632653</v>
      </c>
      <c r="G27" s="14">
        <f t="shared" si="98"/>
        <v>0.50887573964497046</v>
      </c>
      <c r="H27" s="14">
        <f t="shared" si="98"/>
        <v>0.48795180722891568</v>
      </c>
      <c r="I27" s="14">
        <f t="shared" si="98"/>
        <v>0.47599999999999998</v>
      </c>
      <c r="J27" s="14">
        <f t="shared" si="98"/>
        <v>0.45652173913043476</v>
      </c>
      <c r="K27" s="14">
        <f t="shared" si="98"/>
        <v>0.44736842105263158</v>
      </c>
      <c r="L27" s="14">
        <f t="shared" si="98"/>
        <v>0.42955326460481097</v>
      </c>
      <c r="M27" s="14">
        <f t="shared" si="98"/>
        <v>0.37867647058823528</v>
      </c>
      <c r="N27" s="23">
        <f t="shared" si="98"/>
        <v>0.39122137404580154</v>
      </c>
      <c r="O27" s="36">
        <f t="shared" si="98"/>
        <v>0.39455782312925169</v>
      </c>
      <c r="P27" s="14">
        <f t="shared" si="98"/>
        <v>0.3776091081593928</v>
      </c>
      <c r="Q27" s="14">
        <f t="shared" si="98"/>
        <v>0.36767317939609234</v>
      </c>
      <c r="R27" s="14">
        <f t="shared" ref="R27:W27" si="99">SUM(R24)/R26</f>
        <v>0.35911602209944754</v>
      </c>
      <c r="S27" s="14">
        <f t="shared" si="99"/>
        <v>0.35648994515539306</v>
      </c>
      <c r="T27" s="14">
        <f t="shared" si="99"/>
        <v>0.33586337760910817</v>
      </c>
      <c r="U27" s="14">
        <f t="shared" si="99"/>
        <v>0.32859680284191828</v>
      </c>
      <c r="V27" s="14">
        <f t="shared" si="99"/>
        <v>0.30411449016100178</v>
      </c>
      <c r="W27" s="14">
        <f t="shared" si="99"/>
        <v>0.30275229357798167</v>
      </c>
      <c r="X27" s="14">
        <f t="shared" ref="X27:AC27" si="100">SUM(X24)/X26</f>
        <v>0.29756097560975608</v>
      </c>
      <c r="Y27" s="14">
        <f t="shared" si="100"/>
        <v>0.26315789473684209</v>
      </c>
      <c r="Z27" s="23">
        <f t="shared" si="100"/>
        <v>0.27052238805970147</v>
      </c>
      <c r="AA27" s="14">
        <f t="shared" si="100"/>
        <v>0.46226415094339623</v>
      </c>
      <c r="AB27" s="14">
        <f t="shared" si="100"/>
        <v>0.47753530166880614</v>
      </c>
      <c r="AC27" s="14">
        <f t="shared" si="100"/>
        <v>0.43802521008403361</v>
      </c>
      <c r="AD27" s="14">
        <f t="shared" ref="AD27:AI27" si="101">SUM(AD24)/AD26</f>
        <v>0.45400238948626043</v>
      </c>
      <c r="AE27" s="14">
        <f t="shared" si="101"/>
        <v>0.43151515151515152</v>
      </c>
      <c r="AF27" s="14">
        <f t="shared" si="101"/>
        <v>0.44843049327354262</v>
      </c>
      <c r="AG27" s="14">
        <f t="shared" si="101"/>
        <v>0.42905788876276957</v>
      </c>
      <c r="AH27" s="14">
        <f t="shared" si="101"/>
        <v>0.41906873614190687</v>
      </c>
      <c r="AI27" s="14">
        <f t="shared" si="101"/>
        <v>0.43651753325272069</v>
      </c>
      <c r="AJ27" s="14">
        <f t="shared" ref="AJ27:AO27" si="102">SUM(AJ24)/AJ26</f>
        <v>0.39449541284403672</v>
      </c>
      <c r="AK27" s="14">
        <f t="shared" si="102"/>
        <v>0.4149326805385557</v>
      </c>
      <c r="AL27" s="23">
        <f t="shared" si="102"/>
        <v>0.39334155363748458</v>
      </c>
      <c r="AM27" s="14">
        <f t="shared" si="102"/>
        <v>0.390625</v>
      </c>
      <c r="AN27" s="14">
        <f t="shared" si="102"/>
        <v>0.41415465268676277</v>
      </c>
      <c r="AO27" s="14">
        <f t="shared" si="102"/>
        <v>0.33221099887766553</v>
      </c>
      <c r="AP27" s="14">
        <f t="shared" ref="AP27:AU27" si="103">SUM(AP24)/AP26</f>
        <v>0.32317073170731708</v>
      </c>
      <c r="AQ27" s="14">
        <f t="shared" si="103"/>
        <v>0.32490974729241878</v>
      </c>
      <c r="AR27" s="14">
        <f t="shared" si="103"/>
        <v>0.33074361820199777</v>
      </c>
      <c r="AS27" s="14">
        <f t="shared" si="103"/>
        <v>0.29939393939393938</v>
      </c>
      <c r="AT27" s="14">
        <f t="shared" si="103"/>
        <v>0.2857142857142857</v>
      </c>
      <c r="AU27" s="14">
        <f t="shared" si="103"/>
        <v>0.25427594070695553</v>
      </c>
      <c r="AV27" s="14">
        <f t="shared" ref="AV27:BJ27" si="104">SUM(AV24)/AV26</f>
        <v>0.26352128883774456</v>
      </c>
      <c r="AW27" s="14">
        <f t="shared" si="104"/>
        <v>0.25748502994011974</v>
      </c>
      <c r="AX27" s="23">
        <f t="shared" si="104"/>
        <v>0.25212121212121213</v>
      </c>
      <c r="AY27" s="14">
        <f t="shared" si="104"/>
        <v>0.27011494252873564</v>
      </c>
      <c r="AZ27" s="14">
        <f t="shared" si="104"/>
        <v>0.26419753086419751</v>
      </c>
      <c r="BA27" s="14">
        <f t="shared" si="104"/>
        <v>0.25818882466281312</v>
      </c>
      <c r="BB27" s="14">
        <f t="shared" si="104"/>
        <v>0.25725094577553592</v>
      </c>
      <c r="BC27" s="14">
        <f t="shared" si="104"/>
        <v>0.26305015353121802</v>
      </c>
      <c r="BD27" s="14">
        <f t="shared" si="104"/>
        <v>0.25500526870389884</v>
      </c>
      <c r="BE27" s="14">
        <f t="shared" si="104"/>
        <v>0.25445897740784779</v>
      </c>
      <c r="BF27" s="14">
        <f t="shared" si="104"/>
        <v>0.26149131767109296</v>
      </c>
      <c r="BG27" s="14">
        <f t="shared" si="104"/>
        <v>0.25833333333333336</v>
      </c>
      <c r="BH27" s="14">
        <f t="shared" si="104"/>
        <v>0.25768822905620359</v>
      </c>
      <c r="BI27" s="14">
        <f t="shared" si="104"/>
        <v>0.25437572928821472</v>
      </c>
      <c r="BJ27" s="23">
        <f t="shared" si="104"/>
        <v>0.23722149410222804</v>
      </c>
      <c r="BK27" s="14">
        <f t="shared" ref="BK27:BV27" si="105">SUM(BK24)/BK26</f>
        <v>0.25922023182297155</v>
      </c>
      <c r="BL27" s="14">
        <f t="shared" si="105"/>
        <v>0.22819593787335724</v>
      </c>
      <c r="BM27" s="14">
        <f t="shared" si="105"/>
        <v>0.22989690721649483</v>
      </c>
      <c r="BN27" s="14">
        <f t="shared" si="105"/>
        <v>0.2249093107617896</v>
      </c>
      <c r="BO27" s="14">
        <f t="shared" si="105"/>
        <v>0.22827225130890053</v>
      </c>
      <c r="BP27" s="14">
        <f t="shared" si="105"/>
        <v>0.22295081967213115</v>
      </c>
      <c r="BQ27" s="14">
        <f t="shared" si="105"/>
        <v>0.23042505592841164</v>
      </c>
      <c r="BR27" s="14">
        <f t="shared" si="105"/>
        <v>0.22668004012036108</v>
      </c>
      <c r="BS27" s="14">
        <f t="shared" si="105"/>
        <v>0.2128463476070529</v>
      </c>
      <c r="BT27" s="14">
        <f t="shared" si="105"/>
        <v>0.21705426356589147</v>
      </c>
      <c r="BU27" s="14">
        <f t="shared" si="105"/>
        <v>0.2129319955406912</v>
      </c>
      <c r="BV27" s="23">
        <f t="shared" si="105"/>
        <v>0.21492204899777284</v>
      </c>
      <c r="BW27" s="14">
        <f t="shared" ref="BW27:CB27" si="106">SUM(BW24)/BW26</f>
        <v>0.21005586592178771</v>
      </c>
      <c r="BX27" s="14">
        <f t="shared" si="106"/>
        <v>0.3122923588039867</v>
      </c>
      <c r="BY27" s="14">
        <f t="shared" si="106"/>
        <v>0.19914802981895632</v>
      </c>
      <c r="BZ27" s="14">
        <f t="shared" si="106"/>
        <v>0.2039911308203991</v>
      </c>
      <c r="CA27" s="14">
        <f t="shared" si="106"/>
        <v>0.20335195530726258</v>
      </c>
      <c r="CB27" s="14">
        <f t="shared" si="106"/>
        <v>0.20291479820627803</v>
      </c>
      <c r="CC27" s="14">
        <f t="shared" ref="CC27:DK27" si="107">SUM(CC24)/CC26</f>
        <v>0.2026875699888018</v>
      </c>
      <c r="CD27" s="14">
        <f t="shared" si="107"/>
        <v>0.19843049327354259</v>
      </c>
      <c r="CE27" s="14">
        <f t="shared" si="107"/>
        <v>0.19865319865319866</v>
      </c>
      <c r="CF27" s="14">
        <f t="shared" si="107"/>
        <v>0.19910011248593926</v>
      </c>
      <c r="CG27" s="14">
        <f t="shared" si="107"/>
        <v>0.19662921348314608</v>
      </c>
      <c r="CH27" s="23">
        <f t="shared" si="107"/>
        <v>0.19196428571428573</v>
      </c>
      <c r="CI27" s="239">
        <f t="shared" si="107"/>
        <v>0.18867924528301888</v>
      </c>
      <c r="CJ27" s="240">
        <f t="shared" si="107"/>
        <v>0.17666666666666667</v>
      </c>
      <c r="CK27" s="240">
        <f t="shared" si="107"/>
        <v>0.18111111111111111</v>
      </c>
      <c r="CL27" s="240">
        <f t="shared" si="107"/>
        <v>0.1752808988764045</v>
      </c>
      <c r="CM27" s="240">
        <f t="shared" si="107"/>
        <v>0.17435320584926883</v>
      </c>
      <c r="CN27" s="240">
        <f t="shared" si="107"/>
        <v>0.17018909899888765</v>
      </c>
      <c r="CO27" s="240">
        <f t="shared" si="107"/>
        <v>0.17245240761478164</v>
      </c>
      <c r="CP27" s="240">
        <f t="shared" si="107"/>
        <v>0.10730088495575221</v>
      </c>
      <c r="CQ27" s="240">
        <f t="shared" si="107"/>
        <v>9.3854748603351953E-2</v>
      </c>
      <c r="CR27" s="240">
        <f t="shared" si="107"/>
        <v>9.4382022471910118E-2</v>
      </c>
      <c r="CS27" s="240">
        <f t="shared" si="107"/>
        <v>9.3229744728079905E-2</v>
      </c>
      <c r="CT27" s="241">
        <f t="shared" si="107"/>
        <v>9.0119435396308359E-2</v>
      </c>
      <c r="CU27" s="240">
        <f t="shared" si="107"/>
        <v>9.4478527607361959E-2</v>
      </c>
      <c r="CV27" s="240">
        <f t="shared" si="107"/>
        <v>8.7241003271537623E-2</v>
      </c>
      <c r="CW27" s="240">
        <f t="shared" si="107"/>
        <v>8.771929824561403E-2</v>
      </c>
      <c r="CX27" s="240">
        <f t="shared" si="107"/>
        <v>8.6527929901423883E-2</v>
      </c>
      <c r="CY27" s="240">
        <f t="shared" si="107"/>
        <v>8.6474501108647447E-2</v>
      </c>
      <c r="CZ27" s="240">
        <f t="shared" si="107"/>
        <v>8.7389380530973448E-2</v>
      </c>
      <c r="DA27" s="240">
        <f t="shared" si="107"/>
        <v>8.9033659066232354E-2</v>
      </c>
      <c r="DB27" s="240">
        <f t="shared" si="107"/>
        <v>8.7256027554535015E-2</v>
      </c>
      <c r="DC27" s="240">
        <f t="shared" si="107"/>
        <v>8.7389380530973448E-2</v>
      </c>
      <c r="DD27" s="240">
        <f t="shared" si="107"/>
        <v>8.6046511627906982E-2</v>
      </c>
      <c r="DE27" s="240">
        <f t="shared" si="107"/>
        <v>8.6206896551724144E-2</v>
      </c>
      <c r="DF27" s="241">
        <f t="shared" si="107"/>
        <v>8.3056478405315617E-2</v>
      </c>
      <c r="DG27" s="240">
        <f t="shared" si="107"/>
        <v>8.4000000000000005E-2</v>
      </c>
      <c r="DH27" s="240">
        <f t="shared" si="107"/>
        <v>6.6433566433566432E-2</v>
      </c>
      <c r="DI27" s="240">
        <f t="shared" si="107"/>
        <v>6.4177362893815634E-2</v>
      </c>
      <c r="DJ27" s="240">
        <f t="shared" si="107"/>
        <v>6.7430025445292627E-2</v>
      </c>
      <c r="DK27" s="240">
        <f t="shared" si="107"/>
        <v>6.7885117493472591E-2</v>
      </c>
      <c r="DL27" s="240">
        <f t="shared" ref="DL27:FK27" si="108">SUM(DL24)/DL26</f>
        <v>6.3829787234042548E-2</v>
      </c>
      <c r="DM27" s="240">
        <f t="shared" si="108"/>
        <v>6.480304955527319E-2</v>
      </c>
      <c r="DN27" s="240">
        <f t="shared" si="108"/>
        <v>5.3317535545023699E-2</v>
      </c>
      <c r="DO27" s="240">
        <f t="shared" si="108"/>
        <v>3.6477987421383647E-2</v>
      </c>
      <c r="DP27" s="240">
        <f t="shared" si="108"/>
        <v>3.7179487179487179E-2</v>
      </c>
      <c r="DQ27" s="240">
        <f t="shared" si="108"/>
        <v>3.9506172839506172E-2</v>
      </c>
      <c r="DR27" s="240">
        <f t="shared" si="108"/>
        <v>4.1358936484490398E-2</v>
      </c>
      <c r="DS27" s="240">
        <f t="shared" si="108"/>
        <v>4.1095890410958902E-2</v>
      </c>
      <c r="DT27" s="240">
        <f t="shared" si="108"/>
        <v>3.1212484993997598E-2</v>
      </c>
      <c r="DU27" s="240">
        <f t="shared" si="108"/>
        <v>3.811659192825112E-2</v>
      </c>
      <c r="DV27" s="356">
        <f t="shared" si="108"/>
        <v>3.8073908174692049E-2</v>
      </c>
      <c r="DW27" s="356">
        <f t="shared" si="108"/>
        <v>3.7162162162162164E-2</v>
      </c>
      <c r="DX27" s="356">
        <f t="shared" si="108"/>
        <v>3.5674470457079152E-2</v>
      </c>
      <c r="DY27" s="356">
        <f t="shared" si="108"/>
        <v>3.3507853403141365E-2</v>
      </c>
      <c r="DZ27" s="356">
        <f t="shared" si="108"/>
        <v>3.5049288061336253E-2</v>
      </c>
      <c r="EA27" s="356">
        <f t="shared" si="108"/>
        <v>3.803131991051454E-2</v>
      </c>
      <c r="EB27" s="356">
        <f t="shared" si="108"/>
        <v>3.2293986636971049E-2</v>
      </c>
      <c r="EC27" s="356">
        <f t="shared" si="108"/>
        <v>2.6905829596412557E-2</v>
      </c>
      <c r="ED27" s="356">
        <f t="shared" si="108"/>
        <v>2.5583982202447165E-2</v>
      </c>
      <c r="EE27" s="356">
        <f t="shared" si="108"/>
        <v>2.3542600896860985E-2</v>
      </c>
      <c r="EF27" s="356">
        <f t="shared" si="108"/>
        <v>2.4282560706401765E-2</v>
      </c>
      <c r="EG27" s="356">
        <f t="shared" si="108"/>
        <v>2.5669642857142856E-2</v>
      </c>
      <c r="EH27" s="356">
        <f t="shared" si="108"/>
        <v>2.1566401816118047E-2</v>
      </c>
      <c r="EI27" s="356">
        <f t="shared" si="108"/>
        <v>2.1181716833890748E-2</v>
      </c>
      <c r="EJ27" s="356">
        <f t="shared" si="108"/>
        <v>2.1181716833890748E-2</v>
      </c>
      <c r="EK27" s="356">
        <f t="shared" si="108"/>
        <v>2.1134593993325918E-2</v>
      </c>
      <c r="EL27" s="356">
        <f t="shared" si="108"/>
        <v>2.1064301552106431E-2</v>
      </c>
      <c r="EM27" s="356">
        <f t="shared" si="108"/>
        <v>2.1881838074398249E-2</v>
      </c>
      <c r="EN27" s="356">
        <f t="shared" si="108"/>
        <v>2.2002200220022004E-2</v>
      </c>
      <c r="EO27" s="356">
        <f t="shared" si="108"/>
        <v>2.3026315789473683E-2</v>
      </c>
      <c r="EP27" s="356">
        <f t="shared" si="108"/>
        <v>2.3542600896860985E-2</v>
      </c>
      <c r="EQ27" s="356">
        <f>SUM(EQ24)/EQ26</f>
        <v>2.1664766248574687E-2</v>
      </c>
      <c r="ER27" s="356">
        <f t="shared" si="108"/>
        <v>2.0134228187919462E-2</v>
      </c>
      <c r="ES27" s="356">
        <f t="shared" si="108"/>
        <v>2.0905923344947737E-2</v>
      </c>
      <c r="ET27" s="356">
        <f t="shared" si="108"/>
        <v>1.9629225736095966E-2</v>
      </c>
      <c r="EU27" s="356">
        <f t="shared" si="108"/>
        <v>1.9693654266958426E-2</v>
      </c>
      <c r="EV27" s="356">
        <f t="shared" si="108"/>
        <v>1.9629225736095966E-2</v>
      </c>
      <c r="EW27" s="356">
        <f t="shared" si="108"/>
        <v>1.9672131147540985E-2</v>
      </c>
      <c r="EX27" s="356">
        <f t="shared" si="108"/>
        <v>1.8660812294182216E-2</v>
      </c>
      <c r="EY27" s="356">
        <f t="shared" si="108"/>
        <v>1.8681318681318681E-2</v>
      </c>
      <c r="EZ27" s="356">
        <f t="shared" si="108"/>
        <v>1.8599562363238512E-2</v>
      </c>
      <c r="FA27" s="356">
        <f t="shared" si="108"/>
        <v>1.8558951965065504E-2</v>
      </c>
      <c r="FB27" s="356">
        <f t="shared" si="108"/>
        <v>1.8378378378378378E-2</v>
      </c>
      <c r="FC27" s="356">
        <f t="shared" si="108"/>
        <v>1.8640350877192981E-2</v>
      </c>
      <c r="FD27" s="356">
        <f t="shared" si="108"/>
        <v>1.8498367791077257E-2</v>
      </c>
      <c r="FE27" s="356">
        <f t="shared" si="108"/>
        <v>1.843817787418655E-2</v>
      </c>
      <c r="FF27" s="356">
        <f t="shared" si="108"/>
        <v>1.8599562363238512E-2</v>
      </c>
      <c r="FG27" s="356">
        <f t="shared" si="108"/>
        <v>1.8599562363238512E-2</v>
      </c>
      <c r="FH27" s="356">
        <f t="shared" si="108"/>
        <v>1.8458197611292075E-2</v>
      </c>
      <c r="FI27" s="356">
        <f t="shared" si="108"/>
        <v>1.7297297297297298E-2</v>
      </c>
      <c r="FJ27" s="356">
        <f t="shared" si="108"/>
        <v>1.7259978425026967E-2</v>
      </c>
      <c r="FK27" s="356">
        <f t="shared" si="108"/>
        <v>1.6322089227421111E-2</v>
      </c>
      <c r="FL27" s="356">
        <f t="shared" ref="FL27:FQ27" si="109">SUM(FL24)/FL26</f>
        <v>1.948051948051948E-2</v>
      </c>
      <c r="FM27" s="356">
        <f t="shared" si="109"/>
        <v>1.2875536480686695E-2</v>
      </c>
      <c r="FN27" s="356">
        <f t="shared" si="109"/>
        <v>1.1879049676025918E-2</v>
      </c>
      <c r="FO27" s="356">
        <f t="shared" si="109"/>
        <v>1.1827956989247311E-2</v>
      </c>
      <c r="FP27" s="356">
        <f t="shared" si="109"/>
        <v>1.1022044088176353E-2</v>
      </c>
      <c r="FQ27" s="356">
        <f t="shared" si="109"/>
        <v>1.1739594450373533E-2</v>
      </c>
      <c r="FR27" s="356">
        <f t="shared" ref="FR27:FT27" si="110">SUM(FR24)/FR26</f>
        <v>1.1777301927194861E-2</v>
      </c>
      <c r="FS27" s="356">
        <f t="shared" si="110"/>
        <v>1.2806830309498399E-2</v>
      </c>
      <c r="FT27" s="356">
        <f t="shared" si="110"/>
        <v>1.4403292181069959E-2</v>
      </c>
    </row>
    <row r="28" spans="2:176" ht="13.8" hidden="1" thickBot="1" x14ac:dyDescent="0.3">
      <c r="B28" s="4" t="s">
        <v>11</v>
      </c>
      <c r="C28" s="37">
        <f t="shared" ref="C28:Q28" si="111">SUM(C25/C26)</f>
        <v>0.27555555555555555</v>
      </c>
      <c r="D28" s="15">
        <f t="shared" si="111"/>
        <v>0.37623762376237624</v>
      </c>
      <c r="E28" s="15">
        <f t="shared" si="111"/>
        <v>0.42158859470468429</v>
      </c>
      <c r="F28" s="15">
        <f t="shared" si="111"/>
        <v>0.44489795918367347</v>
      </c>
      <c r="G28" s="15">
        <f t="shared" si="111"/>
        <v>0.4911242603550296</v>
      </c>
      <c r="H28" s="15">
        <f t="shared" si="111"/>
        <v>0.51204819277108438</v>
      </c>
      <c r="I28" s="15">
        <f t="shared" si="111"/>
        <v>0.52400000000000002</v>
      </c>
      <c r="J28" s="15">
        <f t="shared" si="111"/>
        <v>0.54347826086956519</v>
      </c>
      <c r="K28" s="15">
        <f t="shared" si="111"/>
        <v>0.55263157894736847</v>
      </c>
      <c r="L28" s="15">
        <f t="shared" si="111"/>
        <v>0.57044673539518898</v>
      </c>
      <c r="M28" s="15">
        <f t="shared" si="111"/>
        <v>0.62132352941176472</v>
      </c>
      <c r="N28" s="24">
        <f t="shared" si="111"/>
        <v>0.60877862595419852</v>
      </c>
      <c r="O28" s="37">
        <f t="shared" si="111"/>
        <v>0.60544217687074831</v>
      </c>
      <c r="P28" s="15">
        <f t="shared" si="111"/>
        <v>0.62239089184060725</v>
      </c>
      <c r="Q28" s="15">
        <f t="shared" si="111"/>
        <v>0.63232682060390766</v>
      </c>
      <c r="R28" s="15">
        <f t="shared" ref="R28:W28" si="112">SUM(R25/R26)</f>
        <v>0.64088397790055252</v>
      </c>
      <c r="S28" s="15">
        <f t="shared" si="112"/>
        <v>0.64351005484460699</v>
      </c>
      <c r="T28" s="15">
        <f t="shared" si="112"/>
        <v>0.66413662239089188</v>
      </c>
      <c r="U28" s="15">
        <f t="shared" si="112"/>
        <v>0.67140319715808172</v>
      </c>
      <c r="V28" s="15">
        <f t="shared" si="112"/>
        <v>0.69588550983899822</v>
      </c>
      <c r="W28" s="15">
        <f t="shared" si="112"/>
        <v>0.69724770642201839</v>
      </c>
      <c r="X28" s="15">
        <f t="shared" ref="X28:AC28" si="113">SUM(X25/X26)</f>
        <v>0.70243902439024386</v>
      </c>
      <c r="Y28" s="15">
        <f t="shared" si="113"/>
        <v>0.73684210526315785</v>
      </c>
      <c r="Z28" s="24">
        <f t="shared" si="113"/>
        <v>0.72947761194029848</v>
      </c>
      <c r="AA28" s="15">
        <f t="shared" si="113"/>
        <v>0.53773584905660377</v>
      </c>
      <c r="AB28" s="15">
        <f t="shared" si="113"/>
        <v>0.5224646983311938</v>
      </c>
      <c r="AC28" s="15">
        <f t="shared" si="113"/>
        <v>0.56197478991596639</v>
      </c>
      <c r="AD28" s="15">
        <f t="shared" ref="AD28:AI28" si="114">SUM(AD25/AD26)</f>
        <v>0.54599761051373952</v>
      </c>
      <c r="AE28" s="15">
        <f t="shared" si="114"/>
        <v>0.56848484848484848</v>
      </c>
      <c r="AF28" s="15">
        <f t="shared" si="114"/>
        <v>0.55156950672645744</v>
      </c>
      <c r="AG28" s="15">
        <f t="shared" si="114"/>
        <v>0.57094211123723038</v>
      </c>
      <c r="AH28" s="15">
        <f t="shared" si="114"/>
        <v>0.58093126385809313</v>
      </c>
      <c r="AI28" s="15">
        <f t="shared" si="114"/>
        <v>0.56348246674727931</v>
      </c>
      <c r="AJ28" s="15">
        <f t="shared" ref="AJ28:AO28" si="115">SUM(AJ25/AJ26)</f>
        <v>0.60550458715596334</v>
      </c>
      <c r="AK28" s="15">
        <f t="shared" si="115"/>
        <v>0.5850673194614443</v>
      </c>
      <c r="AL28" s="24">
        <f t="shared" si="115"/>
        <v>0.60665844636251542</v>
      </c>
      <c r="AM28" s="15">
        <f t="shared" si="115"/>
        <v>0.609375</v>
      </c>
      <c r="AN28" s="15">
        <f t="shared" si="115"/>
        <v>0.58584534731323723</v>
      </c>
      <c r="AO28" s="15">
        <f t="shared" si="115"/>
        <v>0.66778900112233441</v>
      </c>
      <c r="AP28" s="15">
        <f t="shared" ref="AP28:AU28" si="116">SUM(AP25/AP26)</f>
        <v>0.67682926829268297</v>
      </c>
      <c r="AQ28" s="15">
        <f t="shared" si="116"/>
        <v>0.67509025270758127</v>
      </c>
      <c r="AR28" s="15">
        <f t="shared" si="116"/>
        <v>0.66925638179800218</v>
      </c>
      <c r="AS28" s="15">
        <f t="shared" si="116"/>
        <v>0.70060606060606057</v>
      </c>
      <c r="AT28" s="15">
        <f t="shared" si="116"/>
        <v>0.7142857142857143</v>
      </c>
      <c r="AU28" s="15">
        <f t="shared" si="116"/>
        <v>0.74572405929304442</v>
      </c>
      <c r="AV28" s="15">
        <f>SUM(AV25/AV26)</f>
        <v>0.73647871116225549</v>
      </c>
      <c r="AW28" s="15">
        <f>SUM(AW25/AW26)</f>
        <v>0.74251497005988021</v>
      </c>
      <c r="AX28" s="24">
        <f>SUM(AX25/AX26)</f>
        <v>0.74787878787878792</v>
      </c>
      <c r="AY28" s="15">
        <f t="shared" ref="AY28:BG28" si="117">SUM(AY25/AY26)</f>
        <v>0.72988505747126442</v>
      </c>
      <c r="AZ28" s="15">
        <f t="shared" si="117"/>
        <v>0.73580246913580249</v>
      </c>
      <c r="BA28" s="15">
        <f t="shared" si="117"/>
        <v>0.74181117533718688</v>
      </c>
      <c r="BB28" s="15">
        <f t="shared" si="117"/>
        <v>0.74274905422446402</v>
      </c>
      <c r="BC28" s="15">
        <f t="shared" si="117"/>
        <v>0.73694984646878203</v>
      </c>
      <c r="BD28" s="15">
        <f t="shared" si="117"/>
        <v>0.74499473129610116</v>
      </c>
      <c r="BE28" s="15">
        <f t="shared" si="117"/>
        <v>0.74554102259215216</v>
      </c>
      <c r="BF28" s="15">
        <f t="shared" si="117"/>
        <v>0.7385086823289071</v>
      </c>
      <c r="BG28" s="15">
        <f t="shared" si="117"/>
        <v>0.7416666666666667</v>
      </c>
      <c r="BH28" s="15">
        <f>SUM(BH25/BH26)</f>
        <v>0.74231177094379641</v>
      </c>
      <c r="BI28" s="15">
        <f>SUM(BI25/BI26)</f>
        <v>0.74562427071178528</v>
      </c>
      <c r="BJ28" s="24">
        <f>SUM(BJ25/BJ26)</f>
        <v>0.76277850589777196</v>
      </c>
      <c r="BK28" s="15">
        <f t="shared" ref="BK28:BS28" si="118">SUM(BK25/BK26)</f>
        <v>0.7407797681770284</v>
      </c>
      <c r="BL28" s="15">
        <f t="shared" si="118"/>
        <v>0.77180406212664276</v>
      </c>
      <c r="BM28" s="15">
        <f t="shared" si="118"/>
        <v>0.77010309278350519</v>
      </c>
      <c r="BN28" s="15">
        <f t="shared" si="118"/>
        <v>0.77509068923821045</v>
      </c>
      <c r="BO28" s="15">
        <f t="shared" si="118"/>
        <v>0.7717277486910995</v>
      </c>
      <c r="BP28" s="15">
        <f t="shared" si="118"/>
        <v>0.77704918032786885</v>
      </c>
      <c r="BQ28" s="15">
        <f t="shared" si="118"/>
        <v>0.76957494407158833</v>
      </c>
      <c r="BR28" s="15">
        <f t="shared" si="118"/>
        <v>0.77331995987963886</v>
      </c>
      <c r="BS28" s="15">
        <f t="shared" si="118"/>
        <v>0.7871536523929471</v>
      </c>
      <c r="BT28" s="15">
        <f>SUM(BT25/BT26)</f>
        <v>0.78294573643410847</v>
      </c>
      <c r="BU28" s="15">
        <f>SUM(BU25/BU26)</f>
        <v>0.7870680044593088</v>
      </c>
      <c r="BV28" s="24">
        <f>SUM(BV25/BV26)</f>
        <v>0.78507795100222721</v>
      </c>
      <c r="BW28" s="15">
        <f t="shared" ref="BW28:CB28" si="119">SUM(BW25/BW26)</f>
        <v>0.78994413407821229</v>
      </c>
      <c r="BX28" s="15">
        <f t="shared" si="119"/>
        <v>0.68770764119601324</v>
      </c>
      <c r="BY28" s="15">
        <f t="shared" si="119"/>
        <v>0.8008519701810437</v>
      </c>
      <c r="BZ28" s="15">
        <f t="shared" si="119"/>
        <v>0.7960088691796009</v>
      </c>
      <c r="CA28" s="15">
        <f t="shared" si="119"/>
        <v>0.79664804469273742</v>
      </c>
      <c r="CB28" s="15">
        <f t="shared" si="119"/>
        <v>0.797085201793722</v>
      </c>
      <c r="CC28" s="15">
        <f t="shared" ref="CC28:DK28" si="120">SUM(CC25/CC26)</f>
        <v>0.79731243001119823</v>
      </c>
      <c r="CD28" s="15">
        <f t="shared" si="120"/>
        <v>0.80156950672645744</v>
      </c>
      <c r="CE28" s="15">
        <f t="shared" si="120"/>
        <v>0.80134680134680136</v>
      </c>
      <c r="CF28" s="15">
        <f t="shared" si="120"/>
        <v>0.80089988751406072</v>
      </c>
      <c r="CG28" s="15">
        <f t="shared" si="120"/>
        <v>0.8033707865168539</v>
      </c>
      <c r="CH28" s="24">
        <f t="shared" si="120"/>
        <v>0.8080357142857143</v>
      </c>
      <c r="CI28" s="244">
        <f t="shared" si="120"/>
        <v>0.81132075471698117</v>
      </c>
      <c r="CJ28" s="245">
        <f t="shared" si="120"/>
        <v>0.82333333333333336</v>
      </c>
      <c r="CK28" s="245">
        <f t="shared" si="120"/>
        <v>0.81888888888888889</v>
      </c>
      <c r="CL28" s="245">
        <f t="shared" si="120"/>
        <v>0.82471910112359548</v>
      </c>
      <c r="CM28" s="245">
        <f t="shared" si="120"/>
        <v>0.82564679415073117</v>
      </c>
      <c r="CN28" s="245">
        <f t="shared" si="120"/>
        <v>0.82981090100111232</v>
      </c>
      <c r="CO28" s="245">
        <f t="shared" si="120"/>
        <v>0.82754759238521836</v>
      </c>
      <c r="CP28" s="245">
        <f t="shared" si="120"/>
        <v>0.89269911504424782</v>
      </c>
      <c r="CQ28" s="245">
        <f t="shared" si="120"/>
        <v>0.90614525139664803</v>
      </c>
      <c r="CR28" s="245">
        <f t="shared" si="120"/>
        <v>0.90561797752808992</v>
      </c>
      <c r="CS28" s="245">
        <f t="shared" si="120"/>
        <v>0.90677025527192012</v>
      </c>
      <c r="CT28" s="246">
        <f t="shared" si="120"/>
        <v>0.9098805646036916</v>
      </c>
      <c r="CU28" s="245">
        <f t="shared" si="120"/>
        <v>0.90552147239263803</v>
      </c>
      <c r="CV28" s="245">
        <f t="shared" si="120"/>
        <v>0.91275899672846239</v>
      </c>
      <c r="CW28" s="245">
        <f t="shared" si="120"/>
        <v>0.91228070175438591</v>
      </c>
      <c r="CX28" s="245">
        <f t="shared" si="120"/>
        <v>0.91347207009857612</v>
      </c>
      <c r="CY28" s="245">
        <f t="shared" si="120"/>
        <v>0.91352549889135259</v>
      </c>
      <c r="CZ28" s="245">
        <f t="shared" si="120"/>
        <v>0.91261061946902655</v>
      </c>
      <c r="DA28" s="245">
        <f t="shared" si="120"/>
        <v>0.9109663409337676</v>
      </c>
      <c r="DB28" s="245">
        <f t="shared" si="120"/>
        <v>0.91274397244546501</v>
      </c>
      <c r="DC28" s="245">
        <f t="shared" si="120"/>
        <v>0.91261061946902655</v>
      </c>
      <c r="DD28" s="245">
        <f t="shared" si="120"/>
        <v>0.913953488372093</v>
      </c>
      <c r="DE28" s="245">
        <f t="shared" si="120"/>
        <v>0.91379310344827591</v>
      </c>
      <c r="DF28" s="246">
        <f t="shared" si="120"/>
        <v>0.9169435215946844</v>
      </c>
      <c r="DG28" s="245">
        <f t="shared" si="120"/>
        <v>0.91600000000000004</v>
      </c>
      <c r="DH28" s="245">
        <f t="shared" si="120"/>
        <v>0.93356643356643354</v>
      </c>
      <c r="DI28" s="245">
        <f t="shared" si="120"/>
        <v>0.93582263710618441</v>
      </c>
      <c r="DJ28" s="245">
        <f t="shared" si="120"/>
        <v>0.93256997455470736</v>
      </c>
      <c r="DK28" s="245">
        <f t="shared" si="120"/>
        <v>0.93211488250652741</v>
      </c>
      <c r="DL28" s="245">
        <f t="shared" ref="DL28:FK28" si="121">SUM(DL25/DL26)</f>
        <v>0.93617021276595747</v>
      </c>
      <c r="DM28" s="245">
        <f t="shared" si="121"/>
        <v>0.93519695044472684</v>
      </c>
      <c r="DN28" s="245">
        <f t="shared" si="121"/>
        <v>0.94668246445497628</v>
      </c>
      <c r="DO28" s="245">
        <f t="shared" si="121"/>
        <v>0.96352201257861636</v>
      </c>
      <c r="DP28" s="245">
        <f t="shared" si="121"/>
        <v>0.96282051282051284</v>
      </c>
      <c r="DQ28" s="245">
        <f t="shared" si="121"/>
        <v>0.96049382716049381</v>
      </c>
      <c r="DR28" s="245">
        <f t="shared" si="121"/>
        <v>0.95864106351550959</v>
      </c>
      <c r="DS28" s="245">
        <f t="shared" si="121"/>
        <v>0.95890410958904104</v>
      </c>
      <c r="DT28" s="245">
        <f t="shared" si="121"/>
        <v>0.96878751500600235</v>
      </c>
      <c r="DU28" s="245">
        <f t="shared" si="121"/>
        <v>0.96188340807174888</v>
      </c>
      <c r="DV28" s="357">
        <f t="shared" si="121"/>
        <v>0.96192609182530797</v>
      </c>
      <c r="DW28" s="357">
        <f t="shared" si="121"/>
        <v>0.96283783783783783</v>
      </c>
      <c r="DX28" s="357">
        <f t="shared" si="121"/>
        <v>0.96432552954292083</v>
      </c>
      <c r="DY28" s="357">
        <f t="shared" si="121"/>
        <v>0.96649214659685867</v>
      </c>
      <c r="DZ28" s="357">
        <f t="shared" si="121"/>
        <v>0.96495071193866377</v>
      </c>
      <c r="EA28" s="357">
        <f t="shared" si="121"/>
        <v>0.96196868008948544</v>
      </c>
      <c r="EB28" s="357">
        <f t="shared" si="121"/>
        <v>0.96770601336302897</v>
      </c>
      <c r="EC28" s="357">
        <f t="shared" si="121"/>
        <v>0.97309417040358748</v>
      </c>
      <c r="ED28" s="357">
        <f t="shared" si="121"/>
        <v>0.97441601779755282</v>
      </c>
      <c r="EE28" s="357">
        <f t="shared" si="121"/>
        <v>0.976457399103139</v>
      </c>
      <c r="EF28" s="357">
        <f t="shared" si="121"/>
        <v>0.97571743929359822</v>
      </c>
      <c r="EG28" s="357">
        <f t="shared" si="121"/>
        <v>0.9743303571428571</v>
      </c>
      <c r="EH28" s="357">
        <f t="shared" si="121"/>
        <v>0.97843359818388198</v>
      </c>
      <c r="EI28" s="357">
        <f t="shared" si="121"/>
        <v>0.9788182831661093</v>
      </c>
      <c r="EJ28" s="357">
        <f t="shared" si="121"/>
        <v>0.9788182831661093</v>
      </c>
      <c r="EK28" s="357">
        <f t="shared" si="121"/>
        <v>0.97886540600667404</v>
      </c>
      <c r="EL28" s="357">
        <f t="shared" si="121"/>
        <v>0.97893569844789352</v>
      </c>
      <c r="EM28" s="357">
        <f t="shared" si="121"/>
        <v>0.97811816192560175</v>
      </c>
      <c r="EN28" s="357">
        <f t="shared" si="121"/>
        <v>0.97799779977997803</v>
      </c>
      <c r="EO28" s="357">
        <f t="shared" si="121"/>
        <v>0.97697368421052633</v>
      </c>
      <c r="EP28" s="357">
        <f t="shared" si="121"/>
        <v>0.976457399103139</v>
      </c>
      <c r="EQ28" s="357">
        <f t="shared" si="121"/>
        <v>0.97833523375142528</v>
      </c>
      <c r="ER28" s="357">
        <f t="shared" si="121"/>
        <v>0.97986577181208057</v>
      </c>
      <c r="ES28" s="357">
        <f t="shared" si="121"/>
        <v>0.97909407665505221</v>
      </c>
      <c r="ET28" s="357">
        <f t="shared" si="121"/>
        <v>0.98037077426390407</v>
      </c>
      <c r="EU28" s="357">
        <f t="shared" si="121"/>
        <v>0.98030634573304154</v>
      </c>
      <c r="EV28" s="357">
        <f t="shared" si="121"/>
        <v>0.98037077426390407</v>
      </c>
      <c r="EW28" s="357">
        <f t="shared" si="121"/>
        <v>0.98032786885245904</v>
      </c>
      <c r="EX28" s="357">
        <f t="shared" si="121"/>
        <v>0.98133918770581774</v>
      </c>
      <c r="EY28" s="357">
        <f t="shared" si="121"/>
        <v>0.98131868131868127</v>
      </c>
      <c r="EZ28" s="357">
        <f t="shared" si="121"/>
        <v>0.98140043763676144</v>
      </c>
      <c r="FA28" s="357">
        <f t="shared" si="121"/>
        <v>0.98144104803493448</v>
      </c>
      <c r="FB28" s="357">
        <f t="shared" si="121"/>
        <v>0.98162162162162159</v>
      </c>
      <c r="FC28" s="357">
        <f t="shared" si="121"/>
        <v>0.98135964912280704</v>
      </c>
      <c r="FD28" s="357">
        <f t="shared" si="121"/>
        <v>0.98150163220892273</v>
      </c>
      <c r="FE28" s="357">
        <f t="shared" si="121"/>
        <v>0.98156182212581344</v>
      </c>
      <c r="FF28" s="357">
        <f t="shared" si="121"/>
        <v>0.98140043763676144</v>
      </c>
      <c r="FG28" s="357">
        <f t="shared" si="121"/>
        <v>0.98140043763676144</v>
      </c>
      <c r="FH28" s="357">
        <f t="shared" si="121"/>
        <v>0.98154180238870792</v>
      </c>
      <c r="FI28" s="357">
        <f t="shared" si="121"/>
        <v>0.98270270270270266</v>
      </c>
      <c r="FJ28" s="357">
        <f t="shared" si="121"/>
        <v>0.98274002157497298</v>
      </c>
      <c r="FK28" s="357">
        <f t="shared" si="121"/>
        <v>0.98367791077257893</v>
      </c>
      <c r="FL28" s="357">
        <f t="shared" ref="FL28:FQ28" si="122">SUM(FL25/FL26)</f>
        <v>0.98051948051948057</v>
      </c>
      <c r="FM28" s="357">
        <f t="shared" si="122"/>
        <v>0.98712446351931327</v>
      </c>
      <c r="FN28" s="357">
        <f t="shared" si="122"/>
        <v>0.98812095032397407</v>
      </c>
      <c r="FO28" s="357">
        <f t="shared" si="122"/>
        <v>0.98817204301075268</v>
      </c>
      <c r="FP28" s="357">
        <f t="shared" si="122"/>
        <v>0.98897795591182369</v>
      </c>
      <c r="FQ28" s="357">
        <f t="shared" si="122"/>
        <v>0.98826040554962646</v>
      </c>
      <c r="FR28" s="357">
        <f t="shared" ref="FR28:FT28" si="123">SUM(FR25/FR26)</f>
        <v>0.98822269807280516</v>
      </c>
      <c r="FS28" s="357">
        <f t="shared" si="123"/>
        <v>0.98719316969050164</v>
      </c>
      <c r="FT28" s="357">
        <f t="shared" si="123"/>
        <v>0.98559670781893005</v>
      </c>
    </row>
    <row r="29" spans="2:176" hidden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18"/>
      <c r="P29" s="18"/>
      <c r="Q29" s="18"/>
      <c r="R29" s="18"/>
      <c r="S29" s="18"/>
      <c r="T29" s="18"/>
      <c r="Z29" s="20"/>
      <c r="AL29" s="20"/>
      <c r="AX29" s="20"/>
      <c r="BJ29" s="20"/>
      <c r="BV29" s="20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</row>
    <row r="30" spans="2:176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42"/>
      <c r="P30" s="18"/>
      <c r="Q30" s="18"/>
      <c r="R30" s="18"/>
      <c r="S30" s="18"/>
      <c r="T30" s="18"/>
      <c r="Z30" s="20"/>
      <c r="AL30" s="20"/>
      <c r="AX30" s="20"/>
      <c r="BJ30" s="20"/>
      <c r="BV30" s="20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</row>
    <row r="31" spans="2:176" s="68" customFormat="1" x14ac:dyDescent="0.25">
      <c r="B31" s="87" t="s">
        <v>1</v>
      </c>
      <c r="C31" s="71">
        <v>79002</v>
      </c>
      <c r="D31" s="69">
        <v>79029</v>
      </c>
      <c r="E31" s="69">
        <v>78879</v>
      </c>
      <c r="F31" s="69">
        <v>78526</v>
      </c>
      <c r="G31" s="69">
        <v>78275</v>
      </c>
      <c r="H31" s="69">
        <v>77838</v>
      </c>
      <c r="I31" s="69">
        <v>77600</v>
      </c>
      <c r="J31" s="69">
        <v>77222</v>
      </c>
      <c r="K31" s="69">
        <v>76366</v>
      </c>
      <c r="L31" s="69">
        <v>1720</v>
      </c>
      <c r="M31" s="69">
        <v>1717</v>
      </c>
      <c r="N31" s="89">
        <v>1695</v>
      </c>
      <c r="O31" s="71">
        <f>76607</f>
        <v>76607</v>
      </c>
      <c r="P31" s="69">
        <v>68305</v>
      </c>
      <c r="Q31" s="69">
        <v>71400</v>
      </c>
      <c r="R31" s="69">
        <f>71959</f>
        <v>71959</v>
      </c>
      <c r="S31" s="69">
        <f>71203</f>
        <v>71203</v>
      </c>
      <c r="T31" s="69">
        <f>70125</f>
        <v>70125</v>
      </c>
      <c r="U31" s="68">
        <v>72782</v>
      </c>
      <c r="V31" s="68">
        <v>68242</v>
      </c>
      <c r="W31" s="68">
        <v>67135</v>
      </c>
      <c r="X31" s="68">
        <f>72557</f>
        <v>72557</v>
      </c>
      <c r="Y31" s="68">
        <v>56295</v>
      </c>
      <c r="Z31" s="89">
        <v>64927</v>
      </c>
      <c r="AA31" s="68">
        <v>62858</v>
      </c>
      <c r="AB31" s="68">
        <v>59255</v>
      </c>
      <c r="AC31" s="68">
        <v>66866</v>
      </c>
      <c r="AD31" s="68">
        <v>59280</v>
      </c>
      <c r="AE31" s="68">
        <v>54962</v>
      </c>
      <c r="AF31" s="68">
        <v>60308</v>
      </c>
      <c r="AG31" s="68">
        <f>56288</f>
        <v>56288</v>
      </c>
      <c r="AH31" s="68">
        <v>57798</v>
      </c>
      <c r="AI31" s="68">
        <v>53809</v>
      </c>
      <c r="AJ31" s="68">
        <v>52900</v>
      </c>
      <c r="AK31" s="68">
        <v>49479</v>
      </c>
      <c r="AL31" s="89">
        <v>48378</v>
      </c>
      <c r="AM31" s="68">
        <v>50550</v>
      </c>
      <c r="AN31" s="68">
        <v>44849</v>
      </c>
      <c r="AO31" s="68">
        <v>49496</v>
      </c>
      <c r="AP31" s="68">
        <v>46360</v>
      </c>
      <c r="AQ31" s="68">
        <v>46238</v>
      </c>
      <c r="AR31" s="68">
        <v>48497</v>
      </c>
      <c r="AS31" s="68">
        <v>45004</v>
      </c>
      <c r="AT31" s="68">
        <v>52093</v>
      </c>
      <c r="AU31" s="68">
        <v>46162</v>
      </c>
      <c r="AV31" s="68">
        <v>45605</v>
      </c>
      <c r="AW31" s="68">
        <v>42854</v>
      </c>
      <c r="AX31" s="89">
        <v>42811</v>
      </c>
      <c r="AY31" s="68">
        <v>44155</v>
      </c>
      <c r="AZ31" s="68">
        <v>41662</v>
      </c>
      <c r="BA31" s="68">
        <v>47428</v>
      </c>
      <c r="BB31" s="68">
        <v>40401</v>
      </c>
      <c r="BC31" s="68">
        <v>44271</v>
      </c>
      <c r="BD31" s="68">
        <v>43219</v>
      </c>
      <c r="BE31" s="68">
        <v>38893</v>
      </c>
      <c r="BF31" s="68">
        <v>43649</v>
      </c>
      <c r="BG31" s="68">
        <v>38006</v>
      </c>
      <c r="BH31" s="68">
        <v>40756</v>
      </c>
      <c r="BI31" s="68">
        <v>37170</v>
      </c>
      <c r="BJ31" s="89">
        <v>34594</v>
      </c>
      <c r="BK31" s="68">
        <v>38245</v>
      </c>
      <c r="BL31" s="68">
        <v>35658</v>
      </c>
      <c r="BM31" s="68">
        <v>39271</v>
      </c>
      <c r="BN31" s="68">
        <v>35067</v>
      </c>
      <c r="BO31" s="68">
        <v>38442</v>
      </c>
      <c r="BP31" s="68">
        <v>36302</v>
      </c>
      <c r="BQ31" s="68">
        <v>35953</v>
      </c>
      <c r="BR31" s="68">
        <v>38723</v>
      </c>
      <c r="BS31" s="68">
        <v>32373</v>
      </c>
      <c r="BT31" s="68">
        <v>35212</v>
      </c>
      <c r="BU31" s="68">
        <v>34945</v>
      </c>
      <c r="BV31" s="89">
        <v>34636</v>
      </c>
      <c r="BW31" s="69">
        <v>34347</v>
      </c>
      <c r="BX31" s="69">
        <v>34138</v>
      </c>
      <c r="BY31" s="69">
        <v>33967</v>
      </c>
      <c r="BZ31" s="69">
        <v>33731</v>
      </c>
      <c r="CA31" s="69">
        <v>33620</v>
      </c>
      <c r="CB31" s="69">
        <v>32829</v>
      </c>
      <c r="CC31" s="69">
        <v>32097</v>
      </c>
      <c r="CD31" s="69">
        <v>31765</v>
      </c>
      <c r="CE31" s="69">
        <v>31359</v>
      </c>
      <c r="CF31" s="69">
        <v>30916</v>
      </c>
      <c r="CG31" s="69">
        <v>30541</v>
      </c>
      <c r="CH31" s="89">
        <v>30253</v>
      </c>
      <c r="CI31" s="71">
        <v>29884</v>
      </c>
      <c r="CJ31" s="69">
        <v>29383</v>
      </c>
      <c r="CK31" s="69">
        <v>29093</v>
      </c>
      <c r="CL31" s="69">
        <v>28823</v>
      </c>
      <c r="CM31" s="69">
        <v>28251</v>
      </c>
      <c r="CN31" s="69">
        <v>27825</v>
      </c>
      <c r="CO31" s="69">
        <v>27512</v>
      </c>
      <c r="CP31" s="69">
        <v>27213</v>
      </c>
      <c r="CQ31" s="69">
        <v>26794</v>
      </c>
      <c r="CR31" s="69">
        <v>26327</v>
      </c>
      <c r="CS31" s="69">
        <v>25921</v>
      </c>
      <c r="CT31" s="89">
        <v>25540</v>
      </c>
      <c r="CU31" s="69">
        <v>22873</v>
      </c>
      <c r="CV31" s="69">
        <v>24932</v>
      </c>
      <c r="CW31" s="69">
        <v>24545</v>
      </c>
      <c r="CX31" s="69">
        <v>24200</v>
      </c>
      <c r="CY31" s="69">
        <v>23965</v>
      </c>
      <c r="CZ31" s="69">
        <v>23739</v>
      </c>
      <c r="DA31" s="69">
        <v>23465</v>
      </c>
      <c r="DB31" s="69">
        <v>22130</v>
      </c>
      <c r="DC31" s="69">
        <v>22958</v>
      </c>
      <c r="DD31" s="69">
        <v>21616</v>
      </c>
      <c r="DE31" s="69">
        <v>21298</v>
      </c>
      <c r="DF31" s="89">
        <v>21916</v>
      </c>
      <c r="DG31" s="320">
        <v>19533</v>
      </c>
      <c r="DH31" s="68">
        <v>21512</v>
      </c>
      <c r="DI31" s="320">
        <v>21288</v>
      </c>
      <c r="DJ31" s="68">
        <v>20181</v>
      </c>
      <c r="DK31" s="68">
        <v>18976</v>
      </c>
      <c r="DL31" s="68">
        <v>20835</v>
      </c>
      <c r="DM31" s="68">
        <v>19758</v>
      </c>
      <c r="DN31" s="68">
        <v>20442</v>
      </c>
      <c r="DO31" s="68">
        <v>19244</v>
      </c>
      <c r="DP31" s="68">
        <v>19227</v>
      </c>
      <c r="DQ31" s="68">
        <v>19864</v>
      </c>
      <c r="DR31" s="68">
        <v>17879</v>
      </c>
      <c r="DS31" s="68">
        <v>17808</v>
      </c>
      <c r="DT31" s="68">
        <v>18505</v>
      </c>
      <c r="DU31" s="68">
        <v>19176</v>
      </c>
      <c r="DV31" s="351">
        <v>18982</v>
      </c>
      <c r="DW31" s="351">
        <v>18773</v>
      </c>
      <c r="DX31" s="351">
        <v>18594</v>
      </c>
      <c r="DY31" s="68">
        <v>18504</v>
      </c>
      <c r="DZ31" s="297">
        <v>18329</v>
      </c>
      <c r="EA31" s="68">
        <v>18243</v>
      </c>
      <c r="EB31" s="68">
        <v>18049</v>
      </c>
      <c r="EC31" s="68">
        <v>17835</v>
      </c>
      <c r="ED31" s="68">
        <v>17715</v>
      </c>
      <c r="EE31" s="68">
        <v>17608</v>
      </c>
      <c r="EF31" s="68">
        <v>17344</v>
      </c>
      <c r="EG31" s="68">
        <v>17107</v>
      </c>
      <c r="EH31" s="68">
        <v>16941</v>
      </c>
      <c r="EI31" s="68">
        <v>16941</v>
      </c>
      <c r="EJ31" s="68">
        <v>16727</v>
      </c>
      <c r="EK31" s="68">
        <v>16640</v>
      </c>
      <c r="EL31" s="68">
        <v>16504</v>
      </c>
      <c r="EM31" s="68">
        <v>16369</v>
      </c>
      <c r="EN31" s="68">
        <v>16263</v>
      </c>
      <c r="EO31" s="68">
        <v>16141</v>
      </c>
      <c r="EP31" s="68">
        <v>16012</v>
      </c>
      <c r="EQ31" s="68">
        <v>15102</v>
      </c>
      <c r="ER31" s="68">
        <v>14947</v>
      </c>
      <c r="ES31" s="68">
        <v>14884</v>
      </c>
      <c r="ET31" s="68">
        <v>15454</v>
      </c>
      <c r="EU31" s="68">
        <v>15338</v>
      </c>
      <c r="EV31" s="68">
        <v>15256</v>
      </c>
      <c r="EW31" s="68">
        <v>15172</v>
      </c>
      <c r="EX31" s="68">
        <v>15064</v>
      </c>
      <c r="EY31" s="68">
        <v>14967</v>
      </c>
      <c r="EZ31" s="68">
        <v>14877</v>
      </c>
      <c r="FA31" s="68">
        <v>14802</v>
      </c>
      <c r="FB31" s="68">
        <v>14719</v>
      </c>
      <c r="FC31" s="68">
        <v>14671</v>
      </c>
      <c r="FD31" s="68">
        <v>14558</v>
      </c>
      <c r="FE31" s="68">
        <v>14407</v>
      </c>
      <c r="FF31" s="68">
        <v>14320</v>
      </c>
      <c r="FG31" s="68">
        <v>14185</v>
      </c>
      <c r="FH31" s="68">
        <v>14098</v>
      </c>
      <c r="FI31" s="68">
        <v>13914</v>
      </c>
      <c r="FJ31" s="68">
        <v>13793</v>
      </c>
      <c r="FK31" s="68">
        <v>13662</v>
      </c>
      <c r="FL31" s="68">
        <v>13615</v>
      </c>
      <c r="FM31" s="68">
        <v>13453</v>
      </c>
      <c r="FN31" s="68">
        <v>13304</v>
      </c>
      <c r="FO31" s="68">
        <v>13220</v>
      </c>
      <c r="FP31" s="68">
        <v>13079</v>
      </c>
      <c r="FQ31" s="68">
        <v>12996</v>
      </c>
      <c r="FR31" s="68">
        <v>12907</v>
      </c>
      <c r="FS31" s="68">
        <v>12862</v>
      </c>
      <c r="FT31" s="68">
        <v>12716</v>
      </c>
    </row>
    <row r="32" spans="2:176" s="68" customFormat="1" ht="13.8" thickBot="1" x14ac:dyDescent="0.3">
      <c r="B32" s="90" t="s">
        <v>8</v>
      </c>
      <c r="C32" s="72">
        <v>1713</v>
      </c>
      <c r="D32" s="92">
        <v>1745</v>
      </c>
      <c r="E32" s="92">
        <v>2130</v>
      </c>
      <c r="F32" s="92">
        <v>2577</v>
      </c>
      <c r="G32" s="92">
        <v>2849</v>
      </c>
      <c r="H32" s="92">
        <v>3136</v>
      </c>
      <c r="I32" s="92">
        <v>3529</v>
      </c>
      <c r="J32" s="92">
        <v>4358</v>
      </c>
      <c r="K32" s="92">
        <v>4948</v>
      </c>
      <c r="L32" s="92">
        <v>474</v>
      </c>
      <c r="M32" s="92">
        <v>491</v>
      </c>
      <c r="N32" s="93">
        <v>487</v>
      </c>
      <c r="O32" s="72">
        <v>6338</v>
      </c>
      <c r="P32" s="92">
        <v>6090</v>
      </c>
      <c r="Q32" s="92">
        <v>7127</v>
      </c>
      <c r="R32" s="92">
        <f>78241-R31</f>
        <v>6282</v>
      </c>
      <c r="S32" s="92">
        <f>78824-S31</f>
        <v>7621</v>
      </c>
      <c r="T32" s="92">
        <f>78115-T31</f>
        <v>7990</v>
      </c>
      <c r="U32" s="68">
        <f t="shared" ref="U32:Z32" si="124">U33-U31</f>
        <v>9199</v>
      </c>
      <c r="V32" s="68">
        <f t="shared" si="124"/>
        <v>9340</v>
      </c>
      <c r="W32" s="68">
        <f t="shared" si="124"/>
        <v>9904</v>
      </c>
      <c r="X32" s="68">
        <f t="shared" si="124"/>
        <v>11055</v>
      </c>
      <c r="Y32" s="68">
        <f t="shared" si="124"/>
        <v>9083</v>
      </c>
      <c r="Z32" s="89">
        <f t="shared" si="124"/>
        <v>10859</v>
      </c>
      <c r="AA32" s="68">
        <v>10830</v>
      </c>
      <c r="AB32" s="68">
        <v>10528</v>
      </c>
      <c r="AC32" s="68">
        <v>12537</v>
      </c>
      <c r="AD32" s="68">
        <v>11259</v>
      </c>
      <c r="AE32" s="68">
        <v>10848</v>
      </c>
      <c r="AF32" s="68">
        <v>12564</v>
      </c>
      <c r="AG32" s="68">
        <v>12247</v>
      </c>
      <c r="AH32" s="68">
        <v>13178</v>
      </c>
      <c r="AI32" s="68">
        <v>12991</v>
      </c>
      <c r="AJ32" s="68">
        <v>13391</v>
      </c>
      <c r="AK32" s="68">
        <v>13060</v>
      </c>
      <c r="AL32" s="89">
        <v>13147</v>
      </c>
      <c r="AM32" s="68">
        <v>14320</v>
      </c>
      <c r="AN32" s="68">
        <v>13146</v>
      </c>
      <c r="AO32" s="68">
        <v>14858</v>
      </c>
      <c r="AP32" s="68">
        <v>13983</v>
      </c>
      <c r="AQ32" s="68">
        <v>14365</v>
      </c>
      <c r="AR32" s="68">
        <v>15531</v>
      </c>
      <c r="AS32" s="68">
        <v>14412</v>
      </c>
      <c r="AT32" s="68">
        <v>17186</v>
      </c>
      <c r="AU32" s="68">
        <v>15705</v>
      </c>
      <c r="AV32" s="68">
        <v>15902</v>
      </c>
      <c r="AW32" s="68">
        <v>15543</v>
      </c>
      <c r="AX32" s="89">
        <v>15623</v>
      </c>
      <c r="AY32" s="68">
        <v>16141</v>
      </c>
      <c r="AZ32" s="68">
        <v>15450</v>
      </c>
      <c r="BA32" s="68">
        <v>18448</v>
      </c>
      <c r="BB32" s="68">
        <v>15609</v>
      </c>
      <c r="BC32" s="68">
        <v>18109</v>
      </c>
      <c r="BD32" s="68">
        <v>17847</v>
      </c>
      <c r="BE32" s="68">
        <v>16758</v>
      </c>
      <c r="BF32" s="68">
        <v>19080</v>
      </c>
      <c r="BG32" s="68">
        <v>16996</v>
      </c>
      <c r="BH32" s="68">
        <v>18776</v>
      </c>
      <c r="BI32" s="68">
        <v>17472</v>
      </c>
      <c r="BJ32" s="89">
        <v>16598</v>
      </c>
      <c r="BK32" s="68">
        <v>18999</v>
      </c>
      <c r="BL32" s="68">
        <v>17642</v>
      </c>
      <c r="BM32" s="68">
        <v>19993</v>
      </c>
      <c r="BN32" s="68">
        <v>17876</v>
      </c>
      <c r="BO32" s="68">
        <v>20322</v>
      </c>
      <c r="BP32" s="68">
        <v>19310</v>
      </c>
      <c r="BQ32" s="68">
        <v>19468</v>
      </c>
      <c r="BR32" s="68">
        <v>21302</v>
      </c>
      <c r="BS32" s="68">
        <v>18063</v>
      </c>
      <c r="BT32" s="68">
        <v>20087</v>
      </c>
      <c r="BU32" s="68">
        <v>20183</v>
      </c>
      <c r="BV32" s="89">
        <v>20324</v>
      </c>
      <c r="BW32" s="69">
        <v>20588</v>
      </c>
      <c r="BX32" s="69">
        <v>20516</v>
      </c>
      <c r="BY32" s="69">
        <v>20600</v>
      </c>
      <c r="BZ32" s="69">
        <v>20765</v>
      </c>
      <c r="CA32" s="69">
        <v>21010</v>
      </c>
      <c r="CB32" s="69">
        <v>21222</v>
      </c>
      <c r="CC32" s="69">
        <v>21282</v>
      </c>
      <c r="CD32" s="69">
        <v>21417</v>
      </c>
      <c r="CE32" s="69">
        <v>21475</v>
      </c>
      <c r="CF32" s="69">
        <v>21560</v>
      </c>
      <c r="CG32" s="69">
        <v>21864</v>
      </c>
      <c r="CH32" s="89">
        <v>22305</v>
      </c>
      <c r="CI32" s="72">
        <v>21715</v>
      </c>
      <c r="CJ32" s="92">
        <v>21911</v>
      </c>
      <c r="CK32" s="92">
        <v>21951</v>
      </c>
      <c r="CL32" s="92">
        <v>22008</v>
      </c>
      <c r="CM32" s="92">
        <v>22273</v>
      </c>
      <c r="CN32" s="92">
        <v>22436</v>
      </c>
      <c r="CO32" s="92">
        <v>22576</v>
      </c>
      <c r="CP32" s="92">
        <v>22725</v>
      </c>
      <c r="CQ32" s="92">
        <v>23112</v>
      </c>
      <c r="CR32" s="92">
        <v>23334</v>
      </c>
      <c r="CS32" s="92">
        <v>23486</v>
      </c>
      <c r="CT32" s="93">
        <v>23741</v>
      </c>
      <c r="CU32" s="91">
        <v>21251</v>
      </c>
      <c r="CV32" s="92">
        <v>23654</v>
      </c>
      <c r="CW32" s="92">
        <v>23860</v>
      </c>
      <c r="CX32" s="92">
        <v>23997</v>
      </c>
      <c r="CY32" s="92">
        <v>24085</v>
      </c>
      <c r="CZ32" s="92">
        <v>24214</v>
      </c>
      <c r="DA32" s="92">
        <v>24165</v>
      </c>
      <c r="DB32" s="92">
        <v>23021</v>
      </c>
      <c r="DC32" s="92">
        <v>24318</v>
      </c>
      <c r="DD32" s="92">
        <v>23153</v>
      </c>
      <c r="DE32" s="92">
        <v>23450</v>
      </c>
      <c r="DF32" s="93">
        <v>24833</v>
      </c>
      <c r="DG32" s="320">
        <v>22555</v>
      </c>
      <c r="DH32" s="68">
        <v>24946</v>
      </c>
      <c r="DI32" s="320">
        <v>24914</v>
      </c>
      <c r="DJ32" s="68">
        <v>23798</v>
      </c>
      <c r="DK32" s="68">
        <v>22737</v>
      </c>
      <c r="DL32" s="68">
        <v>25197</v>
      </c>
      <c r="DM32" s="68">
        <v>23974</v>
      </c>
      <c r="DN32" s="68">
        <v>25309</v>
      </c>
      <c r="DO32" s="68">
        <v>24231</v>
      </c>
      <c r="DP32" s="92">
        <v>24385</v>
      </c>
      <c r="DQ32" s="92">
        <v>25754</v>
      </c>
      <c r="DR32" s="92">
        <v>23078</v>
      </c>
      <c r="DS32" s="68">
        <v>23148</v>
      </c>
      <c r="DT32" s="68">
        <v>24681</v>
      </c>
      <c r="DU32" s="68">
        <v>25760</v>
      </c>
      <c r="DV32" s="351">
        <v>25840</v>
      </c>
      <c r="DW32" s="351">
        <v>26005</v>
      </c>
      <c r="DX32" s="351">
        <v>26425</v>
      </c>
      <c r="DY32" s="68">
        <v>26338</v>
      </c>
      <c r="DZ32" s="297">
        <v>26222</v>
      </c>
      <c r="EA32" s="68">
        <v>26253</v>
      </c>
      <c r="EB32" s="68">
        <v>26411</v>
      </c>
      <c r="EC32" s="68">
        <v>26501</v>
      </c>
      <c r="ED32" s="68">
        <v>26562</v>
      </c>
      <c r="EE32" s="68">
        <v>26727</v>
      </c>
      <c r="EF32" s="68">
        <v>26724</v>
      </c>
      <c r="EG32" s="68">
        <v>26789</v>
      </c>
      <c r="EH32" s="68">
        <v>26941</v>
      </c>
      <c r="EI32" s="68">
        <v>26965</v>
      </c>
      <c r="EJ32" s="68">
        <v>26985</v>
      </c>
      <c r="EK32" s="68">
        <v>27026</v>
      </c>
      <c r="EL32" s="68">
        <v>26901</v>
      </c>
      <c r="EM32" s="68">
        <v>26959</v>
      </c>
      <c r="EN32" s="92">
        <v>27391</v>
      </c>
      <c r="EO32" s="92">
        <v>26987</v>
      </c>
      <c r="EP32" s="92">
        <v>26817</v>
      </c>
      <c r="EQ32" s="92">
        <v>26172</v>
      </c>
      <c r="ER32" s="92">
        <v>25476</v>
      </c>
      <c r="ES32" s="92">
        <v>25693</v>
      </c>
      <c r="ET32" s="92">
        <v>27162</v>
      </c>
      <c r="EU32" s="92">
        <v>27265</v>
      </c>
      <c r="EV32" s="92">
        <v>27128</v>
      </c>
      <c r="EW32" s="68">
        <v>27121</v>
      </c>
      <c r="EX32" s="68">
        <v>27057</v>
      </c>
      <c r="EY32" s="68">
        <v>27017</v>
      </c>
      <c r="EZ32" s="68">
        <v>27103</v>
      </c>
      <c r="FA32" s="68">
        <v>27095</v>
      </c>
      <c r="FB32" s="68">
        <v>27059</v>
      </c>
      <c r="FC32" s="92">
        <v>27055</v>
      </c>
      <c r="FD32" s="92">
        <v>27066</v>
      </c>
      <c r="FE32" s="92">
        <v>26995</v>
      </c>
      <c r="FF32" s="92">
        <v>27092</v>
      </c>
      <c r="FG32" s="92">
        <v>27210</v>
      </c>
      <c r="FH32" s="92">
        <v>27291</v>
      </c>
      <c r="FI32" s="68">
        <v>27342</v>
      </c>
      <c r="FJ32" s="68">
        <v>27277</v>
      </c>
      <c r="FK32" s="68">
        <v>27324</v>
      </c>
      <c r="FL32" s="68">
        <v>27340</v>
      </c>
      <c r="FM32" s="68">
        <v>27460</v>
      </c>
      <c r="FN32" s="68">
        <v>27488</v>
      </c>
      <c r="FO32" s="68">
        <v>27600</v>
      </c>
      <c r="FP32" s="68">
        <v>27678</v>
      </c>
      <c r="FQ32" s="68">
        <v>27692</v>
      </c>
      <c r="FR32" s="68">
        <v>27787</v>
      </c>
      <c r="FS32" s="68">
        <v>27926</v>
      </c>
      <c r="FT32" s="68">
        <v>27905</v>
      </c>
    </row>
    <row r="33" spans="2:182" s="68" customFormat="1" ht="13.8" thickTop="1" x14ac:dyDescent="0.25">
      <c r="B33" s="87" t="s">
        <v>9</v>
      </c>
      <c r="C33" s="106">
        <f t="shared" ref="C33:Q33" si="125">SUM(C31:C32)</f>
        <v>80715</v>
      </c>
      <c r="D33" s="94">
        <f t="shared" si="125"/>
        <v>80774</v>
      </c>
      <c r="E33" s="94">
        <f t="shared" si="125"/>
        <v>81009</v>
      </c>
      <c r="F33" s="94">
        <f t="shared" si="125"/>
        <v>81103</v>
      </c>
      <c r="G33" s="94">
        <f t="shared" si="125"/>
        <v>81124</v>
      </c>
      <c r="H33" s="94">
        <f t="shared" si="125"/>
        <v>80974</v>
      </c>
      <c r="I33" s="94">
        <f t="shared" si="125"/>
        <v>81129</v>
      </c>
      <c r="J33" s="94">
        <f t="shared" si="125"/>
        <v>81580</v>
      </c>
      <c r="K33" s="94">
        <f t="shared" si="125"/>
        <v>81314</v>
      </c>
      <c r="L33" s="94">
        <f t="shared" si="125"/>
        <v>2194</v>
      </c>
      <c r="M33" s="94">
        <f t="shared" si="125"/>
        <v>2208</v>
      </c>
      <c r="N33" s="107">
        <f t="shared" si="125"/>
        <v>2182</v>
      </c>
      <c r="O33" s="106">
        <f t="shared" si="125"/>
        <v>82945</v>
      </c>
      <c r="P33" s="94">
        <f t="shared" si="125"/>
        <v>74395</v>
      </c>
      <c r="Q33" s="94">
        <f t="shared" si="125"/>
        <v>78527</v>
      </c>
      <c r="R33" s="94">
        <f>SUM(R31:R32)</f>
        <v>78241</v>
      </c>
      <c r="S33" s="94">
        <f>SUM(S31:S32)</f>
        <v>78824</v>
      </c>
      <c r="T33" s="94">
        <f>SUM(T31:T32)</f>
        <v>78115</v>
      </c>
      <c r="U33" s="95">
        <v>81981</v>
      </c>
      <c r="V33" s="95">
        <v>77582</v>
      </c>
      <c r="W33" s="95">
        <v>77039</v>
      </c>
      <c r="X33" s="95">
        <v>83612</v>
      </c>
      <c r="Y33" s="95">
        <v>65378</v>
      </c>
      <c r="Z33" s="107">
        <v>75786</v>
      </c>
      <c r="AA33" s="95">
        <f t="shared" ref="AA33:AF33" si="126">SUM(AA31:AA32)</f>
        <v>73688</v>
      </c>
      <c r="AB33" s="95">
        <f t="shared" si="126"/>
        <v>69783</v>
      </c>
      <c r="AC33" s="95">
        <f t="shared" si="126"/>
        <v>79403</v>
      </c>
      <c r="AD33" s="95">
        <f t="shared" si="126"/>
        <v>70539</v>
      </c>
      <c r="AE33" s="95">
        <f t="shared" si="126"/>
        <v>65810</v>
      </c>
      <c r="AF33" s="95">
        <f t="shared" si="126"/>
        <v>72872</v>
      </c>
      <c r="AG33" s="95">
        <f t="shared" ref="AG33:AL33" si="127">SUM(AG31:AG32)</f>
        <v>68535</v>
      </c>
      <c r="AH33" s="95">
        <f t="shared" si="127"/>
        <v>70976</v>
      </c>
      <c r="AI33" s="95">
        <f t="shared" si="127"/>
        <v>66800</v>
      </c>
      <c r="AJ33" s="95">
        <f t="shared" si="127"/>
        <v>66291</v>
      </c>
      <c r="AK33" s="95">
        <f t="shared" si="127"/>
        <v>62539</v>
      </c>
      <c r="AL33" s="107">
        <f t="shared" si="127"/>
        <v>61525</v>
      </c>
      <c r="AM33" s="95">
        <f t="shared" ref="AM33:AR33" si="128">SUM(AM31:AM32)</f>
        <v>64870</v>
      </c>
      <c r="AN33" s="95">
        <f t="shared" si="128"/>
        <v>57995</v>
      </c>
      <c r="AO33" s="95">
        <f t="shared" si="128"/>
        <v>64354</v>
      </c>
      <c r="AP33" s="95">
        <f t="shared" si="128"/>
        <v>60343</v>
      </c>
      <c r="AQ33" s="95">
        <f t="shared" si="128"/>
        <v>60603</v>
      </c>
      <c r="AR33" s="95">
        <f t="shared" si="128"/>
        <v>64028</v>
      </c>
      <c r="AS33" s="95">
        <f t="shared" ref="AS33:AX33" si="129">SUM(AS31:AS32)</f>
        <v>59416</v>
      </c>
      <c r="AT33" s="95">
        <f t="shared" si="129"/>
        <v>69279</v>
      </c>
      <c r="AU33" s="95">
        <f t="shared" si="129"/>
        <v>61867</v>
      </c>
      <c r="AV33" s="95">
        <f t="shared" si="129"/>
        <v>61507</v>
      </c>
      <c r="AW33" s="95">
        <f t="shared" si="129"/>
        <v>58397</v>
      </c>
      <c r="AX33" s="107">
        <f t="shared" si="129"/>
        <v>58434</v>
      </c>
      <c r="AY33" s="95">
        <f t="shared" ref="AY33:BJ33" si="130">SUM(AY31:AY32)</f>
        <v>60296</v>
      </c>
      <c r="AZ33" s="95">
        <f t="shared" si="130"/>
        <v>57112</v>
      </c>
      <c r="BA33" s="95">
        <f t="shared" si="130"/>
        <v>65876</v>
      </c>
      <c r="BB33" s="95">
        <f t="shared" si="130"/>
        <v>56010</v>
      </c>
      <c r="BC33" s="95">
        <f t="shared" si="130"/>
        <v>62380</v>
      </c>
      <c r="BD33" s="95">
        <f t="shared" si="130"/>
        <v>61066</v>
      </c>
      <c r="BE33" s="95">
        <f t="shared" si="130"/>
        <v>55651</v>
      </c>
      <c r="BF33" s="95">
        <f t="shared" si="130"/>
        <v>62729</v>
      </c>
      <c r="BG33" s="95">
        <f t="shared" si="130"/>
        <v>55002</v>
      </c>
      <c r="BH33" s="95">
        <f t="shared" si="130"/>
        <v>59532</v>
      </c>
      <c r="BI33" s="95">
        <f t="shared" si="130"/>
        <v>54642</v>
      </c>
      <c r="BJ33" s="107">
        <f t="shared" si="130"/>
        <v>51192</v>
      </c>
      <c r="BK33" s="95">
        <f t="shared" ref="BK33:BV33" si="131">SUM(BK31:BK32)</f>
        <v>57244</v>
      </c>
      <c r="BL33" s="95">
        <f t="shared" si="131"/>
        <v>53300</v>
      </c>
      <c r="BM33" s="95">
        <f t="shared" si="131"/>
        <v>59264</v>
      </c>
      <c r="BN33" s="95">
        <f t="shared" si="131"/>
        <v>52943</v>
      </c>
      <c r="BO33" s="95">
        <f t="shared" si="131"/>
        <v>58764</v>
      </c>
      <c r="BP33" s="95">
        <f t="shared" si="131"/>
        <v>55612</v>
      </c>
      <c r="BQ33" s="95">
        <f t="shared" si="131"/>
        <v>55421</v>
      </c>
      <c r="BR33" s="95">
        <f t="shared" si="131"/>
        <v>60025</v>
      </c>
      <c r="BS33" s="95">
        <f t="shared" si="131"/>
        <v>50436</v>
      </c>
      <c r="BT33" s="95">
        <f t="shared" si="131"/>
        <v>55299</v>
      </c>
      <c r="BU33" s="95">
        <f t="shared" si="131"/>
        <v>55128</v>
      </c>
      <c r="BV33" s="107">
        <f t="shared" si="131"/>
        <v>54960</v>
      </c>
      <c r="BW33" s="95">
        <f t="shared" ref="BW33:CB33" si="132">SUM(BW31:BW32)</f>
        <v>54935</v>
      </c>
      <c r="BX33" s="95">
        <f t="shared" si="132"/>
        <v>54654</v>
      </c>
      <c r="BY33" s="95">
        <f t="shared" si="132"/>
        <v>54567</v>
      </c>
      <c r="BZ33" s="95">
        <f t="shared" si="132"/>
        <v>54496</v>
      </c>
      <c r="CA33" s="95">
        <f t="shared" si="132"/>
        <v>54630</v>
      </c>
      <c r="CB33" s="95">
        <f t="shared" si="132"/>
        <v>54051</v>
      </c>
      <c r="CC33" s="95">
        <f t="shared" ref="CC33:CN33" si="133">SUM(CC31:CC32)</f>
        <v>53379</v>
      </c>
      <c r="CD33" s="95">
        <f t="shared" si="133"/>
        <v>53182</v>
      </c>
      <c r="CE33" s="95">
        <f t="shared" si="133"/>
        <v>52834</v>
      </c>
      <c r="CF33" s="95">
        <f t="shared" si="133"/>
        <v>52476</v>
      </c>
      <c r="CG33" s="95">
        <f t="shared" si="133"/>
        <v>52405</v>
      </c>
      <c r="CH33" s="107">
        <f t="shared" si="133"/>
        <v>52558</v>
      </c>
      <c r="CI33" s="106">
        <f t="shared" si="133"/>
        <v>51599</v>
      </c>
      <c r="CJ33" s="94">
        <f t="shared" si="133"/>
        <v>51294</v>
      </c>
      <c r="CK33" s="94">
        <f t="shared" si="133"/>
        <v>51044</v>
      </c>
      <c r="CL33" s="94">
        <f t="shared" si="133"/>
        <v>50831</v>
      </c>
      <c r="CM33" s="94">
        <f t="shared" si="133"/>
        <v>50524</v>
      </c>
      <c r="CN33" s="94">
        <f t="shared" si="133"/>
        <v>50261</v>
      </c>
      <c r="CO33" s="94">
        <f t="shared" ref="CO33:CT33" si="134">SUM(CO31:CO32)</f>
        <v>50088</v>
      </c>
      <c r="CP33" s="94">
        <f t="shared" si="134"/>
        <v>49938</v>
      </c>
      <c r="CQ33" s="94">
        <f t="shared" si="134"/>
        <v>49906</v>
      </c>
      <c r="CR33" s="94">
        <f t="shared" si="134"/>
        <v>49661</v>
      </c>
      <c r="CS33" s="94">
        <f t="shared" si="134"/>
        <v>49407</v>
      </c>
      <c r="CT33" s="107">
        <f t="shared" si="134"/>
        <v>49281</v>
      </c>
      <c r="CU33" s="95">
        <f t="shared" ref="CU33:DK33" si="135">SUM(CU31:CU32)</f>
        <v>44124</v>
      </c>
      <c r="CV33" s="95">
        <f t="shared" si="135"/>
        <v>48586</v>
      </c>
      <c r="CW33" s="95">
        <f t="shared" si="135"/>
        <v>48405</v>
      </c>
      <c r="CX33" s="95">
        <f t="shared" si="135"/>
        <v>48197</v>
      </c>
      <c r="CY33" s="95">
        <f t="shared" si="135"/>
        <v>48050</v>
      </c>
      <c r="CZ33" s="95">
        <f t="shared" si="135"/>
        <v>47953</v>
      </c>
      <c r="DA33" s="95">
        <f t="shared" si="135"/>
        <v>47630</v>
      </c>
      <c r="DB33" s="95">
        <f t="shared" si="135"/>
        <v>45151</v>
      </c>
      <c r="DC33" s="95">
        <f t="shared" si="135"/>
        <v>47276</v>
      </c>
      <c r="DD33" s="95">
        <f t="shared" si="135"/>
        <v>44769</v>
      </c>
      <c r="DE33" s="95">
        <f t="shared" si="135"/>
        <v>44748</v>
      </c>
      <c r="DF33" s="107">
        <f t="shared" si="135"/>
        <v>46749</v>
      </c>
      <c r="DG33" s="95">
        <f t="shared" si="135"/>
        <v>42088</v>
      </c>
      <c r="DH33" s="95">
        <f t="shared" si="135"/>
        <v>46458</v>
      </c>
      <c r="DI33" s="95">
        <f t="shared" si="135"/>
        <v>46202</v>
      </c>
      <c r="DJ33" s="95">
        <f t="shared" si="135"/>
        <v>43979</v>
      </c>
      <c r="DK33" s="95">
        <f t="shared" si="135"/>
        <v>41713</v>
      </c>
      <c r="DL33" s="95">
        <f t="shared" ref="DL33:FK33" si="136">SUM(DL31:DL32)</f>
        <v>46032</v>
      </c>
      <c r="DM33" s="95">
        <f t="shared" si="136"/>
        <v>43732</v>
      </c>
      <c r="DN33" s="95">
        <f t="shared" si="136"/>
        <v>45751</v>
      </c>
      <c r="DO33" s="95">
        <f t="shared" si="136"/>
        <v>43475</v>
      </c>
      <c r="DP33" s="95">
        <f t="shared" si="136"/>
        <v>43612</v>
      </c>
      <c r="DQ33" s="95">
        <f t="shared" si="136"/>
        <v>45618</v>
      </c>
      <c r="DR33" s="95">
        <f t="shared" si="136"/>
        <v>40957</v>
      </c>
      <c r="DS33" s="95">
        <f t="shared" si="136"/>
        <v>40956</v>
      </c>
      <c r="DT33" s="95">
        <f t="shared" si="136"/>
        <v>43186</v>
      </c>
      <c r="DU33" s="95">
        <f t="shared" si="136"/>
        <v>44936</v>
      </c>
      <c r="DV33" s="355">
        <f t="shared" si="136"/>
        <v>44822</v>
      </c>
      <c r="DW33" s="355">
        <f t="shared" si="136"/>
        <v>44778</v>
      </c>
      <c r="DX33" s="355">
        <f t="shared" si="136"/>
        <v>45019</v>
      </c>
      <c r="DY33" s="355">
        <f t="shared" si="136"/>
        <v>44842</v>
      </c>
      <c r="DZ33" s="355">
        <f t="shared" si="136"/>
        <v>44551</v>
      </c>
      <c r="EA33" s="355">
        <f t="shared" si="136"/>
        <v>44496</v>
      </c>
      <c r="EB33" s="355">
        <f t="shared" si="136"/>
        <v>44460</v>
      </c>
      <c r="EC33" s="355">
        <f t="shared" si="136"/>
        <v>44336</v>
      </c>
      <c r="ED33" s="355">
        <f t="shared" si="136"/>
        <v>44277</v>
      </c>
      <c r="EE33" s="355">
        <f t="shared" si="136"/>
        <v>44335</v>
      </c>
      <c r="EF33" s="355">
        <f t="shared" si="136"/>
        <v>44068</v>
      </c>
      <c r="EG33" s="355">
        <f t="shared" si="136"/>
        <v>43896</v>
      </c>
      <c r="EH33" s="355">
        <f t="shared" si="136"/>
        <v>43882</v>
      </c>
      <c r="EI33" s="355">
        <f t="shared" si="136"/>
        <v>43906</v>
      </c>
      <c r="EJ33" s="355">
        <f t="shared" si="136"/>
        <v>43712</v>
      </c>
      <c r="EK33" s="355">
        <f t="shared" si="136"/>
        <v>43666</v>
      </c>
      <c r="EL33" s="355">
        <f t="shared" si="136"/>
        <v>43405</v>
      </c>
      <c r="EM33" s="355">
        <f t="shared" si="136"/>
        <v>43328</v>
      </c>
      <c r="EN33" s="355">
        <f t="shared" si="136"/>
        <v>43654</v>
      </c>
      <c r="EO33" s="355">
        <f t="shared" si="136"/>
        <v>43128</v>
      </c>
      <c r="EP33" s="355">
        <f t="shared" si="136"/>
        <v>42829</v>
      </c>
      <c r="EQ33" s="355">
        <f t="shared" si="136"/>
        <v>41274</v>
      </c>
      <c r="ER33" s="355">
        <f t="shared" si="136"/>
        <v>40423</v>
      </c>
      <c r="ES33" s="355">
        <f t="shared" si="136"/>
        <v>40577</v>
      </c>
      <c r="ET33" s="355">
        <f t="shared" si="136"/>
        <v>42616</v>
      </c>
      <c r="EU33" s="355">
        <f t="shared" si="136"/>
        <v>42603</v>
      </c>
      <c r="EV33" s="355">
        <f t="shared" si="136"/>
        <v>42384</v>
      </c>
      <c r="EW33" s="355">
        <f t="shared" si="136"/>
        <v>42293</v>
      </c>
      <c r="EX33" s="355">
        <f t="shared" si="136"/>
        <v>42121</v>
      </c>
      <c r="EY33" s="355">
        <f t="shared" si="136"/>
        <v>41984</v>
      </c>
      <c r="EZ33" s="355">
        <f t="shared" si="136"/>
        <v>41980</v>
      </c>
      <c r="FA33" s="355">
        <f t="shared" si="136"/>
        <v>41897</v>
      </c>
      <c r="FB33" s="355">
        <f t="shared" si="136"/>
        <v>41778</v>
      </c>
      <c r="FC33" s="355">
        <f t="shared" si="136"/>
        <v>41726</v>
      </c>
      <c r="FD33" s="355">
        <f t="shared" si="136"/>
        <v>41624</v>
      </c>
      <c r="FE33" s="355">
        <f t="shared" si="136"/>
        <v>41402</v>
      </c>
      <c r="FF33" s="355">
        <f t="shared" si="136"/>
        <v>41412</v>
      </c>
      <c r="FG33" s="355">
        <f t="shared" si="136"/>
        <v>41395</v>
      </c>
      <c r="FH33" s="355">
        <f t="shared" si="136"/>
        <v>41389</v>
      </c>
      <c r="FI33" s="355">
        <f t="shared" si="136"/>
        <v>41256</v>
      </c>
      <c r="FJ33" s="355">
        <f t="shared" si="136"/>
        <v>41070</v>
      </c>
      <c r="FK33" s="355">
        <f t="shared" si="136"/>
        <v>40986</v>
      </c>
      <c r="FL33" s="355">
        <f t="shared" ref="FL33:FQ33" si="137">SUM(FL31:FL32)</f>
        <v>40955</v>
      </c>
      <c r="FM33" s="355">
        <f t="shared" si="137"/>
        <v>40913</v>
      </c>
      <c r="FN33" s="355">
        <f t="shared" si="137"/>
        <v>40792</v>
      </c>
      <c r="FO33" s="355">
        <f t="shared" si="137"/>
        <v>40820</v>
      </c>
      <c r="FP33" s="355">
        <f t="shared" si="137"/>
        <v>40757</v>
      </c>
      <c r="FQ33" s="355">
        <f t="shared" si="137"/>
        <v>40688</v>
      </c>
      <c r="FR33" s="355">
        <f t="shared" ref="FR33:FT33" si="138">SUM(FR31:FR32)</f>
        <v>40694</v>
      </c>
      <c r="FS33" s="355">
        <f t="shared" si="138"/>
        <v>40788</v>
      </c>
      <c r="FT33" s="355">
        <f t="shared" si="138"/>
        <v>40621</v>
      </c>
    </row>
    <row r="34" spans="2:182" x14ac:dyDescent="0.25">
      <c r="B34" s="3" t="s">
        <v>10</v>
      </c>
      <c r="C34" s="36">
        <f t="shared" ref="C34:Q34" si="139">SUM(C31)/C33</f>
        <v>0.97877717896301808</v>
      </c>
      <c r="D34" s="14">
        <f t="shared" si="139"/>
        <v>0.97839651372966552</v>
      </c>
      <c r="E34" s="14">
        <f t="shared" si="139"/>
        <v>0.97370662518979367</v>
      </c>
      <c r="F34" s="14">
        <f t="shared" si="139"/>
        <v>0.96822558968225592</v>
      </c>
      <c r="G34" s="14">
        <f t="shared" si="139"/>
        <v>0.96488092303140871</v>
      </c>
      <c r="H34" s="14">
        <f t="shared" si="139"/>
        <v>0.96127151925309362</v>
      </c>
      <c r="I34" s="14">
        <f t="shared" si="139"/>
        <v>0.95650137435442317</v>
      </c>
      <c r="J34" s="14">
        <f t="shared" si="139"/>
        <v>0.94658004412846286</v>
      </c>
      <c r="K34" s="14">
        <f t="shared" si="139"/>
        <v>0.93914946995597315</v>
      </c>
      <c r="L34" s="14">
        <f t="shared" si="139"/>
        <v>0.78395624430264355</v>
      </c>
      <c r="M34" s="14">
        <f t="shared" si="139"/>
        <v>0.77762681159420288</v>
      </c>
      <c r="N34" s="23">
        <f t="shared" si="139"/>
        <v>0.7768102658111824</v>
      </c>
      <c r="O34" s="36">
        <f t="shared" si="139"/>
        <v>0.92358791970582921</v>
      </c>
      <c r="P34" s="14">
        <f t="shared" si="139"/>
        <v>0.91813965992338198</v>
      </c>
      <c r="Q34" s="14">
        <f t="shared" si="139"/>
        <v>0.90924140741401049</v>
      </c>
      <c r="R34" s="14">
        <f t="shared" ref="R34:W34" si="140">SUM(R31)/R33</f>
        <v>0.91970961516340533</v>
      </c>
      <c r="S34" s="14">
        <f t="shared" si="140"/>
        <v>0.90331624885821582</v>
      </c>
      <c r="T34" s="14">
        <f t="shared" si="140"/>
        <v>0.89771490750816108</v>
      </c>
      <c r="U34" s="14">
        <f t="shared" si="140"/>
        <v>0.88779107354143039</v>
      </c>
      <c r="V34" s="14">
        <f t="shared" si="140"/>
        <v>0.87961125003222396</v>
      </c>
      <c r="W34" s="14">
        <f t="shared" si="140"/>
        <v>0.87144173730188601</v>
      </c>
      <c r="X34" s="14">
        <f t="shared" ref="X34:AC34" si="141">SUM(X31)/X33</f>
        <v>0.86778213653542557</v>
      </c>
      <c r="Y34" s="14">
        <f t="shared" si="141"/>
        <v>0.86106947291137692</v>
      </c>
      <c r="Z34" s="23">
        <f t="shared" si="141"/>
        <v>0.85671496054680285</v>
      </c>
      <c r="AA34" s="14">
        <f t="shared" si="141"/>
        <v>0.85302898708066444</v>
      </c>
      <c r="AB34" s="14">
        <f t="shared" si="141"/>
        <v>0.8491323101615007</v>
      </c>
      <c r="AC34" s="14">
        <f t="shared" si="141"/>
        <v>0.84210924020503009</v>
      </c>
      <c r="AD34" s="14">
        <f t="shared" ref="AD34:AI34" si="142">SUM(AD31)/AD33</f>
        <v>0.84038616935312382</v>
      </c>
      <c r="AE34" s="14">
        <f t="shared" si="142"/>
        <v>0.83516182950919315</v>
      </c>
      <c r="AF34" s="14">
        <f t="shared" si="142"/>
        <v>0.8275880996816336</v>
      </c>
      <c r="AG34" s="14">
        <f t="shared" si="142"/>
        <v>0.82130298387685119</v>
      </c>
      <c r="AH34" s="14">
        <f t="shared" si="142"/>
        <v>0.81433160504959423</v>
      </c>
      <c r="AI34" s="14">
        <f t="shared" si="142"/>
        <v>0.8055239520958084</v>
      </c>
      <c r="AJ34" s="14">
        <f t="shared" ref="AJ34:AO34" si="143">SUM(AJ31)/AJ33</f>
        <v>0.79799671146912854</v>
      </c>
      <c r="AK34" s="14">
        <f t="shared" si="143"/>
        <v>0.79117030972673053</v>
      </c>
      <c r="AL34" s="23">
        <f t="shared" si="143"/>
        <v>0.78631450629825272</v>
      </c>
      <c r="AM34" s="14">
        <f t="shared" si="143"/>
        <v>0.7792508093109296</v>
      </c>
      <c r="AN34" s="14">
        <f t="shared" si="143"/>
        <v>0.77332528666264333</v>
      </c>
      <c r="AO34" s="14">
        <f t="shared" si="143"/>
        <v>0.76912080057183707</v>
      </c>
      <c r="AP34" s="14">
        <f t="shared" ref="AP34:AU34" si="144">SUM(AP31)/AP33</f>
        <v>0.76827469631937428</v>
      </c>
      <c r="AQ34" s="14">
        <f t="shared" si="144"/>
        <v>0.7629655297592528</v>
      </c>
      <c r="AR34" s="14">
        <f t="shared" si="144"/>
        <v>0.7574342475167114</v>
      </c>
      <c r="AS34" s="14">
        <f t="shared" si="144"/>
        <v>0.75743907365019525</v>
      </c>
      <c r="AT34" s="14">
        <f t="shared" si="144"/>
        <v>0.75193059946015384</v>
      </c>
      <c r="AU34" s="14">
        <f t="shared" si="144"/>
        <v>0.74614899704204185</v>
      </c>
      <c r="AV34" s="14">
        <f t="shared" ref="AV34:BJ34" si="145">SUM(AV31)/AV33</f>
        <v>0.74146032158941255</v>
      </c>
      <c r="AW34" s="14">
        <f t="shared" si="145"/>
        <v>0.7338390670753635</v>
      </c>
      <c r="AX34" s="23">
        <f t="shared" si="145"/>
        <v>0.7326385323612965</v>
      </c>
      <c r="AY34" s="14">
        <f t="shared" si="145"/>
        <v>0.73230396709566137</v>
      </c>
      <c r="AZ34" s="14">
        <f t="shared" si="145"/>
        <v>0.72947891861605263</v>
      </c>
      <c r="BA34" s="14">
        <f t="shared" si="145"/>
        <v>0.71995871030420788</v>
      </c>
      <c r="BB34" s="14">
        <f t="shared" si="145"/>
        <v>0.72131762185324044</v>
      </c>
      <c r="BC34" s="14">
        <f t="shared" si="145"/>
        <v>0.70969862135299777</v>
      </c>
      <c r="BD34" s="14">
        <f t="shared" si="145"/>
        <v>0.70774244260308516</v>
      </c>
      <c r="BE34" s="14">
        <f t="shared" si="145"/>
        <v>0.698873335609423</v>
      </c>
      <c r="BF34" s="14">
        <f t="shared" si="145"/>
        <v>0.69583446252929271</v>
      </c>
      <c r="BG34" s="14">
        <f t="shared" si="145"/>
        <v>0.69099305479800732</v>
      </c>
      <c r="BH34" s="14">
        <f t="shared" si="145"/>
        <v>0.68460659813209701</v>
      </c>
      <c r="BI34" s="14">
        <f t="shared" si="145"/>
        <v>0.68024596464258258</v>
      </c>
      <c r="BJ34" s="23">
        <f t="shared" si="145"/>
        <v>0.67576965150804813</v>
      </c>
      <c r="BK34" s="14">
        <f t="shared" ref="BK34:BV34" si="146">SUM(BK31)/BK33</f>
        <v>0.66810495423101113</v>
      </c>
      <c r="BL34" s="14">
        <f t="shared" si="146"/>
        <v>0.66900562851782364</v>
      </c>
      <c r="BM34" s="14">
        <f t="shared" si="146"/>
        <v>0.66264511339092869</v>
      </c>
      <c r="BN34" s="14">
        <f t="shared" si="146"/>
        <v>0.66235385225620003</v>
      </c>
      <c r="BO34" s="14">
        <f t="shared" si="146"/>
        <v>0.65417602613845216</v>
      </c>
      <c r="BP34" s="14">
        <f t="shared" si="146"/>
        <v>0.65277278285262175</v>
      </c>
      <c r="BQ34" s="14">
        <f t="shared" si="146"/>
        <v>0.64872521246458925</v>
      </c>
      <c r="BR34" s="14">
        <f t="shared" si="146"/>
        <v>0.64511453561016241</v>
      </c>
      <c r="BS34" s="14">
        <f t="shared" si="146"/>
        <v>0.64186295503211988</v>
      </c>
      <c r="BT34" s="14">
        <f t="shared" si="146"/>
        <v>0.63675654170961504</v>
      </c>
      <c r="BU34" s="14">
        <f t="shared" si="146"/>
        <v>0.63388840516615874</v>
      </c>
      <c r="BV34" s="23">
        <f t="shared" si="146"/>
        <v>0.63020378457059678</v>
      </c>
      <c r="BW34" s="14">
        <f t="shared" ref="BW34:CB34" si="147">SUM(BW31)/BW33</f>
        <v>0.62522981705652136</v>
      </c>
      <c r="BX34" s="14">
        <f t="shared" si="147"/>
        <v>0.62462033885900392</v>
      </c>
      <c r="BY34" s="14">
        <f t="shared" si="147"/>
        <v>0.62248245276449132</v>
      </c>
      <c r="BZ34" s="14">
        <f t="shared" si="147"/>
        <v>0.61896285965942455</v>
      </c>
      <c r="CA34" s="14">
        <f t="shared" si="147"/>
        <v>0.61541277686252971</v>
      </c>
      <c r="CB34" s="14">
        <f t="shared" si="147"/>
        <v>0.60737081645112945</v>
      </c>
      <c r="CC34" s="14">
        <f t="shared" ref="CC34:DK34" si="148">SUM(CC31)/CC33</f>
        <v>0.60130388354971054</v>
      </c>
      <c r="CD34" s="14">
        <f t="shared" si="148"/>
        <v>0.59728855627844002</v>
      </c>
      <c r="CE34" s="14">
        <f t="shared" si="148"/>
        <v>0.59353825188325704</v>
      </c>
      <c r="CF34" s="14">
        <f t="shared" si="148"/>
        <v>0.58914551413979721</v>
      </c>
      <c r="CG34" s="14">
        <f t="shared" si="148"/>
        <v>0.58278790191775598</v>
      </c>
      <c r="CH34" s="23">
        <f t="shared" si="148"/>
        <v>0.57561170516381899</v>
      </c>
      <c r="CI34" s="239">
        <f t="shared" si="148"/>
        <v>0.57915851082385317</v>
      </c>
      <c r="CJ34" s="240">
        <f t="shared" si="148"/>
        <v>0.57283502943814091</v>
      </c>
      <c r="CK34" s="240">
        <f t="shared" si="148"/>
        <v>0.5699592508424105</v>
      </c>
      <c r="CL34" s="240">
        <f t="shared" si="148"/>
        <v>0.56703586394129568</v>
      </c>
      <c r="CM34" s="240">
        <f t="shared" si="148"/>
        <v>0.5591600031668118</v>
      </c>
      <c r="CN34" s="240">
        <f t="shared" si="148"/>
        <v>0.55361015499094723</v>
      </c>
      <c r="CO34" s="240">
        <f t="shared" si="148"/>
        <v>0.5492732790289091</v>
      </c>
      <c r="CP34" s="240">
        <f t="shared" si="148"/>
        <v>0.54493572029316351</v>
      </c>
      <c r="CQ34" s="240">
        <f t="shared" si="148"/>
        <v>0.5368893519817256</v>
      </c>
      <c r="CR34" s="240">
        <f t="shared" si="148"/>
        <v>0.53013431062604455</v>
      </c>
      <c r="CS34" s="240">
        <f t="shared" si="148"/>
        <v>0.52464225717003665</v>
      </c>
      <c r="CT34" s="241">
        <f t="shared" si="148"/>
        <v>0.5182524705261663</v>
      </c>
      <c r="CU34" s="240">
        <f t="shared" si="148"/>
        <v>0.51838001994379479</v>
      </c>
      <c r="CV34" s="240">
        <f t="shared" si="148"/>
        <v>0.51315193677190962</v>
      </c>
      <c r="CW34" s="240">
        <f t="shared" si="148"/>
        <v>0.50707571531866547</v>
      </c>
      <c r="CX34" s="240">
        <f t="shared" si="148"/>
        <v>0.5021059402037471</v>
      </c>
      <c r="CY34" s="240">
        <f t="shared" si="148"/>
        <v>0.4987513007284079</v>
      </c>
      <c r="CZ34" s="240">
        <f t="shared" si="148"/>
        <v>0.49504723374971327</v>
      </c>
      <c r="DA34" s="240">
        <f t="shared" si="148"/>
        <v>0.49265169011127441</v>
      </c>
      <c r="DB34" s="240">
        <f t="shared" si="148"/>
        <v>0.49013310890124251</v>
      </c>
      <c r="DC34" s="240">
        <f t="shared" si="148"/>
        <v>0.48561638040443356</v>
      </c>
      <c r="DD34" s="240">
        <f t="shared" si="148"/>
        <v>0.48283410395586229</v>
      </c>
      <c r="DE34" s="240">
        <f t="shared" si="148"/>
        <v>0.47595423259140074</v>
      </c>
      <c r="DF34" s="241">
        <f t="shared" si="148"/>
        <v>0.46880147168923397</v>
      </c>
      <c r="DG34" s="240">
        <f t="shared" si="148"/>
        <v>0.46409903060254704</v>
      </c>
      <c r="DH34" s="240">
        <f t="shared" si="148"/>
        <v>0.46304188729605233</v>
      </c>
      <c r="DI34" s="240">
        <f t="shared" si="148"/>
        <v>0.46075927449028181</v>
      </c>
      <c r="DJ34" s="240">
        <f t="shared" si="148"/>
        <v>0.45887810091179881</v>
      </c>
      <c r="DK34" s="240">
        <f t="shared" si="148"/>
        <v>0.45491813103828543</v>
      </c>
      <c r="DL34" s="240">
        <f t="shared" ref="DL34:FK34" si="149">SUM(DL31)/DL33</f>
        <v>0.45261991657977058</v>
      </c>
      <c r="DM34" s="240">
        <f t="shared" si="149"/>
        <v>0.45179731089362479</v>
      </c>
      <c r="DN34" s="240">
        <f t="shared" si="149"/>
        <v>0.44680990579440888</v>
      </c>
      <c r="DO34" s="240">
        <f t="shared" si="149"/>
        <v>0.44264519838987926</v>
      </c>
      <c r="DP34" s="240">
        <f t="shared" si="149"/>
        <v>0.44086489956892599</v>
      </c>
      <c r="DQ34" s="240">
        <f t="shared" si="149"/>
        <v>0.43544215002849751</v>
      </c>
      <c r="DR34" s="240">
        <f t="shared" si="149"/>
        <v>0.4365309959225529</v>
      </c>
      <c r="DS34" s="240">
        <f t="shared" si="149"/>
        <v>0.43480808672721943</v>
      </c>
      <c r="DT34" s="240">
        <f t="shared" si="149"/>
        <v>0.42849534571388875</v>
      </c>
      <c r="DU34" s="240">
        <f t="shared" si="149"/>
        <v>0.42674025280398792</v>
      </c>
      <c r="DV34" s="356">
        <f t="shared" si="149"/>
        <v>0.42349738967471329</v>
      </c>
      <c r="DW34" s="356">
        <f t="shared" si="149"/>
        <v>0.41924605833221673</v>
      </c>
      <c r="DX34" s="356">
        <f t="shared" si="149"/>
        <v>0.4130256114085164</v>
      </c>
      <c r="DY34" s="356">
        <f t="shared" si="149"/>
        <v>0.41264885598323003</v>
      </c>
      <c r="DZ34" s="356">
        <f t="shared" si="149"/>
        <v>0.4114161298287356</v>
      </c>
      <c r="EA34" s="356">
        <f t="shared" si="149"/>
        <v>0.40999190938511326</v>
      </c>
      <c r="EB34" s="356">
        <f t="shared" si="149"/>
        <v>0.40596041385515069</v>
      </c>
      <c r="EC34" s="356">
        <f t="shared" si="149"/>
        <v>0.40226903644893541</v>
      </c>
      <c r="ED34" s="356">
        <f t="shared" si="149"/>
        <v>0.40009485737516093</v>
      </c>
      <c r="EE34" s="356">
        <f t="shared" si="149"/>
        <v>0.39715800157888803</v>
      </c>
      <c r="EF34" s="356">
        <f t="shared" si="149"/>
        <v>0.39357356812199329</v>
      </c>
      <c r="EG34" s="356">
        <f t="shared" si="149"/>
        <v>0.38971660287953347</v>
      </c>
      <c r="EH34" s="356">
        <f t="shared" si="149"/>
        <v>0.38605806481017274</v>
      </c>
      <c r="EI34" s="356">
        <f t="shared" si="149"/>
        <v>0.38584703685145538</v>
      </c>
      <c r="EJ34" s="356">
        <f t="shared" si="149"/>
        <v>0.38266379941434847</v>
      </c>
      <c r="EK34" s="356">
        <f t="shared" si="149"/>
        <v>0.38107452022168276</v>
      </c>
      <c r="EL34" s="356">
        <f t="shared" si="149"/>
        <v>0.38023269208616517</v>
      </c>
      <c r="EM34" s="356">
        <f t="shared" si="149"/>
        <v>0.37779265140324964</v>
      </c>
      <c r="EN34" s="356">
        <f t="shared" si="149"/>
        <v>0.37254318046456225</v>
      </c>
      <c r="EO34" s="356">
        <f t="shared" si="149"/>
        <v>0.37425802263030977</v>
      </c>
      <c r="EP34" s="356">
        <f t="shared" si="149"/>
        <v>0.37385883396763875</v>
      </c>
      <c r="EQ34" s="356">
        <f t="shared" si="149"/>
        <v>0.36589620584387267</v>
      </c>
      <c r="ER34" s="356">
        <f t="shared" si="149"/>
        <v>0.36976473789674197</v>
      </c>
      <c r="ES34" s="356">
        <f t="shared" si="149"/>
        <v>0.36680878330088473</v>
      </c>
      <c r="ET34" s="356">
        <f t="shared" si="149"/>
        <v>0.36263375258119018</v>
      </c>
      <c r="EU34" s="356">
        <f t="shared" si="149"/>
        <v>0.3600215947233763</v>
      </c>
      <c r="EV34" s="356">
        <f t="shared" si="149"/>
        <v>0.35994714986787468</v>
      </c>
      <c r="EW34" s="356">
        <f t="shared" si="149"/>
        <v>0.35873548814224576</v>
      </c>
      <c r="EX34" s="356">
        <f t="shared" si="149"/>
        <v>0.35763633342038414</v>
      </c>
      <c r="EY34" s="356">
        <f t="shared" si="149"/>
        <v>0.35649294969512196</v>
      </c>
      <c r="EZ34" s="356">
        <f t="shared" si="149"/>
        <v>0.35438303954263933</v>
      </c>
      <c r="FA34" s="356">
        <f t="shared" si="149"/>
        <v>0.35329498532114473</v>
      </c>
      <c r="FB34" s="356">
        <f t="shared" si="149"/>
        <v>0.35231461534779068</v>
      </c>
      <c r="FC34" s="356">
        <f t="shared" si="149"/>
        <v>0.35160331687676749</v>
      </c>
      <c r="FD34" s="356">
        <f t="shared" si="149"/>
        <v>0.34975014414760713</v>
      </c>
      <c r="FE34" s="356">
        <f t="shared" si="149"/>
        <v>0.3479783585334042</v>
      </c>
      <c r="FF34" s="356">
        <f t="shared" si="149"/>
        <v>0.34579348980971697</v>
      </c>
      <c r="FG34" s="356">
        <f t="shared" si="149"/>
        <v>0.34267423601884284</v>
      </c>
      <c r="FH34" s="356">
        <f t="shared" si="149"/>
        <v>0.34062190437072654</v>
      </c>
      <c r="FI34" s="356">
        <f t="shared" si="149"/>
        <v>0.33726003490401396</v>
      </c>
      <c r="FJ34" s="356">
        <f t="shared" si="149"/>
        <v>0.33584124665205745</v>
      </c>
      <c r="FK34" s="356">
        <f t="shared" si="149"/>
        <v>0.33333333333333331</v>
      </c>
      <c r="FL34" s="356">
        <f t="shared" ref="FL34:FQ34" si="150">SUM(FL31)/FL33</f>
        <v>0.33243804175314368</v>
      </c>
      <c r="FM34" s="356">
        <f t="shared" si="150"/>
        <v>0.32881969056290178</v>
      </c>
      <c r="FN34" s="356">
        <f t="shared" si="150"/>
        <v>0.32614238085899194</v>
      </c>
      <c r="FO34" s="356">
        <f t="shared" si="150"/>
        <v>0.3238608525232729</v>
      </c>
      <c r="FP34" s="356">
        <f t="shared" si="150"/>
        <v>0.32090193095664549</v>
      </c>
      <c r="FQ34" s="356">
        <f t="shared" si="150"/>
        <v>0.31940621313409356</v>
      </c>
      <c r="FR34" s="356">
        <f t="shared" ref="FR34:FT34" si="151">SUM(FR31)/FR33</f>
        <v>0.31717206467783948</v>
      </c>
      <c r="FS34" s="356">
        <f t="shared" si="151"/>
        <v>0.31533784446405805</v>
      </c>
      <c r="FT34" s="356">
        <f t="shared" si="151"/>
        <v>0.31304005317446643</v>
      </c>
    </row>
    <row r="35" spans="2:182" ht="13.8" thickBot="1" x14ac:dyDescent="0.3">
      <c r="B35" s="4" t="s">
        <v>11</v>
      </c>
      <c r="C35" s="37">
        <f t="shared" ref="C35:Q35" si="152">SUM(C32/C33)</f>
        <v>2.1222821036981972E-2</v>
      </c>
      <c r="D35" s="15">
        <f t="shared" si="152"/>
        <v>2.1603486270334513E-2</v>
      </c>
      <c r="E35" s="15">
        <f t="shared" si="152"/>
        <v>2.6293374810206275E-2</v>
      </c>
      <c r="F35" s="15">
        <f t="shared" si="152"/>
        <v>3.1774410317744105E-2</v>
      </c>
      <c r="G35" s="15">
        <f t="shared" si="152"/>
        <v>3.511907696859129E-2</v>
      </c>
      <c r="H35" s="15">
        <f t="shared" si="152"/>
        <v>3.8728480746906414E-2</v>
      </c>
      <c r="I35" s="15">
        <f t="shared" si="152"/>
        <v>4.3498625645576799E-2</v>
      </c>
      <c r="J35" s="15">
        <f t="shared" si="152"/>
        <v>5.3419955871537139E-2</v>
      </c>
      <c r="K35" s="15">
        <f t="shared" si="152"/>
        <v>6.0850530044026858E-2</v>
      </c>
      <c r="L35" s="15">
        <f t="shared" si="152"/>
        <v>0.21604375569735643</v>
      </c>
      <c r="M35" s="15">
        <f t="shared" si="152"/>
        <v>0.22237318840579709</v>
      </c>
      <c r="N35" s="24">
        <f t="shared" si="152"/>
        <v>0.2231897341888176</v>
      </c>
      <c r="O35" s="37">
        <f t="shared" si="152"/>
        <v>7.6412080294170834E-2</v>
      </c>
      <c r="P35" s="15">
        <f t="shared" si="152"/>
        <v>8.1860340076618049E-2</v>
      </c>
      <c r="Q35" s="15">
        <f t="shared" si="152"/>
        <v>9.0758592585989534E-2</v>
      </c>
      <c r="R35" s="15">
        <f t="shared" ref="R35:W35" si="153">SUM(R32/R33)</f>
        <v>8.0290384836594619E-2</v>
      </c>
      <c r="S35" s="15">
        <f t="shared" si="153"/>
        <v>9.6683751141784222E-2</v>
      </c>
      <c r="T35" s="15">
        <f t="shared" si="153"/>
        <v>0.10228509249183895</v>
      </c>
      <c r="U35" s="15">
        <f t="shared" si="153"/>
        <v>0.11220892645856967</v>
      </c>
      <c r="V35" s="15">
        <f t="shared" si="153"/>
        <v>0.12038874996777603</v>
      </c>
      <c r="W35" s="15">
        <f t="shared" si="153"/>
        <v>0.12855826269811393</v>
      </c>
      <c r="X35" s="15">
        <f t="shared" ref="X35:AC35" si="154">SUM(X32/X33)</f>
        <v>0.13221786346457445</v>
      </c>
      <c r="Y35" s="15">
        <f t="shared" si="154"/>
        <v>0.13893052708862308</v>
      </c>
      <c r="Z35" s="24">
        <f t="shared" si="154"/>
        <v>0.14328503945319715</v>
      </c>
      <c r="AA35" s="15">
        <f t="shared" si="154"/>
        <v>0.14697101291933556</v>
      </c>
      <c r="AB35" s="15">
        <f t="shared" si="154"/>
        <v>0.15086768983849935</v>
      </c>
      <c r="AC35" s="15">
        <f t="shared" si="154"/>
        <v>0.15789075979496997</v>
      </c>
      <c r="AD35" s="15">
        <f t="shared" ref="AD35:AI35" si="155">SUM(AD32/AD33)</f>
        <v>0.1596138306468762</v>
      </c>
      <c r="AE35" s="15">
        <f t="shared" si="155"/>
        <v>0.16483817049080687</v>
      </c>
      <c r="AF35" s="15">
        <f t="shared" si="155"/>
        <v>0.17241190031836645</v>
      </c>
      <c r="AG35" s="15">
        <f t="shared" si="155"/>
        <v>0.17869701612314876</v>
      </c>
      <c r="AH35" s="15">
        <f t="shared" si="155"/>
        <v>0.18566839495040577</v>
      </c>
      <c r="AI35" s="15">
        <f t="shared" si="155"/>
        <v>0.19447604790419162</v>
      </c>
      <c r="AJ35" s="15">
        <f t="shared" ref="AJ35:AO35" si="156">SUM(AJ32/AJ33)</f>
        <v>0.20200328853087146</v>
      </c>
      <c r="AK35" s="15">
        <f t="shared" si="156"/>
        <v>0.20882969027326947</v>
      </c>
      <c r="AL35" s="24">
        <f t="shared" si="156"/>
        <v>0.21368549370174725</v>
      </c>
      <c r="AM35" s="15">
        <f t="shared" si="156"/>
        <v>0.22074919068907045</v>
      </c>
      <c r="AN35" s="15">
        <f t="shared" si="156"/>
        <v>0.22667471333735667</v>
      </c>
      <c r="AO35" s="15">
        <f t="shared" si="156"/>
        <v>0.23087919942816298</v>
      </c>
      <c r="AP35" s="15">
        <f t="shared" ref="AP35:AU35" si="157">SUM(AP32/AP33)</f>
        <v>0.23172530368062574</v>
      </c>
      <c r="AQ35" s="15">
        <f t="shared" si="157"/>
        <v>0.23703447024074717</v>
      </c>
      <c r="AR35" s="15">
        <f t="shared" si="157"/>
        <v>0.24256575248328857</v>
      </c>
      <c r="AS35" s="15">
        <f t="shared" si="157"/>
        <v>0.24256092634980478</v>
      </c>
      <c r="AT35" s="15">
        <f t="shared" si="157"/>
        <v>0.24806940053984614</v>
      </c>
      <c r="AU35" s="15">
        <f t="shared" si="157"/>
        <v>0.25385100295795821</v>
      </c>
      <c r="AV35" s="15">
        <f>SUM(AV32/AV33)</f>
        <v>0.25853967841058739</v>
      </c>
      <c r="AW35" s="15">
        <f>SUM(AW32/AW33)</f>
        <v>0.26616093292463655</v>
      </c>
      <c r="AX35" s="24">
        <f>SUM(AX32/AX33)</f>
        <v>0.2673614676387035</v>
      </c>
      <c r="AY35" s="15">
        <f t="shared" ref="AY35:BG35" si="158">SUM(AY32/AY33)</f>
        <v>0.26769603290433858</v>
      </c>
      <c r="AZ35" s="15">
        <f t="shared" si="158"/>
        <v>0.27052108138394731</v>
      </c>
      <c r="BA35" s="15">
        <f t="shared" si="158"/>
        <v>0.28004128969579212</v>
      </c>
      <c r="BB35" s="15">
        <f t="shared" si="158"/>
        <v>0.2786823781467595</v>
      </c>
      <c r="BC35" s="15">
        <f t="shared" si="158"/>
        <v>0.29030137864700223</v>
      </c>
      <c r="BD35" s="15">
        <f t="shared" si="158"/>
        <v>0.29225755739691484</v>
      </c>
      <c r="BE35" s="15">
        <f t="shared" si="158"/>
        <v>0.301126664390577</v>
      </c>
      <c r="BF35" s="15">
        <f t="shared" si="158"/>
        <v>0.30416553747070735</v>
      </c>
      <c r="BG35" s="15">
        <f t="shared" si="158"/>
        <v>0.30900694520199268</v>
      </c>
      <c r="BH35" s="15">
        <f>SUM(BH32/BH33)</f>
        <v>0.31539340186790299</v>
      </c>
      <c r="BI35" s="15">
        <f>SUM(BI32/BI33)</f>
        <v>0.31975403535741737</v>
      </c>
      <c r="BJ35" s="24">
        <f>SUM(BJ32/BJ33)</f>
        <v>0.32423034849195187</v>
      </c>
      <c r="BK35" s="15">
        <f t="shared" ref="BK35:BS35" si="159">SUM(BK32/BK33)</f>
        <v>0.33189504576898887</v>
      </c>
      <c r="BL35" s="15">
        <f t="shared" si="159"/>
        <v>0.33099437148217636</v>
      </c>
      <c r="BM35" s="15">
        <f t="shared" si="159"/>
        <v>0.33735488660907126</v>
      </c>
      <c r="BN35" s="15">
        <f t="shared" si="159"/>
        <v>0.33764614774379992</v>
      </c>
      <c r="BO35" s="15">
        <f t="shared" si="159"/>
        <v>0.3458239738615479</v>
      </c>
      <c r="BP35" s="15">
        <f t="shared" si="159"/>
        <v>0.34722721714737825</v>
      </c>
      <c r="BQ35" s="15">
        <f t="shared" si="159"/>
        <v>0.35127478753541075</v>
      </c>
      <c r="BR35" s="15">
        <f t="shared" si="159"/>
        <v>0.35488546438983759</v>
      </c>
      <c r="BS35" s="15">
        <f t="shared" si="159"/>
        <v>0.35813704496788007</v>
      </c>
      <c r="BT35" s="15">
        <f>SUM(BT32/BT33)</f>
        <v>0.36324345829038501</v>
      </c>
      <c r="BU35" s="15">
        <f>SUM(BU32/BU33)</f>
        <v>0.36611159483384126</v>
      </c>
      <c r="BV35" s="24">
        <f>SUM(BV32/BV33)</f>
        <v>0.36979621542940322</v>
      </c>
      <c r="BW35" s="15">
        <f t="shared" ref="BW35:CB35" si="160">SUM(BW32/BW33)</f>
        <v>0.37477018294347864</v>
      </c>
      <c r="BX35" s="15">
        <f t="shared" si="160"/>
        <v>0.37537966114099608</v>
      </c>
      <c r="BY35" s="15">
        <f t="shared" si="160"/>
        <v>0.37751754723550862</v>
      </c>
      <c r="BZ35" s="15">
        <f t="shared" si="160"/>
        <v>0.38103714034057545</v>
      </c>
      <c r="CA35" s="15">
        <f t="shared" si="160"/>
        <v>0.38458722313747024</v>
      </c>
      <c r="CB35" s="15">
        <f t="shared" si="160"/>
        <v>0.3926291835488705</v>
      </c>
      <c r="CC35" s="15">
        <f t="shared" ref="CC35:DK35" si="161">SUM(CC32/CC33)</f>
        <v>0.39869611645028946</v>
      </c>
      <c r="CD35" s="15">
        <f t="shared" si="161"/>
        <v>0.40271144372155993</v>
      </c>
      <c r="CE35" s="15">
        <f t="shared" si="161"/>
        <v>0.40646174811674302</v>
      </c>
      <c r="CF35" s="15">
        <f t="shared" si="161"/>
        <v>0.41085448586020273</v>
      </c>
      <c r="CG35" s="15">
        <f t="shared" si="161"/>
        <v>0.41721209808224408</v>
      </c>
      <c r="CH35" s="24">
        <f t="shared" si="161"/>
        <v>0.42438829483618096</v>
      </c>
      <c r="CI35" s="244">
        <f t="shared" si="161"/>
        <v>0.42084148917614683</v>
      </c>
      <c r="CJ35" s="245">
        <f t="shared" si="161"/>
        <v>0.42716497056185909</v>
      </c>
      <c r="CK35" s="245">
        <f t="shared" si="161"/>
        <v>0.43004074915758955</v>
      </c>
      <c r="CL35" s="245">
        <f t="shared" si="161"/>
        <v>0.43296413605870432</v>
      </c>
      <c r="CM35" s="245">
        <f t="shared" si="161"/>
        <v>0.4408399968331882</v>
      </c>
      <c r="CN35" s="245">
        <f t="shared" si="161"/>
        <v>0.44638984500905277</v>
      </c>
      <c r="CO35" s="245">
        <f t="shared" si="161"/>
        <v>0.4507267209710909</v>
      </c>
      <c r="CP35" s="245">
        <f t="shared" si="161"/>
        <v>0.45506427970683649</v>
      </c>
      <c r="CQ35" s="245">
        <f t="shared" si="161"/>
        <v>0.46311064801827434</v>
      </c>
      <c r="CR35" s="245">
        <f t="shared" si="161"/>
        <v>0.4698656893739554</v>
      </c>
      <c r="CS35" s="245">
        <f t="shared" si="161"/>
        <v>0.47535774282996335</v>
      </c>
      <c r="CT35" s="246">
        <f t="shared" si="161"/>
        <v>0.4817475294738337</v>
      </c>
      <c r="CU35" s="245">
        <f t="shared" si="161"/>
        <v>0.48161998005620527</v>
      </c>
      <c r="CV35" s="245">
        <f t="shared" si="161"/>
        <v>0.48684806322809038</v>
      </c>
      <c r="CW35" s="245">
        <f t="shared" si="161"/>
        <v>0.49292428468133459</v>
      </c>
      <c r="CX35" s="245">
        <f t="shared" si="161"/>
        <v>0.4978940597962529</v>
      </c>
      <c r="CY35" s="245">
        <f t="shared" si="161"/>
        <v>0.5012486992715921</v>
      </c>
      <c r="CZ35" s="245">
        <f t="shared" si="161"/>
        <v>0.50495276625028673</v>
      </c>
      <c r="DA35" s="245">
        <f t="shared" si="161"/>
        <v>0.50734830988872559</v>
      </c>
      <c r="DB35" s="245">
        <f t="shared" si="161"/>
        <v>0.50986689109875749</v>
      </c>
      <c r="DC35" s="245">
        <f t="shared" si="161"/>
        <v>0.51438361959556644</v>
      </c>
      <c r="DD35" s="245">
        <f t="shared" si="161"/>
        <v>0.51716589604413765</v>
      </c>
      <c r="DE35" s="245">
        <f t="shared" si="161"/>
        <v>0.52404576740859932</v>
      </c>
      <c r="DF35" s="246">
        <f t="shared" si="161"/>
        <v>0.53119852831076597</v>
      </c>
      <c r="DG35" s="245">
        <f t="shared" si="161"/>
        <v>0.53590096939745291</v>
      </c>
      <c r="DH35" s="245">
        <f t="shared" si="161"/>
        <v>0.53695811270394767</v>
      </c>
      <c r="DI35" s="245">
        <f t="shared" si="161"/>
        <v>0.53924072550971824</v>
      </c>
      <c r="DJ35" s="245">
        <f t="shared" si="161"/>
        <v>0.54112189908820119</v>
      </c>
      <c r="DK35" s="245">
        <f t="shared" si="161"/>
        <v>0.54508186896171462</v>
      </c>
      <c r="DL35" s="245">
        <f t="shared" ref="DL35:FK35" si="162">SUM(DL32/DL33)</f>
        <v>0.54738008342022937</v>
      </c>
      <c r="DM35" s="245">
        <f t="shared" si="162"/>
        <v>0.54820268910637515</v>
      </c>
      <c r="DN35" s="245">
        <f t="shared" si="162"/>
        <v>0.55319009420559118</v>
      </c>
      <c r="DO35" s="245">
        <f t="shared" si="162"/>
        <v>0.55735480161012074</v>
      </c>
      <c r="DP35" s="245">
        <f t="shared" si="162"/>
        <v>0.55913510043107406</v>
      </c>
      <c r="DQ35" s="245">
        <f t="shared" si="162"/>
        <v>0.56455784997150249</v>
      </c>
      <c r="DR35" s="245">
        <f t="shared" si="162"/>
        <v>0.56346900407744704</v>
      </c>
      <c r="DS35" s="245">
        <f t="shared" si="162"/>
        <v>0.56519191327278051</v>
      </c>
      <c r="DT35" s="245">
        <f t="shared" si="162"/>
        <v>0.57150465428611119</v>
      </c>
      <c r="DU35" s="245">
        <f t="shared" si="162"/>
        <v>0.57325974719601214</v>
      </c>
      <c r="DV35" s="357">
        <f t="shared" si="162"/>
        <v>0.57650261032528671</v>
      </c>
      <c r="DW35" s="357">
        <f t="shared" si="162"/>
        <v>0.58075394166778327</v>
      </c>
      <c r="DX35" s="357">
        <f t="shared" si="162"/>
        <v>0.58697438859148354</v>
      </c>
      <c r="DY35" s="357">
        <f t="shared" si="162"/>
        <v>0.58735114401677002</v>
      </c>
      <c r="DZ35" s="357">
        <f t="shared" si="162"/>
        <v>0.58858387017126435</v>
      </c>
      <c r="EA35" s="357">
        <f t="shared" si="162"/>
        <v>0.59000809061488668</v>
      </c>
      <c r="EB35" s="357">
        <f t="shared" si="162"/>
        <v>0.59403958614484931</v>
      </c>
      <c r="EC35" s="357">
        <f t="shared" si="162"/>
        <v>0.59773096355106459</v>
      </c>
      <c r="ED35" s="357">
        <f t="shared" si="162"/>
        <v>0.59990514262483907</v>
      </c>
      <c r="EE35" s="357">
        <f t="shared" si="162"/>
        <v>0.60284199842111197</v>
      </c>
      <c r="EF35" s="357">
        <f t="shared" si="162"/>
        <v>0.60642643187800671</v>
      </c>
      <c r="EG35" s="357">
        <f t="shared" si="162"/>
        <v>0.61028339712046653</v>
      </c>
      <c r="EH35" s="357">
        <f t="shared" si="162"/>
        <v>0.61394193518982731</v>
      </c>
      <c r="EI35" s="357">
        <f t="shared" si="162"/>
        <v>0.61415296314854462</v>
      </c>
      <c r="EJ35" s="357">
        <f t="shared" si="162"/>
        <v>0.61733620058565153</v>
      </c>
      <c r="EK35" s="357">
        <f t="shared" si="162"/>
        <v>0.61892547977831724</v>
      </c>
      <c r="EL35" s="357">
        <f t="shared" si="162"/>
        <v>0.61976730791383483</v>
      </c>
      <c r="EM35" s="357">
        <f t="shared" si="162"/>
        <v>0.62220734859675042</v>
      </c>
      <c r="EN35" s="357">
        <f t="shared" si="162"/>
        <v>0.62745681953543775</v>
      </c>
      <c r="EO35" s="357">
        <f t="shared" si="162"/>
        <v>0.62574197736969017</v>
      </c>
      <c r="EP35" s="357">
        <f t="shared" si="162"/>
        <v>0.62614116603236125</v>
      </c>
      <c r="EQ35" s="357">
        <f t="shared" si="162"/>
        <v>0.63410379415612739</v>
      </c>
      <c r="ER35" s="357">
        <f t="shared" si="162"/>
        <v>0.63023526210325809</v>
      </c>
      <c r="ES35" s="357">
        <f t="shared" si="162"/>
        <v>0.63319121669911527</v>
      </c>
      <c r="ET35" s="357">
        <f t="shared" si="162"/>
        <v>0.63736624741880987</v>
      </c>
      <c r="EU35" s="357">
        <f t="shared" si="162"/>
        <v>0.63997840527662375</v>
      </c>
      <c r="EV35" s="357">
        <f t="shared" si="162"/>
        <v>0.64005285013212532</v>
      </c>
      <c r="EW35" s="357">
        <f t="shared" si="162"/>
        <v>0.64126451185775424</v>
      </c>
      <c r="EX35" s="357">
        <f t="shared" si="162"/>
        <v>0.64236366657961586</v>
      </c>
      <c r="EY35" s="357">
        <f t="shared" si="162"/>
        <v>0.64350705030487809</v>
      </c>
      <c r="EZ35" s="357">
        <f t="shared" si="162"/>
        <v>0.64561696045736061</v>
      </c>
      <c r="FA35" s="357">
        <f t="shared" si="162"/>
        <v>0.64670501467885533</v>
      </c>
      <c r="FB35" s="357">
        <f t="shared" si="162"/>
        <v>0.64768538465220926</v>
      </c>
      <c r="FC35" s="357">
        <f t="shared" si="162"/>
        <v>0.64839668312323251</v>
      </c>
      <c r="FD35" s="357">
        <f t="shared" si="162"/>
        <v>0.65024985585239281</v>
      </c>
      <c r="FE35" s="357">
        <f t="shared" si="162"/>
        <v>0.6520216414665958</v>
      </c>
      <c r="FF35" s="357">
        <f t="shared" si="162"/>
        <v>0.65420651019028297</v>
      </c>
      <c r="FG35" s="357">
        <f t="shared" si="162"/>
        <v>0.65732576398115716</v>
      </c>
      <c r="FH35" s="357">
        <f t="shared" si="162"/>
        <v>0.65937809562927352</v>
      </c>
      <c r="FI35" s="357">
        <f t="shared" si="162"/>
        <v>0.66273996509598598</v>
      </c>
      <c r="FJ35" s="357">
        <f t="shared" si="162"/>
        <v>0.6641587533479425</v>
      </c>
      <c r="FK35" s="357">
        <f t="shared" si="162"/>
        <v>0.66666666666666663</v>
      </c>
      <c r="FL35" s="357">
        <f t="shared" ref="FL35:FQ35" si="163">SUM(FL32/FL33)</f>
        <v>0.66756195824685627</v>
      </c>
      <c r="FM35" s="357">
        <f t="shared" si="163"/>
        <v>0.67118030943709828</v>
      </c>
      <c r="FN35" s="357">
        <f t="shared" si="163"/>
        <v>0.67385761914100806</v>
      </c>
      <c r="FO35" s="357">
        <f t="shared" si="163"/>
        <v>0.6761391474767271</v>
      </c>
      <c r="FP35" s="357">
        <f t="shared" si="163"/>
        <v>0.67909806904335457</v>
      </c>
      <c r="FQ35" s="357">
        <f t="shared" si="163"/>
        <v>0.68059378686590644</v>
      </c>
      <c r="FR35" s="357">
        <f t="shared" ref="FR35:FT35" si="164">SUM(FR32/FR33)</f>
        <v>0.68282793532216046</v>
      </c>
      <c r="FS35" s="357">
        <f t="shared" si="164"/>
        <v>0.6846621555359419</v>
      </c>
      <c r="FT35" s="357">
        <f t="shared" si="164"/>
        <v>0.68695994682553363</v>
      </c>
    </row>
    <row r="36" spans="2:182" x14ac:dyDescent="0.25">
      <c r="B36" s="179"/>
      <c r="C36" s="38"/>
      <c r="H36" s="7"/>
      <c r="N36" s="20"/>
      <c r="O36" s="38"/>
      <c r="Z36" s="20"/>
      <c r="AL36" s="20"/>
      <c r="AX36" s="20"/>
      <c r="BJ36" s="20"/>
      <c r="BV36" s="20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</row>
    <row r="37" spans="2:182" s="345" customFormat="1" ht="20.399999999999999" customHeight="1" x14ac:dyDescent="0.25">
      <c r="B37" s="340" t="s">
        <v>57</v>
      </c>
      <c r="C37" s="341"/>
      <c r="D37" s="342"/>
      <c r="E37" s="342"/>
      <c r="F37" s="342"/>
      <c r="G37" s="342"/>
      <c r="H37" s="343"/>
      <c r="I37" s="342"/>
      <c r="J37" s="342"/>
      <c r="K37" s="341"/>
      <c r="L37" s="342"/>
      <c r="M37" s="342"/>
      <c r="N37" s="344"/>
      <c r="O37" s="341"/>
      <c r="P37" s="342"/>
      <c r="Q37" s="342"/>
      <c r="R37" s="342"/>
      <c r="S37" s="342"/>
      <c r="T37" s="342"/>
      <c r="Z37" s="344"/>
      <c r="AL37" s="344"/>
      <c r="AX37" s="344"/>
      <c r="BJ37" s="344"/>
      <c r="BV37" s="344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4"/>
      <c r="CI37" s="346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8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8"/>
      <c r="DV37" s="364"/>
      <c r="DW37" s="364"/>
      <c r="DX37" s="364"/>
      <c r="DZ37" s="364"/>
    </row>
    <row r="38" spans="2:182" x14ac:dyDescent="0.25">
      <c r="B38" s="3" t="s">
        <v>1</v>
      </c>
      <c r="C38" s="39">
        <f>SUM(C8,C16,C24,C31)</f>
        <v>724644</v>
      </c>
      <c r="D38" s="16">
        <f t="shared" ref="D38:N39" si="165">SUM(D8,D16,D24,D31)</f>
        <v>731093</v>
      </c>
      <c r="E38" s="16">
        <f t="shared" si="165"/>
        <v>735002</v>
      </c>
      <c r="F38" s="16">
        <f t="shared" si="165"/>
        <v>735341</v>
      </c>
      <c r="G38" s="16">
        <f t="shared" si="165"/>
        <v>736469</v>
      </c>
      <c r="H38" s="16">
        <f t="shared" si="165"/>
        <v>738259</v>
      </c>
      <c r="I38" s="16">
        <f t="shared" si="165"/>
        <v>741094</v>
      </c>
      <c r="J38" s="16">
        <f t="shared" si="165"/>
        <v>744714</v>
      </c>
      <c r="K38" s="39">
        <f t="shared" si="165"/>
        <v>733468</v>
      </c>
      <c r="L38" s="16">
        <f t="shared" si="165"/>
        <v>650371</v>
      </c>
      <c r="M38" s="16">
        <f t="shared" si="165"/>
        <v>647740</v>
      </c>
      <c r="N38" s="21">
        <f t="shared" si="165"/>
        <v>651872</v>
      </c>
      <c r="O38" s="39">
        <f t="shared" ref="O38:Q39" si="166">SUM(O8,O16,O24,O31)</f>
        <v>762941</v>
      </c>
      <c r="P38" s="16">
        <f t="shared" si="166"/>
        <v>693455</v>
      </c>
      <c r="Q38" s="16">
        <f t="shared" si="166"/>
        <v>766514</v>
      </c>
      <c r="R38" s="16">
        <f t="shared" ref="R38:T39" si="167">SUM(R8,R16,R24,R31)</f>
        <v>712368</v>
      </c>
      <c r="S38" s="16">
        <f t="shared" si="167"/>
        <v>703391</v>
      </c>
      <c r="T38" s="16">
        <f t="shared" si="167"/>
        <v>695383</v>
      </c>
      <c r="U38" s="39">
        <f t="shared" ref="U38:Z38" si="168">U31+U24+U16+U8</f>
        <v>718798</v>
      </c>
      <c r="V38" s="39">
        <f t="shared" si="168"/>
        <v>678536</v>
      </c>
      <c r="W38" s="39">
        <f t="shared" si="168"/>
        <v>670858</v>
      </c>
      <c r="X38" s="39">
        <f t="shared" si="168"/>
        <v>709977</v>
      </c>
      <c r="Y38" s="39">
        <f t="shared" si="168"/>
        <v>541059</v>
      </c>
      <c r="Z38" s="193">
        <f t="shared" si="168"/>
        <v>636121</v>
      </c>
      <c r="AA38" s="39">
        <f t="shared" ref="AA38:AC40" si="169">AA31+AA24+AA16+AA8</f>
        <v>651775</v>
      </c>
      <c r="AB38" s="39">
        <f t="shared" si="169"/>
        <v>623401</v>
      </c>
      <c r="AC38" s="39">
        <f t="shared" si="169"/>
        <v>706987</v>
      </c>
      <c r="AD38" s="39">
        <f t="shared" ref="AD38:AF40" si="170">AD31+AD24+AD16+AD8</f>
        <v>637812</v>
      </c>
      <c r="AE38" s="39">
        <f t="shared" si="170"/>
        <v>599450</v>
      </c>
      <c r="AF38" s="39">
        <f t="shared" si="170"/>
        <v>644759</v>
      </c>
      <c r="AG38" s="39">
        <f t="shared" ref="AG38:AI40" si="171">AG31+AG24+AG16+AG8</f>
        <v>621508</v>
      </c>
      <c r="AH38" s="39">
        <f t="shared" si="171"/>
        <v>645268</v>
      </c>
      <c r="AI38" s="39">
        <f t="shared" si="171"/>
        <v>600087</v>
      </c>
      <c r="AJ38" s="39">
        <f t="shared" ref="AJ38:AL40" si="172">AJ31+AJ24+AJ16+AJ8</f>
        <v>592737</v>
      </c>
      <c r="AK38" s="39">
        <f t="shared" si="172"/>
        <v>565016</v>
      </c>
      <c r="AL38" s="193">
        <f t="shared" si="172"/>
        <v>549929</v>
      </c>
      <c r="AM38" s="39">
        <f t="shared" ref="AM38:AO40" si="173">AM31+AM24+AM16+AM8</f>
        <v>593112</v>
      </c>
      <c r="AN38" s="39">
        <f t="shared" si="173"/>
        <v>533075</v>
      </c>
      <c r="AO38" s="39">
        <f t="shared" si="173"/>
        <v>582473</v>
      </c>
      <c r="AP38" s="39">
        <f t="shared" ref="AP38:AR40" si="174">AP31+AP24+AP16+AP8</f>
        <v>552797</v>
      </c>
      <c r="AQ38" s="39">
        <f t="shared" si="174"/>
        <v>553630</v>
      </c>
      <c r="AR38" s="39">
        <f t="shared" si="174"/>
        <v>570299</v>
      </c>
      <c r="AS38" s="39">
        <f t="shared" ref="AS38:AU40" si="175">AS31+AS24+AS16+AS8</f>
        <v>551580</v>
      </c>
      <c r="AT38" s="39">
        <f t="shared" si="175"/>
        <v>619429</v>
      </c>
      <c r="AU38" s="39">
        <f t="shared" si="175"/>
        <v>572066</v>
      </c>
      <c r="AV38" s="39">
        <f t="shared" ref="AV38:BG40" si="176">AV31+AV24+AV16+AV8</f>
        <v>559307</v>
      </c>
      <c r="AW38" s="39">
        <f t="shared" si="176"/>
        <v>524343</v>
      </c>
      <c r="AX38" s="193">
        <f t="shared" si="176"/>
        <v>524159</v>
      </c>
      <c r="AY38" s="39">
        <f t="shared" si="176"/>
        <v>548287</v>
      </c>
      <c r="AZ38" s="39">
        <f t="shared" si="176"/>
        <v>518395</v>
      </c>
      <c r="BA38" s="39">
        <f t="shared" si="176"/>
        <v>596062</v>
      </c>
      <c r="BB38" s="39">
        <f t="shared" si="176"/>
        <v>510837</v>
      </c>
      <c r="BC38" s="39">
        <f t="shared" si="176"/>
        <v>558953</v>
      </c>
      <c r="BD38" s="39">
        <f t="shared" si="176"/>
        <v>550920</v>
      </c>
      <c r="BE38" s="39">
        <f t="shared" si="176"/>
        <v>495504</v>
      </c>
      <c r="BF38" s="39">
        <f t="shared" si="176"/>
        <v>559480</v>
      </c>
      <c r="BG38" s="39">
        <f t="shared" si="176"/>
        <v>487403</v>
      </c>
      <c r="BH38" s="39">
        <f t="shared" ref="BH38:BS40" si="177">BH31+BH24+BH16+BH8</f>
        <v>525217</v>
      </c>
      <c r="BI38" s="39">
        <f t="shared" si="177"/>
        <v>472764</v>
      </c>
      <c r="BJ38" s="193">
        <f t="shared" si="177"/>
        <v>442546</v>
      </c>
      <c r="BK38" s="39">
        <f t="shared" si="177"/>
        <v>487944</v>
      </c>
      <c r="BL38" s="39">
        <f t="shared" si="177"/>
        <v>460262</v>
      </c>
      <c r="BM38" s="39">
        <f t="shared" si="177"/>
        <v>507262</v>
      </c>
      <c r="BN38" s="39">
        <f t="shared" si="177"/>
        <v>456939</v>
      </c>
      <c r="BO38" s="39">
        <f t="shared" si="177"/>
        <v>495750</v>
      </c>
      <c r="BP38" s="39">
        <f t="shared" si="177"/>
        <v>470534</v>
      </c>
      <c r="BQ38" s="39">
        <f t="shared" si="177"/>
        <v>465442</v>
      </c>
      <c r="BR38" s="39">
        <f t="shared" si="177"/>
        <v>503517</v>
      </c>
      <c r="BS38" s="39">
        <f t="shared" si="177"/>
        <v>411469</v>
      </c>
      <c r="BT38" s="39">
        <f t="shared" ref="BT38:CB40" si="178">BT31+BT24+BT16+BT8</f>
        <v>449484</v>
      </c>
      <c r="BU38" s="39">
        <f t="shared" si="178"/>
        <v>444938</v>
      </c>
      <c r="BV38" s="193">
        <f t="shared" si="178"/>
        <v>439499</v>
      </c>
      <c r="BW38" s="39">
        <f t="shared" si="178"/>
        <v>435765</v>
      </c>
      <c r="BX38" s="39">
        <f t="shared" si="178"/>
        <v>432657</v>
      </c>
      <c r="BY38" s="39">
        <f t="shared" si="178"/>
        <v>429443</v>
      </c>
      <c r="BZ38" s="39">
        <f t="shared" si="178"/>
        <v>423352</v>
      </c>
      <c r="CA38" s="39">
        <f t="shared" si="178"/>
        <v>417667</v>
      </c>
      <c r="CB38" s="39">
        <f t="shared" si="178"/>
        <v>411279</v>
      </c>
      <c r="CC38" s="39">
        <f t="shared" ref="CC38:CH40" si="179">CC31+CC24+CC16+CC8</f>
        <v>403890</v>
      </c>
      <c r="CD38" s="39">
        <f t="shared" si="179"/>
        <v>399010</v>
      </c>
      <c r="CE38" s="39">
        <f t="shared" si="179"/>
        <v>392330</v>
      </c>
      <c r="CF38" s="39">
        <f t="shared" si="179"/>
        <v>384106</v>
      </c>
      <c r="CG38" s="39">
        <f t="shared" si="179"/>
        <v>376417</v>
      </c>
      <c r="CH38" s="193">
        <f t="shared" si="179"/>
        <v>368697</v>
      </c>
      <c r="CI38" s="71">
        <f t="shared" ref="CI38:CK39" si="180">SUM(CI8,CI16,CI24,CI31)</f>
        <v>362091</v>
      </c>
      <c r="CJ38" s="69">
        <f t="shared" si="180"/>
        <v>355803</v>
      </c>
      <c r="CK38" s="69">
        <f t="shared" si="180"/>
        <v>350641</v>
      </c>
      <c r="CL38" s="69">
        <f t="shared" ref="CL38:DK38" si="181">SUM(CL8,CL16,CL24,CL31)</f>
        <v>344437</v>
      </c>
      <c r="CM38" s="69">
        <f t="shared" si="181"/>
        <v>339125</v>
      </c>
      <c r="CN38" s="69">
        <f t="shared" si="181"/>
        <v>334542</v>
      </c>
      <c r="CO38" s="69">
        <f t="shared" si="181"/>
        <v>329402</v>
      </c>
      <c r="CP38" s="69">
        <f t="shared" si="181"/>
        <v>324965</v>
      </c>
      <c r="CQ38" s="69">
        <f t="shared" si="181"/>
        <v>319176</v>
      </c>
      <c r="CR38" s="69">
        <f t="shared" si="181"/>
        <v>311868</v>
      </c>
      <c r="CS38" s="69">
        <f t="shared" si="181"/>
        <v>306965</v>
      </c>
      <c r="CT38" s="89">
        <f t="shared" si="181"/>
        <v>302058</v>
      </c>
      <c r="CU38" s="69">
        <f t="shared" si="181"/>
        <v>276300</v>
      </c>
      <c r="CV38" s="69">
        <f t="shared" si="181"/>
        <v>296966</v>
      </c>
      <c r="CW38" s="69">
        <f t="shared" si="181"/>
        <v>294023</v>
      </c>
      <c r="CX38" s="69">
        <f t="shared" si="181"/>
        <v>289923</v>
      </c>
      <c r="CY38" s="69">
        <f t="shared" si="181"/>
        <v>286897</v>
      </c>
      <c r="CZ38" s="69">
        <f t="shared" si="181"/>
        <v>283653</v>
      </c>
      <c r="DA38" s="69">
        <f t="shared" si="181"/>
        <v>280176</v>
      </c>
      <c r="DB38" s="69">
        <f t="shared" si="181"/>
        <v>264017</v>
      </c>
      <c r="DC38" s="69">
        <f t="shared" si="181"/>
        <v>274454</v>
      </c>
      <c r="DD38" s="69">
        <f t="shared" si="181"/>
        <v>259568</v>
      </c>
      <c r="DE38" s="69">
        <f t="shared" si="181"/>
        <v>258132</v>
      </c>
      <c r="DF38" s="89">
        <f t="shared" si="181"/>
        <v>262909</v>
      </c>
      <c r="DG38" s="322">
        <f t="shared" si="181"/>
        <v>241591</v>
      </c>
      <c r="DH38" s="69">
        <f t="shared" si="181"/>
        <v>263249</v>
      </c>
      <c r="DI38" s="322">
        <f t="shared" si="181"/>
        <v>262815</v>
      </c>
      <c r="DJ38" s="69">
        <f t="shared" si="181"/>
        <v>250945</v>
      </c>
      <c r="DK38" s="69">
        <f t="shared" si="181"/>
        <v>236473</v>
      </c>
      <c r="DL38" s="69">
        <f t="shared" ref="DL38:EB39" si="182">SUM(DL8,DL16,DL24,DL31)</f>
        <v>258899</v>
      </c>
      <c r="DM38" s="69">
        <f t="shared" si="182"/>
        <v>247040</v>
      </c>
      <c r="DN38" s="69">
        <f t="shared" si="182"/>
        <v>256060</v>
      </c>
      <c r="DO38" s="69">
        <f t="shared" si="182"/>
        <v>239389</v>
      </c>
      <c r="DP38" s="69">
        <f t="shared" si="182"/>
        <v>233495</v>
      </c>
      <c r="DQ38" s="69">
        <f t="shared" si="182"/>
        <v>240982</v>
      </c>
      <c r="DR38" s="69">
        <f t="shared" si="182"/>
        <v>218161</v>
      </c>
      <c r="DS38" s="69">
        <f t="shared" si="182"/>
        <v>229031</v>
      </c>
      <c r="DT38" s="69">
        <f t="shared" si="182"/>
        <v>238521</v>
      </c>
      <c r="DU38" s="69">
        <f t="shared" si="182"/>
        <v>247863</v>
      </c>
      <c r="DV38" s="359">
        <f t="shared" si="182"/>
        <v>246085</v>
      </c>
      <c r="DW38" s="359">
        <f t="shared" si="182"/>
        <v>244397</v>
      </c>
      <c r="DX38" s="359">
        <f t="shared" si="182"/>
        <v>240230</v>
      </c>
      <c r="DY38" s="359">
        <f t="shared" si="182"/>
        <v>241154</v>
      </c>
      <c r="DZ38" s="359">
        <f t="shared" si="182"/>
        <v>239526</v>
      </c>
      <c r="EA38" s="359">
        <f t="shared" si="182"/>
        <v>238495</v>
      </c>
      <c r="EB38" s="359">
        <f t="shared" si="182"/>
        <v>237581</v>
      </c>
      <c r="EC38" s="359">
        <f t="shared" ref="EC38:ET39" si="183">SUM(EC8,EC16,EC24,EC31)</f>
        <v>236695</v>
      </c>
      <c r="ED38" s="359">
        <f t="shared" si="183"/>
        <v>235416</v>
      </c>
      <c r="EE38" s="359">
        <f t="shared" si="183"/>
        <v>233596</v>
      </c>
      <c r="EF38" s="359">
        <f t="shared" si="183"/>
        <v>231961</v>
      </c>
      <c r="EG38" s="359">
        <f t="shared" si="183"/>
        <v>229934</v>
      </c>
      <c r="EH38" s="359">
        <f t="shared" si="183"/>
        <v>228955</v>
      </c>
      <c r="EI38" s="359">
        <f t="shared" si="183"/>
        <v>228013</v>
      </c>
      <c r="EJ38" s="359">
        <f t="shared" si="183"/>
        <v>226316</v>
      </c>
      <c r="EK38" s="359">
        <f t="shared" si="183"/>
        <v>226644</v>
      </c>
      <c r="EL38" s="359">
        <f t="shared" si="183"/>
        <v>225637</v>
      </c>
      <c r="EM38" s="359">
        <f t="shared" si="183"/>
        <v>224877</v>
      </c>
      <c r="EN38" s="359">
        <f t="shared" si="183"/>
        <v>224145</v>
      </c>
      <c r="EO38" s="359">
        <f t="shared" si="183"/>
        <v>223694</v>
      </c>
      <c r="EP38" s="359">
        <f t="shared" si="183"/>
        <v>222043</v>
      </c>
      <c r="EQ38" s="359">
        <f>SUM(EQ8,EQ16,EQ24,EQ31)</f>
        <v>213177</v>
      </c>
      <c r="ER38" s="359">
        <f t="shared" si="183"/>
        <v>212017</v>
      </c>
      <c r="ES38" s="359">
        <f t="shared" si="183"/>
        <v>210230</v>
      </c>
      <c r="ET38" s="359">
        <f t="shared" si="183"/>
        <v>218606</v>
      </c>
      <c r="EU38" s="359">
        <f t="shared" ref="EU38:FJ39" si="184">SUM(EU8,EU16,EU24,EU31)</f>
        <v>217823</v>
      </c>
      <c r="EV38" s="359">
        <f t="shared" si="184"/>
        <v>217194</v>
      </c>
      <c r="EW38" s="359">
        <f t="shared" si="184"/>
        <v>217044</v>
      </c>
      <c r="EX38" s="359">
        <f t="shared" si="184"/>
        <v>216266</v>
      </c>
      <c r="EY38" s="359">
        <f t="shared" si="184"/>
        <v>212706</v>
      </c>
      <c r="EZ38" s="359">
        <f t="shared" si="184"/>
        <v>213782</v>
      </c>
      <c r="FA38" s="359">
        <f t="shared" si="184"/>
        <v>212273</v>
      </c>
      <c r="FB38" s="359">
        <f t="shared" si="184"/>
        <v>210625</v>
      </c>
      <c r="FC38" s="359">
        <f t="shared" si="184"/>
        <v>210030</v>
      </c>
      <c r="FD38" s="359">
        <f t="shared" si="184"/>
        <v>208440</v>
      </c>
      <c r="FE38" s="359">
        <f t="shared" si="184"/>
        <v>205628</v>
      </c>
      <c r="FF38" s="359">
        <f t="shared" si="184"/>
        <v>204161</v>
      </c>
      <c r="FG38" s="359">
        <f t="shared" si="184"/>
        <v>202209</v>
      </c>
      <c r="FH38" s="359">
        <f t="shared" si="184"/>
        <v>200518</v>
      </c>
      <c r="FI38" s="359">
        <f t="shared" si="184"/>
        <v>199078</v>
      </c>
      <c r="FJ38" s="359">
        <f t="shared" si="184"/>
        <v>197521</v>
      </c>
      <c r="FK38" s="359">
        <f t="shared" ref="FK38:FT39" si="185">SUM(FK8,FK16,FK24,FK31)</f>
        <v>194688</v>
      </c>
      <c r="FL38" s="359">
        <f t="shared" si="185"/>
        <v>193378</v>
      </c>
      <c r="FM38" s="359">
        <f t="shared" si="185"/>
        <v>191437</v>
      </c>
      <c r="FN38" s="359">
        <f t="shared" si="185"/>
        <v>188971</v>
      </c>
      <c r="FO38" s="359">
        <f t="shared" si="185"/>
        <v>188388</v>
      </c>
      <c r="FP38" s="359">
        <f t="shared" si="185"/>
        <v>186813</v>
      </c>
      <c r="FQ38" s="359">
        <f t="shared" si="185"/>
        <v>184772</v>
      </c>
      <c r="FR38" s="359">
        <f t="shared" si="185"/>
        <v>183204</v>
      </c>
      <c r="FS38" s="359">
        <f t="shared" si="185"/>
        <v>182220</v>
      </c>
      <c r="FT38" s="359">
        <f t="shared" si="185"/>
        <v>180307</v>
      </c>
    </row>
    <row r="39" spans="2:182" ht="13.8" thickBot="1" x14ac:dyDescent="0.3">
      <c r="B39" s="5" t="s">
        <v>8</v>
      </c>
      <c r="C39" s="40">
        <f>SUM(C9,C17,C25,C32)</f>
        <v>6341</v>
      </c>
      <c r="D39" s="17">
        <f t="shared" si="165"/>
        <v>8469</v>
      </c>
      <c r="E39" s="17">
        <f t="shared" si="165"/>
        <v>10777</v>
      </c>
      <c r="F39" s="17">
        <f t="shared" si="165"/>
        <v>12543</v>
      </c>
      <c r="G39" s="17">
        <f t="shared" si="165"/>
        <v>14484</v>
      </c>
      <c r="H39" s="17">
        <f t="shared" si="165"/>
        <v>16276</v>
      </c>
      <c r="I39" s="17">
        <f t="shared" si="165"/>
        <v>19045</v>
      </c>
      <c r="J39" s="17">
        <f t="shared" si="165"/>
        <v>26498</v>
      </c>
      <c r="K39" s="39">
        <f t="shared" si="165"/>
        <v>32114</v>
      </c>
      <c r="L39" s="17">
        <f t="shared" si="165"/>
        <v>32984</v>
      </c>
      <c r="M39" s="17">
        <f t="shared" si="165"/>
        <v>35088</v>
      </c>
      <c r="N39" s="22">
        <f t="shared" si="165"/>
        <v>38192</v>
      </c>
      <c r="O39" s="40">
        <f t="shared" si="166"/>
        <v>56440</v>
      </c>
      <c r="P39" s="17">
        <f t="shared" si="166"/>
        <v>57795</v>
      </c>
      <c r="Q39" s="16">
        <f t="shared" si="166"/>
        <v>68317</v>
      </c>
      <c r="R39" s="16">
        <f t="shared" si="167"/>
        <v>72432</v>
      </c>
      <c r="S39" s="16">
        <f t="shared" si="167"/>
        <v>82508</v>
      </c>
      <c r="T39" s="16">
        <f t="shared" si="167"/>
        <v>90514</v>
      </c>
      <c r="U39" s="39">
        <f t="shared" ref="U39:Z40" si="186">U32+U25+U17+U9</f>
        <v>105152</v>
      </c>
      <c r="V39" s="39">
        <f t="shared" si="186"/>
        <v>110778</v>
      </c>
      <c r="W39" s="39">
        <f t="shared" si="186"/>
        <v>119226</v>
      </c>
      <c r="X39" s="39">
        <f t="shared" si="186"/>
        <v>140629</v>
      </c>
      <c r="Y39" s="39">
        <f t="shared" si="186"/>
        <v>114902</v>
      </c>
      <c r="Z39" s="193">
        <f t="shared" si="186"/>
        <v>142759</v>
      </c>
      <c r="AA39" s="39">
        <f t="shared" si="169"/>
        <v>148419</v>
      </c>
      <c r="AB39" s="39">
        <f t="shared" si="169"/>
        <v>144140</v>
      </c>
      <c r="AC39" s="39">
        <f t="shared" si="169"/>
        <v>169757</v>
      </c>
      <c r="AD39" s="39">
        <f t="shared" si="170"/>
        <v>156086</v>
      </c>
      <c r="AE39" s="39">
        <f t="shared" si="170"/>
        <v>153497</v>
      </c>
      <c r="AF39" s="39">
        <f t="shared" si="170"/>
        <v>170172</v>
      </c>
      <c r="AG39" s="39">
        <f t="shared" si="171"/>
        <v>173958</v>
      </c>
      <c r="AH39" s="39">
        <f t="shared" si="171"/>
        <v>188166</v>
      </c>
      <c r="AI39" s="39">
        <f t="shared" si="171"/>
        <v>183170</v>
      </c>
      <c r="AJ39" s="39">
        <f t="shared" si="172"/>
        <v>188904</v>
      </c>
      <c r="AK39" s="39">
        <f t="shared" si="172"/>
        <v>187208</v>
      </c>
      <c r="AL39" s="193">
        <f t="shared" si="172"/>
        <v>188231</v>
      </c>
      <c r="AM39" s="39">
        <f t="shared" si="173"/>
        <v>209524</v>
      </c>
      <c r="AN39" s="39">
        <f t="shared" si="173"/>
        <v>193199</v>
      </c>
      <c r="AO39" s="39">
        <f t="shared" si="173"/>
        <v>214087</v>
      </c>
      <c r="AP39" s="39">
        <f t="shared" si="174"/>
        <v>205601</v>
      </c>
      <c r="AQ39" s="39">
        <f t="shared" si="174"/>
        <v>210048</v>
      </c>
      <c r="AR39" s="39">
        <f t="shared" si="174"/>
        <v>219028</v>
      </c>
      <c r="AS39" s="39">
        <f t="shared" si="175"/>
        <v>216413</v>
      </c>
      <c r="AT39" s="39">
        <f t="shared" si="175"/>
        <v>250078</v>
      </c>
      <c r="AU39" s="39">
        <f t="shared" si="175"/>
        <v>237779</v>
      </c>
      <c r="AV39" s="39">
        <f t="shared" si="176"/>
        <v>241506</v>
      </c>
      <c r="AW39" s="39">
        <f t="shared" si="176"/>
        <v>231808</v>
      </c>
      <c r="AX39" s="193">
        <f t="shared" si="176"/>
        <v>238134</v>
      </c>
      <c r="AY39" s="39">
        <f t="shared" si="176"/>
        <v>254259</v>
      </c>
      <c r="AZ39" s="39">
        <f t="shared" si="176"/>
        <v>244729</v>
      </c>
      <c r="BA39" s="39">
        <f t="shared" si="176"/>
        <v>284851</v>
      </c>
      <c r="BB39" s="39">
        <f t="shared" si="176"/>
        <v>249690</v>
      </c>
      <c r="BC39" s="39">
        <f t="shared" si="176"/>
        <v>282146</v>
      </c>
      <c r="BD39" s="39">
        <f t="shared" si="176"/>
        <v>289513</v>
      </c>
      <c r="BE39" s="39">
        <f t="shared" si="176"/>
        <v>270036</v>
      </c>
      <c r="BF39" s="39">
        <f t="shared" si="176"/>
        <v>316083</v>
      </c>
      <c r="BG39" s="39">
        <f t="shared" si="176"/>
        <v>282541</v>
      </c>
      <c r="BH39" s="39">
        <f t="shared" si="177"/>
        <v>318885</v>
      </c>
      <c r="BI39" s="39">
        <f t="shared" si="177"/>
        <v>294235</v>
      </c>
      <c r="BJ39" s="193">
        <f t="shared" si="177"/>
        <v>283218</v>
      </c>
      <c r="BK39" s="39">
        <f t="shared" si="177"/>
        <v>322327</v>
      </c>
      <c r="BL39" s="39">
        <f t="shared" si="177"/>
        <v>309107</v>
      </c>
      <c r="BM39" s="39">
        <f t="shared" si="177"/>
        <v>343538</v>
      </c>
      <c r="BN39" s="39">
        <f t="shared" si="177"/>
        <v>316142</v>
      </c>
      <c r="BO39" s="39">
        <f t="shared" si="177"/>
        <v>353402</v>
      </c>
      <c r="BP39" s="39">
        <f t="shared" si="177"/>
        <v>343965</v>
      </c>
      <c r="BQ39" s="39">
        <f t="shared" si="177"/>
        <v>349612</v>
      </c>
      <c r="BR39" s="39">
        <f t="shared" si="177"/>
        <v>390602</v>
      </c>
      <c r="BS39" s="39">
        <f t="shared" si="177"/>
        <v>326806</v>
      </c>
      <c r="BT39" s="39">
        <f t="shared" si="178"/>
        <v>374135</v>
      </c>
      <c r="BU39" s="39">
        <f t="shared" si="178"/>
        <v>379178</v>
      </c>
      <c r="BV39" s="193">
        <f t="shared" si="178"/>
        <v>384507</v>
      </c>
      <c r="BW39" s="39">
        <f t="shared" si="178"/>
        <v>389720</v>
      </c>
      <c r="BX39" s="39">
        <f t="shared" si="178"/>
        <v>395122</v>
      </c>
      <c r="BY39" s="39">
        <f t="shared" si="178"/>
        <v>400829</v>
      </c>
      <c r="BZ39" s="39">
        <f t="shared" si="178"/>
        <v>407512</v>
      </c>
      <c r="CA39" s="39">
        <f t="shared" si="178"/>
        <v>415440</v>
      </c>
      <c r="CB39" s="39">
        <f t="shared" si="178"/>
        <v>421387</v>
      </c>
      <c r="CC39" s="39">
        <f t="shared" si="179"/>
        <v>428616</v>
      </c>
      <c r="CD39" s="39">
        <f t="shared" si="179"/>
        <v>434816</v>
      </c>
      <c r="CE39" s="39">
        <f t="shared" si="179"/>
        <v>441199</v>
      </c>
      <c r="CF39" s="39">
        <f t="shared" si="179"/>
        <v>447857</v>
      </c>
      <c r="CG39" s="39">
        <f t="shared" si="179"/>
        <v>464096</v>
      </c>
      <c r="CH39" s="193">
        <f t="shared" si="179"/>
        <v>466431</v>
      </c>
      <c r="CI39" s="72">
        <f t="shared" si="180"/>
        <v>460773</v>
      </c>
      <c r="CJ39" s="92">
        <f t="shared" si="180"/>
        <v>468561</v>
      </c>
      <c r="CK39" s="92">
        <f t="shared" si="180"/>
        <v>476447</v>
      </c>
      <c r="CL39" s="92">
        <f t="shared" ref="CL39:DK39" si="187">SUM(CL9,CL17,CL25,CL32)</f>
        <v>482665</v>
      </c>
      <c r="CM39" s="92">
        <f t="shared" si="187"/>
        <v>488451</v>
      </c>
      <c r="CN39" s="92">
        <f t="shared" si="187"/>
        <v>494570</v>
      </c>
      <c r="CO39" s="92">
        <f t="shared" si="187"/>
        <v>499325</v>
      </c>
      <c r="CP39" s="92">
        <f t="shared" si="187"/>
        <v>505097</v>
      </c>
      <c r="CQ39" s="92">
        <f t="shared" si="187"/>
        <v>510953</v>
      </c>
      <c r="CR39" s="92">
        <f t="shared" si="187"/>
        <v>516384</v>
      </c>
      <c r="CS39" s="92">
        <f t="shared" si="187"/>
        <v>521261</v>
      </c>
      <c r="CT39" s="93">
        <f t="shared" si="187"/>
        <v>523545</v>
      </c>
      <c r="CU39" s="92">
        <f t="shared" si="187"/>
        <v>485233</v>
      </c>
      <c r="CV39" s="92">
        <f t="shared" si="187"/>
        <v>530715</v>
      </c>
      <c r="CW39" s="92">
        <f t="shared" si="187"/>
        <v>535919</v>
      </c>
      <c r="CX39" s="92">
        <f t="shared" si="187"/>
        <v>540056</v>
      </c>
      <c r="CY39" s="92">
        <f t="shared" si="187"/>
        <v>544019</v>
      </c>
      <c r="CZ39" s="92">
        <f t="shared" si="187"/>
        <v>548421</v>
      </c>
      <c r="DA39" s="92">
        <f t="shared" si="187"/>
        <v>551624</v>
      </c>
      <c r="DB39" s="92">
        <f t="shared" si="187"/>
        <v>530720</v>
      </c>
      <c r="DC39" s="92">
        <f t="shared" si="187"/>
        <v>558666</v>
      </c>
      <c r="DD39" s="92">
        <f t="shared" si="187"/>
        <v>532715</v>
      </c>
      <c r="DE39" s="92">
        <f t="shared" si="187"/>
        <v>538511</v>
      </c>
      <c r="DF39" s="93">
        <f t="shared" si="187"/>
        <v>554101</v>
      </c>
      <c r="DG39" s="318">
        <f t="shared" si="187"/>
        <v>515793</v>
      </c>
      <c r="DH39" s="92">
        <f t="shared" si="187"/>
        <v>565573</v>
      </c>
      <c r="DI39" s="92">
        <f t="shared" si="187"/>
        <v>569951</v>
      </c>
      <c r="DJ39" s="92">
        <f t="shared" si="187"/>
        <v>548249</v>
      </c>
      <c r="DK39" s="318">
        <f t="shared" si="187"/>
        <v>523516</v>
      </c>
      <c r="DL39" s="92">
        <f t="shared" ref="DL39:DU39" si="188">SUM(DL9,DL17,DL25,DL32)</f>
        <v>576572</v>
      </c>
      <c r="DM39" s="92">
        <f t="shared" si="188"/>
        <v>556282</v>
      </c>
      <c r="DN39" s="92">
        <f t="shared" si="188"/>
        <v>581914</v>
      </c>
      <c r="DO39" s="92">
        <f t="shared" si="188"/>
        <v>549575</v>
      </c>
      <c r="DP39" s="92">
        <f t="shared" si="188"/>
        <v>536585</v>
      </c>
      <c r="DQ39" s="92">
        <f t="shared" si="188"/>
        <v>564846</v>
      </c>
      <c r="DR39" s="92">
        <f t="shared" si="188"/>
        <v>510951</v>
      </c>
      <c r="DS39" s="92">
        <f t="shared" si="188"/>
        <v>540884</v>
      </c>
      <c r="DT39" s="92">
        <f t="shared" si="188"/>
        <v>566668</v>
      </c>
      <c r="DU39" s="92">
        <f t="shared" si="188"/>
        <v>598425</v>
      </c>
      <c r="DV39" s="352">
        <f t="shared" si="182"/>
        <v>601098</v>
      </c>
      <c r="DW39" s="352">
        <f t="shared" si="182"/>
        <v>605632</v>
      </c>
      <c r="DX39" s="352">
        <f t="shared" si="182"/>
        <v>601366</v>
      </c>
      <c r="DY39" s="352">
        <f t="shared" si="182"/>
        <v>612233</v>
      </c>
      <c r="DZ39" s="352">
        <f t="shared" si="182"/>
        <v>613722</v>
      </c>
      <c r="EA39" s="352">
        <f t="shared" si="182"/>
        <v>613450</v>
      </c>
      <c r="EB39" s="352">
        <f t="shared" si="182"/>
        <v>616419</v>
      </c>
      <c r="EC39" s="352">
        <f t="shared" si="183"/>
        <v>618821</v>
      </c>
      <c r="ED39" s="352">
        <f t="shared" si="183"/>
        <v>618483</v>
      </c>
      <c r="EE39" s="352">
        <f t="shared" si="183"/>
        <v>623047</v>
      </c>
      <c r="EF39" s="352">
        <f t="shared" si="183"/>
        <v>622894</v>
      </c>
      <c r="EG39" s="352">
        <f t="shared" si="183"/>
        <v>624012</v>
      </c>
      <c r="EH39" s="352">
        <f t="shared" si="183"/>
        <v>626909</v>
      </c>
      <c r="EI39" s="352">
        <f t="shared" si="183"/>
        <v>627492</v>
      </c>
      <c r="EJ39" s="352">
        <f t="shared" si="183"/>
        <v>633260</v>
      </c>
      <c r="EK39" s="352">
        <f t="shared" si="183"/>
        <v>635709</v>
      </c>
      <c r="EL39" s="352">
        <f t="shared" si="183"/>
        <v>636395</v>
      </c>
      <c r="EM39" s="352">
        <f t="shared" si="183"/>
        <v>636345</v>
      </c>
      <c r="EN39" s="352">
        <f t="shared" si="183"/>
        <v>636483</v>
      </c>
      <c r="EO39" s="352">
        <f t="shared" si="183"/>
        <v>636986</v>
      </c>
      <c r="EP39" s="352">
        <f t="shared" si="183"/>
        <v>632831</v>
      </c>
      <c r="EQ39" s="352">
        <f t="shared" si="183"/>
        <v>611193</v>
      </c>
      <c r="ER39" s="352">
        <f t="shared" si="183"/>
        <v>617874</v>
      </c>
      <c r="ES39" s="352">
        <f t="shared" si="183"/>
        <v>615302</v>
      </c>
      <c r="ET39" s="352">
        <f t="shared" si="183"/>
        <v>646137</v>
      </c>
      <c r="EU39" s="352">
        <f t="shared" si="184"/>
        <v>648688</v>
      </c>
      <c r="EV39" s="352">
        <f t="shared" si="184"/>
        <v>648557</v>
      </c>
      <c r="EW39" s="352">
        <f t="shared" si="184"/>
        <v>651698</v>
      </c>
      <c r="EX39" s="352">
        <f t="shared" si="184"/>
        <v>653702</v>
      </c>
      <c r="EY39" s="352">
        <f t="shared" si="184"/>
        <v>649490</v>
      </c>
      <c r="EZ39" s="352">
        <f t="shared" si="184"/>
        <v>656688</v>
      </c>
      <c r="FA39" s="352">
        <f t="shared" si="184"/>
        <v>658697</v>
      </c>
      <c r="FB39" s="352">
        <f t="shared" si="184"/>
        <v>659379</v>
      </c>
      <c r="FC39" s="352">
        <f t="shared" si="184"/>
        <v>661057</v>
      </c>
      <c r="FD39" s="352">
        <f t="shared" si="184"/>
        <v>664695</v>
      </c>
      <c r="FE39" s="352">
        <f t="shared" si="184"/>
        <v>665216</v>
      </c>
      <c r="FF39" s="352">
        <f t="shared" si="184"/>
        <v>671506</v>
      </c>
      <c r="FG39" s="352">
        <f t="shared" si="184"/>
        <v>674571</v>
      </c>
      <c r="FH39" s="352">
        <f t="shared" si="184"/>
        <v>677988</v>
      </c>
      <c r="FI39" s="352">
        <f t="shared" si="184"/>
        <v>683081</v>
      </c>
      <c r="FJ39" s="352">
        <f t="shared" si="184"/>
        <v>684089</v>
      </c>
      <c r="FK39" s="352">
        <f t="shared" si="185"/>
        <v>679921</v>
      </c>
      <c r="FL39" s="352">
        <f t="shared" si="185"/>
        <v>684704</v>
      </c>
      <c r="FM39" s="352">
        <f t="shared" si="185"/>
        <v>687475</v>
      </c>
      <c r="FN39" s="352">
        <f t="shared" si="185"/>
        <v>683990</v>
      </c>
      <c r="FO39" s="352">
        <f t="shared" si="185"/>
        <v>691595</v>
      </c>
      <c r="FP39" s="352">
        <f t="shared" si="185"/>
        <v>696704</v>
      </c>
      <c r="FQ39" s="352">
        <f t="shared" si="185"/>
        <v>696676</v>
      </c>
      <c r="FR39" s="352">
        <f t="shared" si="185"/>
        <v>699658</v>
      </c>
      <c r="FS39" s="352">
        <f t="shared" si="185"/>
        <v>703950</v>
      </c>
      <c r="FT39" s="352">
        <f t="shared" si="185"/>
        <v>704091</v>
      </c>
    </row>
    <row r="40" spans="2:182" ht="13.8" thickTop="1" x14ac:dyDescent="0.25">
      <c r="B40" s="3" t="s">
        <v>9</v>
      </c>
      <c r="C40" s="35">
        <f t="shared" ref="C40:Q40" si="189">SUM(C38:C39)</f>
        <v>730985</v>
      </c>
      <c r="D40" s="8">
        <f t="shared" si="189"/>
        <v>739562</v>
      </c>
      <c r="E40" s="8">
        <f t="shared" si="189"/>
        <v>745779</v>
      </c>
      <c r="F40" s="8">
        <f t="shared" si="189"/>
        <v>747884</v>
      </c>
      <c r="G40" s="8">
        <f t="shared" si="189"/>
        <v>750953</v>
      </c>
      <c r="H40" s="8">
        <f t="shared" si="189"/>
        <v>754535</v>
      </c>
      <c r="I40" s="8">
        <f t="shared" si="189"/>
        <v>760139</v>
      </c>
      <c r="J40" s="8">
        <f t="shared" si="189"/>
        <v>771212</v>
      </c>
      <c r="K40" s="73">
        <f t="shared" si="189"/>
        <v>765582</v>
      </c>
      <c r="L40" s="8">
        <f t="shared" si="189"/>
        <v>683355</v>
      </c>
      <c r="M40" s="8">
        <f t="shared" si="189"/>
        <v>682828</v>
      </c>
      <c r="N40" s="10">
        <f t="shared" si="189"/>
        <v>690064</v>
      </c>
      <c r="O40" s="35">
        <f t="shared" si="189"/>
        <v>819381</v>
      </c>
      <c r="P40" s="8">
        <f t="shared" si="189"/>
        <v>751250</v>
      </c>
      <c r="Q40" s="80">
        <f t="shared" si="189"/>
        <v>834831</v>
      </c>
      <c r="R40" s="80">
        <f>SUM(R38:R39)</f>
        <v>784800</v>
      </c>
      <c r="S40" s="80">
        <f>SUM(S38:S39)</f>
        <v>785899</v>
      </c>
      <c r="T40" s="80">
        <f>SUM(T38:T39)</f>
        <v>785897</v>
      </c>
      <c r="U40" s="73">
        <f t="shared" si="186"/>
        <v>823950</v>
      </c>
      <c r="V40" s="73">
        <f t="shared" si="186"/>
        <v>789314</v>
      </c>
      <c r="W40" s="73">
        <f t="shared" si="186"/>
        <v>790084</v>
      </c>
      <c r="X40" s="73">
        <f>X33+X26+X18+X10</f>
        <v>850606</v>
      </c>
      <c r="Y40" s="73">
        <f>Y33+Y26+Y18+Y10</f>
        <v>655961</v>
      </c>
      <c r="Z40" s="204">
        <f>Z33+Z26+Z18+Z10</f>
        <v>778880</v>
      </c>
      <c r="AA40" s="73">
        <f t="shared" si="169"/>
        <v>800194</v>
      </c>
      <c r="AB40" s="73">
        <f t="shared" si="169"/>
        <v>767541</v>
      </c>
      <c r="AC40" s="73">
        <f t="shared" si="169"/>
        <v>876744</v>
      </c>
      <c r="AD40" s="73">
        <f t="shared" si="170"/>
        <v>793898</v>
      </c>
      <c r="AE40" s="73">
        <f t="shared" si="170"/>
        <v>752947</v>
      </c>
      <c r="AF40" s="73">
        <f t="shared" si="170"/>
        <v>814931</v>
      </c>
      <c r="AG40" s="73">
        <f t="shared" si="171"/>
        <v>795466</v>
      </c>
      <c r="AH40" s="73">
        <f t="shared" si="171"/>
        <v>833434</v>
      </c>
      <c r="AI40" s="73">
        <f t="shared" si="171"/>
        <v>783257</v>
      </c>
      <c r="AJ40" s="73">
        <f t="shared" si="172"/>
        <v>781641</v>
      </c>
      <c r="AK40" s="73">
        <f t="shared" si="172"/>
        <v>752224</v>
      </c>
      <c r="AL40" s="204">
        <f t="shared" si="172"/>
        <v>738160</v>
      </c>
      <c r="AM40" s="73">
        <f t="shared" si="173"/>
        <v>802636</v>
      </c>
      <c r="AN40" s="73">
        <f t="shared" si="173"/>
        <v>726274</v>
      </c>
      <c r="AO40" s="73">
        <f t="shared" si="173"/>
        <v>796560</v>
      </c>
      <c r="AP40" s="73">
        <f t="shared" si="174"/>
        <v>758398</v>
      </c>
      <c r="AQ40" s="73">
        <f t="shared" si="174"/>
        <v>763678</v>
      </c>
      <c r="AR40" s="73">
        <f t="shared" si="174"/>
        <v>789327</v>
      </c>
      <c r="AS40" s="73">
        <f t="shared" si="175"/>
        <v>767993</v>
      </c>
      <c r="AT40" s="73">
        <f t="shared" si="175"/>
        <v>869507</v>
      </c>
      <c r="AU40" s="73">
        <f t="shared" si="175"/>
        <v>809845</v>
      </c>
      <c r="AV40" s="73">
        <f t="shared" si="176"/>
        <v>800813</v>
      </c>
      <c r="AW40" s="73">
        <f t="shared" si="176"/>
        <v>756151</v>
      </c>
      <c r="AX40" s="204">
        <f t="shared" si="176"/>
        <v>762293</v>
      </c>
      <c r="AY40" s="73">
        <f t="shared" si="176"/>
        <v>802546</v>
      </c>
      <c r="AZ40" s="73">
        <f t="shared" si="176"/>
        <v>763124</v>
      </c>
      <c r="BA40" s="73">
        <f t="shared" si="176"/>
        <v>880913</v>
      </c>
      <c r="BB40" s="73">
        <f t="shared" si="176"/>
        <v>760527</v>
      </c>
      <c r="BC40" s="73">
        <f t="shared" si="176"/>
        <v>841099</v>
      </c>
      <c r="BD40" s="73">
        <f t="shared" si="176"/>
        <v>840433</v>
      </c>
      <c r="BE40" s="73">
        <f t="shared" si="176"/>
        <v>765540</v>
      </c>
      <c r="BF40" s="73">
        <f t="shared" si="176"/>
        <v>875563</v>
      </c>
      <c r="BG40" s="73">
        <f t="shared" si="176"/>
        <v>769944</v>
      </c>
      <c r="BH40" s="73">
        <f t="shared" si="177"/>
        <v>844102</v>
      </c>
      <c r="BI40" s="73">
        <f t="shared" si="177"/>
        <v>766999</v>
      </c>
      <c r="BJ40" s="204">
        <f t="shared" si="177"/>
        <v>725764</v>
      </c>
      <c r="BK40" s="73">
        <f t="shared" si="177"/>
        <v>810271</v>
      </c>
      <c r="BL40" s="73">
        <f t="shared" si="177"/>
        <v>769369</v>
      </c>
      <c r="BM40" s="73">
        <f t="shared" si="177"/>
        <v>850800</v>
      </c>
      <c r="BN40" s="73">
        <f t="shared" si="177"/>
        <v>773081</v>
      </c>
      <c r="BO40" s="73">
        <f t="shared" si="177"/>
        <v>849152</v>
      </c>
      <c r="BP40" s="73">
        <f t="shared" si="177"/>
        <v>814499</v>
      </c>
      <c r="BQ40" s="73">
        <f t="shared" si="177"/>
        <v>815054</v>
      </c>
      <c r="BR40" s="73">
        <f t="shared" si="177"/>
        <v>894119</v>
      </c>
      <c r="BS40" s="73">
        <f t="shared" si="177"/>
        <v>738275</v>
      </c>
      <c r="BT40" s="73">
        <f t="shared" si="178"/>
        <v>823619</v>
      </c>
      <c r="BU40" s="73">
        <f t="shared" si="178"/>
        <v>824116</v>
      </c>
      <c r="BV40" s="204">
        <f t="shared" si="178"/>
        <v>824006</v>
      </c>
      <c r="BW40" s="73">
        <f t="shared" si="178"/>
        <v>825485</v>
      </c>
      <c r="BX40" s="73">
        <f t="shared" si="178"/>
        <v>827779</v>
      </c>
      <c r="BY40" s="73">
        <f t="shared" si="178"/>
        <v>830272</v>
      </c>
      <c r="BZ40" s="73">
        <f t="shared" si="178"/>
        <v>830864</v>
      </c>
      <c r="CA40" s="73">
        <f t="shared" si="178"/>
        <v>833107</v>
      </c>
      <c r="CB40" s="73">
        <f t="shared" si="178"/>
        <v>832666</v>
      </c>
      <c r="CC40" s="73">
        <f t="shared" si="179"/>
        <v>832506</v>
      </c>
      <c r="CD40" s="73">
        <f t="shared" si="179"/>
        <v>833826</v>
      </c>
      <c r="CE40" s="73">
        <f t="shared" si="179"/>
        <v>833529</v>
      </c>
      <c r="CF40" s="73">
        <f t="shared" si="179"/>
        <v>831963</v>
      </c>
      <c r="CG40" s="73">
        <f t="shared" si="179"/>
        <v>840513</v>
      </c>
      <c r="CH40" s="204">
        <f t="shared" si="179"/>
        <v>835128</v>
      </c>
      <c r="CI40" s="106">
        <f t="shared" ref="CI40:DK40" si="190">SUM(CI38:CI39)</f>
        <v>822864</v>
      </c>
      <c r="CJ40" s="94">
        <f t="shared" si="190"/>
        <v>824364</v>
      </c>
      <c r="CK40" s="94">
        <f t="shared" si="190"/>
        <v>827088</v>
      </c>
      <c r="CL40" s="94">
        <f t="shared" si="190"/>
        <v>827102</v>
      </c>
      <c r="CM40" s="94">
        <f t="shared" si="190"/>
        <v>827576</v>
      </c>
      <c r="CN40" s="94">
        <f t="shared" si="190"/>
        <v>829112</v>
      </c>
      <c r="CO40" s="94">
        <f t="shared" si="190"/>
        <v>828727</v>
      </c>
      <c r="CP40" s="94">
        <f t="shared" si="190"/>
        <v>830062</v>
      </c>
      <c r="CQ40" s="94">
        <f t="shared" si="190"/>
        <v>830129</v>
      </c>
      <c r="CR40" s="94">
        <f t="shared" si="190"/>
        <v>828252</v>
      </c>
      <c r="CS40" s="94">
        <f t="shared" si="190"/>
        <v>828226</v>
      </c>
      <c r="CT40" s="107">
        <f t="shared" si="190"/>
        <v>825603</v>
      </c>
      <c r="CU40" s="95">
        <f t="shared" si="190"/>
        <v>761533</v>
      </c>
      <c r="CV40" s="95">
        <f t="shared" si="190"/>
        <v>827681</v>
      </c>
      <c r="CW40" s="95">
        <f t="shared" si="190"/>
        <v>829942</v>
      </c>
      <c r="CX40" s="95">
        <f t="shared" si="190"/>
        <v>829979</v>
      </c>
      <c r="CY40" s="95">
        <f t="shared" si="190"/>
        <v>830916</v>
      </c>
      <c r="CZ40" s="95">
        <f t="shared" si="190"/>
        <v>832074</v>
      </c>
      <c r="DA40" s="95">
        <f t="shared" si="190"/>
        <v>831800</v>
      </c>
      <c r="DB40" s="95">
        <f t="shared" si="190"/>
        <v>794737</v>
      </c>
      <c r="DC40" s="95">
        <f t="shared" si="190"/>
        <v>833120</v>
      </c>
      <c r="DD40" s="95">
        <f t="shared" si="190"/>
        <v>792283</v>
      </c>
      <c r="DE40" s="95">
        <f t="shared" si="190"/>
        <v>796643</v>
      </c>
      <c r="DF40" s="107">
        <f t="shared" si="190"/>
        <v>817010</v>
      </c>
      <c r="DG40" s="323">
        <f t="shared" si="190"/>
        <v>757384</v>
      </c>
      <c r="DH40" s="95">
        <f t="shared" si="190"/>
        <v>828822</v>
      </c>
      <c r="DI40" s="323">
        <f t="shared" si="190"/>
        <v>832766</v>
      </c>
      <c r="DJ40" s="95">
        <f t="shared" si="190"/>
        <v>799194</v>
      </c>
      <c r="DK40" s="95">
        <f t="shared" si="190"/>
        <v>759989</v>
      </c>
      <c r="DL40" s="95">
        <f t="shared" ref="DL40:FK40" si="191">SUM(DL38:DL39)</f>
        <v>835471</v>
      </c>
      <c r="DM40" s="95">
        <f t="shared" si="191"/>
        <v>803322</v>
      </c>
      <c r="DN40" s="95">
        <f t="shared" si="191"/>
        <v>837974</v>
      </c>
      <c r="DO40" s="95">
        <f t="shared" si="191"/>
        <v>788964</v>
      </c>
      <c r="DP40" s="95">
        <f t="shared" si="191"/>
        <v>770080</v>
      </c>
      <c r="DQ40" s="95">
        <f t="shared" si="191"/>
        <v>805828</v>
      </c>
      <c r="DR40" s="95">
        <f t="shared" si="191"/>
        <v>729112</v>
      </c>
      <c r="DS40" s="95">
        <f t="shared" si="191"/>
        <v>769915</v>
      </c>
      <c r="DT40" s="95">
        <f t="shared" si="191"/>
        <v>805189</v>
      </c>
      <c r="DU40" s="95">
        <f t="shared" si="191"/>
        <v>846288</v>
      </c>
      <c r="DV40" s="355">
        <f t="shared" si="191"/>
        <v>847183</v>
      </c>
      <c r="DW40" s="355">
        <f t="shared" si="191"/>
        <v>850029</v>
      </c>
      <c r="DX40" s="355">
        <f t="shared" si="191"/>
        <v>841596</v>
      </c>
      <c r="DY40" s="355">
        <f t="shared" si="191"/>
        <v>853387</v>
      </c>
      <c r="DZ40" s="355">
        <f t="shared" si="191"/>
        <v>853248</v>
      </c>
      <c r="EA40" s="355">
        <f t="shared" si="191"/>
        <v>851945</v>
      </c>
      <c r="EB40" s="355">
        <f t="shared" si="191"/>
        <v>854000</v>
      </c>
      <c r="EC40" s="355">
        <f t="shared" si="191"/>
        <v>855516</v>
      </c>
      <c r="ED40" s="355">
        <f t="shared" si="191"/>
        <v>853899</v>
      </c>
      <c r="EE40" s="355">
        <f t="shared" si="191"/>
        <v>856643</v>
      </c>
      <c r="EF40" s="355">
        <f t="shared" si="191"/>
        <v>854855</v>
      </c>
      <c r="EG40" s="355">
        <f t="shared" si="191"/>
        <v>853946</v>
      </c>
      <c r="EH40" s="355">
        <f t="shared" si="191"/>
        <v>855864</v>
      </c>
      <c r="EI40" s="355">
        <f t="shared" si="191"/>
        <v>855505</v>
      </c>
      <c r="EJ40" s="355">
        <f t="shared" si="191"/>
        <v>859576</v>
      </c>
      <c r="EK40" s="355">
        <f t="shared" si="191"/>
        <v>862353</v>
      </c>
      <c r="EL40" s="355">
        <f t="shared" si="191"/>
        <v>862032</v>
      </c>
      <c r="EM40" s="355">
        <f t="shared" si="191"/>
        <v>861222</v>
      </c>
      <c r="EN40" s="355">
        <f t="shared" si="191"/>
        <v>860628</v>
      </c>
      <c r="EO40" s="355">
        <f t="shared" si="191"/>
        <v>860680</v>
      </c>
      <c r="EP40" s="355">
        <f t="shared" si="191"/>
        <v>854874</v>
      </c>
      <c r="EQ40" s="355">
        <f t="shared" si="191"/>
        <v>824370</v>
      </c>
      <c r="ER40" s="355">
        <f t="shared" si="191"/>
        <v>829891</v>
      </c>
      <c r="ES40" s="355">
        <f t="shared" si="191"/>
        <v>825532</v>
      </c>
      <c r="ET40" s="355">
        <f t="shared" si="191"/>
        <v>864743</v>
      </c>
      <c r="EU40" s="355">
        <f t="shared" si="191"/>
        <v>866511</v>
      </c>
      <c r="EV40" s="355">
        <f t="shared" si="191"/>
        <v>865751</v>
      </c>
      <c r="EW40" s="355">
        <f t="shared" si="191"/>
        <v>868742</v>
      </c>
      <c r="EX40" s="355">
        <f t="shared" si="191"/>
        <v>869968</v>
      </c>
      <c r="EY40" s="355">
        <f t="shared" si="191"/>
        <v>862196</v>
      </c>
      <c r="EZ40" s="355">
        <f t="shared" si="191"/>
        <v>870470</v>
      </c>
      <c r="FA40" s="355">
        <f t="shared" si="191"/>
        <v>870970</v>
      </c>
      <c r="FB40" s="355">
        <f t="shared" si="191"/>
        <v>870004</v>
      </c>
      <c r="FC40" s="355">
        <f t="shared" si="191"/>
        <v>871087</v>
      </c>
      <c r="FD40" s="355">
        <f t="shared" si="191"/>
        <v>873135</v>
      </c>
      <c r="FE40" s="355">
        <f t="shared" si="191"/>
        <v>870844</v>
      </c>
      <c r="FF40" s="355">
        <f t="shared" si="191"/>
        <v>875667</v>
      </c>
      <c r="FG40" s="355">
        <f t="shared" si="191"/>
        <v>876780</v>
      </c>
      <c r="FH40" s="355">
        <f t="shared" si="191"/>
        <v>878506</v>
      </c>
      <c r="FI40" s="355">
        <f t="shared" si="191"/>
        <v>882159</v>
      </c>
      <c r="FJ40" s="355">
        <f t="shared" si="191"/>
        <v>881610</v>
      </c>
      <c r="FK40" s="355">
        <f t="shared" si="191"/>
        <v>874609</v>
      </c>
      <c r="FL40" s="355">
        <f t="shared" ref="FL40:FT40" si="192">SUM(FL38:FL39)</f>
        <v>878082</v>
      </c>
      <c r="FM40" s="355">
        <f t="shared" si="192"/>
        <v>878912</v>
      </c>
      <c r="FN40" s="355">
        <f t="shared" si="192"/>
        <v>872961</v>
      </c>
      <c r="FO40" s="355">
        <f t="shared" si="192"/>
        <v>879983</v>
      </c>
      <c r="FP40" s="355">
        <f t="shared" si="192"/>
        <v>883517</v>
      </c>
      <c r="FQ40" s="355">
        <f t="shared" si="192"/>
        <v>881448</v>
      </c>
      <c r="FR40" s="355">
        <f t="shared" si="192"/>
        <v>882862</v>
      </c>
      <c r="FS40" s="355">
        <f t="shared" si="192"/>
        <v>886170</v>
      </c>
      <c r="FT40" s="355">
        <f t="shared" si="192"/>
        <v>884398</v>
      </c>
    </row>
    <row r="41" spans="2:182" x14ac:dyDescent="0.25">
      <c r="B41" s="3" t="s">
        <v>10</v>
      </c>
      <c r="C41" s="36">
        <f t="shared" ref="C41:Q41" si="193">SUM(C38)/C40</f>
        <v>0.99132540339405051</v>
      </c>
      <c r="D41" s="14">
        <f t="shared" si="193"/>
        <v>0.98854862743083072</v>
      </c>
      <c r="E41" s="14">
        <f t="shared" si="193"/>
        <v>0.98554933834286029</v>
      </c>
      <c r="F41" s="14">
        <f t="shared" si="193"/>
        <v>0.98322868252295814</v>
      </c>
      <c r="G41" s="14">
        <f t="shared" si="193"/>
        <v>0.98071250797320209</v>
      </c>
      <c r="H41" s="14">
        <f t="shared" si="193"/>
        <v>0.97842909871642803</v>
      </c>
      <c r="I41" s="14">
        <f t="shared" si="193"/>
        <v>0.97494537183330943</v>
      </c>
      <c r="J41" s="14">
        <f t="shared" si="193"/>
        <v>0.96564109479624283</v>
      </c>
      <c r="K41" s="36">
        <f t="shared" si="193"/>
        <v>0.95805282778330736</v>
      </c>
      <c r="L41" s="14">
        <f t="shared" si="193"/>
        <v>0.95173226214778561</v>
      </c>
      <c r="M41" s="14">
        <f t="shared" si="193"/>
        <v>0.94861370652638732</v>
      </c>
      <c r="N41" s="23">
        <f t="shared" si="193"/>
        <v>0.94465440886642393</v>
      </c>
      <c r="O41" s="36">
        <f t="shared" si="193"/>
        <v>0.9311187347522093</v>
      </c>
      <c r="P41" s="14">
        <f t="shared" si="193"/>
        <v>0.92306821963394348</v>
      </c>
      <c r="Q41" s="14">
        <f t="shared" si="193"/>
        <v>0.91816667085913195</v>
      </c>
      <c r="R41" s="14">
        <f t="shared" ref="R41:W41" si="194">SUM(R38)/R40</f>
        <v>0.90770642201834861</v>
      </c>
      <c r="S41" s="14">
        <f t="shared" si="194"/>
        <v>0.89501449931861476</v>
      </c>
      <c r="T41" s="14">
        <f t="shared" si="194"/>
        <v>0.88482714655991812</v>
      </c>
      <c r="U41" s="14">
        <f t="shared" si="194"/>
        <v>0.872380605619273</v>
      </c>
      <c r="V41" s="14">
        <f t="shared" si="194"/>
        <v>0.8596528124421966</v>
      </c>
      <c r="W41" s="14">
        <f t="shared" si="194"/>
        <v>0.84909705803433555</v>
      </c>
      <c r="X41" s="14">
        <f t="shared" ref="X41:AC41" si="195">SUM(X38)/X40</f>
        <v>0.83467198679529653</v>
      </c>
      <c r="Y41" s="14">
        <f t="shared" si="195"/>
        <v>0.82483409836865307</v>
      </c>
      <c r="Z41" s="23">
        <f t="shared" si="195"/>
        <v>0.8167124589153657</v>
      </c>
      <c r="AA41" s="14">
        <f t="shared" si="195"/>
        <v>0.814521228602064</v>
      </c>
      <c r="AB41" s="14">
        <f t="shared" si="195"/>
        <v>0.81220547175981483</v>
      </c>
      <c r="AC41" s="14">
        <f t="shared" si="195"/>
        <v>0.80637791647276746</v>
      </c>
      <c r="AD41" s="14">
        <f t="shared" ref="AD41:AI41" si="196">SUM(AD38)/AD40</f>
        <v>0.80339287918599112</v>
      </c>
      <c r="AE41" s="14">
        <f t="shared" si="196"/>
        <v>0.79613837361726658</v>
      </c>
      <c r="AF41" s="14">
        <f t="shared" si="196"/>
        <v>0.7911823209572344</v>
      </c>
      <c r="AG41" s="14">
        <f t="shared" si="196"/>
        <v>0.78131309194861875</v>
      </c>
      <c r="AH41" s="14">
        <f t="shared" si="196"/>
        <v>0.77422807324875154</v>
      </c>
      <c r="AI41" s="14">
        <f t="shared" si="196"/>
        <v>0.76614316884496403</v>
      </c>
      <c r="AJ41" s="14">
        <f t="shared" ref="AJ41:AO41" si="197">SUM(AJ38)/AJ40</f>
        <v>0.75832383408751591</v>
      </c>
      <c r="AK41" s="14">
        <f t="shared" si="197"/>
        <v>0.75112732377589653</v>
      </c>
      <c r="AL41" s="23">
        <f t="shared" si="197"/>
        <v>0.74499972905603118</v>
      </c>
      <c r="AM41" s="14">
        <f t="shared" si="197"/>
        <v>0.73895514280445929</v>
      </c>
      <c r="AN41" s="14">
        <f t="shared" si="197"/>
        <v>0.73398607137251226</v>
      </c>
      <c r="AO41" s="14">
        <f t="shared" si="197"/>
        <v>0.73123556292055836</v>
      </c>
      <c r="AP41" s="14">
        <f t="shared" ref="AP41:AU41" si="198">SUM(AP38)/AP40</f>
        <v>0.72890092009736318</v>
      </c>
      <c r="AQ41" s="14">
        <f t="shared" si="198"/>
        <v>0.72495213951429793</v>
      </c>
      <c r="AR41" s="14">
        <f t="shared" si="198"/>
        <v>0.72251297624431954</v>
      </c>
      <c r="AS41" s="14">
        <f t="shared" si="198"/>
        <v>0.71820967118189882</v>
      </c>
      <c r="AT41" s="14">
        <f t="shared" si="198"/>
        <v>0.71239104458043467</v>
      </c>
      <c r="AU41" s="14">
        <f t="shared" si="198"/>
        <v>0.70638949428594355</v>
      </c>
      <c r="AV41" s="14">
        <f t="shared" ref="AV41:BJ41" si="199">SUM(AV38)/AV40</f>
        <v>0.698423976633746</v>
      </c>
      <c r="AW41" s="14">
        <f t="shared" si="199"/>
        <v>0.69343689289573118</v>
      </c>
      <c r="AX41" s="23">
        <f t="shared" si="199"/>
        <v>0.68760830809150808</v>
      </c>
      <c r="AY41" s="14">
        <f t="shared" si="199"/>
        <v>0.68318451528012103</v>
      </c>
      <c r="AZ41" s="14">
        <f t="shared" si="199"/>
        <v>0.67930637746945455</v>
      </c>
      <c r="BA41" s="14">
        <f t="shared" si="199"/>
        <v>0.67664116660782625</v>
      </c>
      <c r="BB41" s="14">
        <f t="shared" si="199"/>
        <v>0.67168818464038749</v>
      </c>
      <c r="BC41" s="14">
        <f t="shared" si="199"/>
        <v>0.66455078415263835</v>
      </c>
      <c r="BD41" s="14">
        <f t="shared" si="199"/>
        <v>0.65551923829740144</v>
      </c>
      <c r="BE41" s="14">
        <f t="shared" si="199"/>
        <v>0.64726075711262643</v>
      </c>
      <c r="BF41" s="14">
        <f t="shared" si="199"/>
        <v>0.63899456692436751</v>
      </c>
      <c r="BG41" s="14">
        <f t="shared" si="199"/>
        <v>0.63303694814168299</v>
      </c>
      <c r="BH41" s="14">
        <f t="shared" si="199"/>
        <v>0.62221982651385732</v>
      </c>
      <c r="BI41" s="14">
        <f t="shared" si="199"/>
        <v>0.61638150766819777</v>
      </c>
      <c r="BJ41" s="23">
        <f t="shared" si="199"/>
        <v>0.60976570896324422</v>
      </c>
      <c r="BK41" s="14">
        <f t="shared" ref="BK41:BV41" si="200">SUM(BK38)/BK40</f>
        <v>0.60219852370379789</v>
      </c>
      <c r="BL41" s="14">
        <f t="shared" si="200"/>
        <v>0.59823309751237708</v>
      </c>
      <c r="BM41" s="14">
        <f t="shared" si="200"/>
        <v>0.59621767748001886</v>
      </c>
      <c r="BN41" s="14">
        <f t="shared" si="200"/>
        <v>0.59106225608959473</v>
      </c>
      <c r="BO41" s="14">
        <f t="shared" si="200"/>
        <v>0.58381773816701843</v>
      </c>
      <c r="BP41" s="14">
        <f t="shared" si="200"/>
        <v>0.57769745573659392</v>
      </c>
      <c r="BQ41" s="14">
        <f t="shared" si="200"/>
        <v>0.57105664164582959</v>
      </c>
      <c r="BR41" s="14">
        <f t="shared" si="200"/>
        <v>0.56314316103337481</v>
      </c>
      <c r="BS41" s="14">
        <f t="shared" si="200"/>
        <v>0.55733839016626596</v>
      </c>
      <c r="BT41" s="14">
        <f t="shared" si="200"/>
        <v>0.54574263099807074</v>
      </c>
      <c r="BU41" s="14">
        <f t="shared" si="200"/>
        <v>0.53989729601172654</v>
      </c>
      <c r="BV41" s="23">
        <f t="shared" si="200"/>
        <v>0.53336868906294377</v>
      </c>
      <c r="BW41" s="14">
        <f t="shared" ref="BW41:CB41" si="201">SUM(BW38)/BW40</f>
        <v>0.52788966486368616</v>
      </c>
      <c r="BX41" s="14">
        <f t="shared" si="201"/>
        <v>0.52267211417540194</v>
      </c>
      <c r="BY41" s="14">
        <f t="shared" si="201"/>
        <v>0.51723170238187</v>
      </c>
      <c r="BZ41" s="14">
        <f t="shared" si="201"/>
        <v>0.50953224595120261</v>
      </c>
      <c r="CA41" s="14">
        <f t="shared" si="201"/>
        <v>0.50133656301051366</v>
      </c>
      <c r="CB41" s="14">
        <f t="shared" si="201"/>
        <v>0.49393033941580416</v>
      </c>
      <c r="CC41" s="14">
        <f t="shared" ref="CC41:DK41" si="202">SUM(CC38)/CC40</f>
        <v>0.48514965657905168</v>
      </c>
      <c r="CD41" s="14">
        <f t="shared" si="202"/>
        <v>0.47852909359986379</v>
      </c>
      <c r="CE41" s="14">
        <f t="shared" si="202"/>
        <v>0.47068548304858021</v>
      </c>
      <c r="CF41" s="14">
        <f t="shared" si="202"/>
        <v>0.46168639711141002</v>
      </c>
      <c r="CG41" s="14">
        <f t="shared" si="202"/>
        <v>0.44784197270000581</v>
      </c>
      <c r="CH41" s="23">
        <f t="shared" si="202"/>
        <v>0.4414856165761416</v>
      </c>
      <c r="CI41" s="239">
        <f t="shared" si="202"/>
        <v>0.44003747885434286</v>
      </c>
      <c r="CJ41" s="240">
        <f t="shared" si="202"/>
        <v>0.43160909501142697</v>
      </c>
      <c r="CK41" s="240">
        <f t="shared" si="202"/>
        <v>0.42394642408062988</v>
      </c>
      <c r="CL41" s="240">
        <f t="shared" si="202"/>
        <v>0.41643835947682389</v>
      </c>
      <c r="CM41" s="240">
        <f t="shared" si="202"/>
        <v>0.40978109563351284</v>
      </c>
      <c r="CN41" s="240">
        <f t="shared" si="202"/>
        <v>0.40349434093343239</v>
      </c>
      <c r="CO41" s="240">
        <f t="shared" si="202"/>
        <v>0.39747950772691126</v>
      </c>
      <c r="CP41" s="240">
        <f t="shared" si="202"/>
        <v>0.391494852191764</v>
      </c>
      <c r="CQ41" s="240">
        <f t="shared" si="202"/>
        <v>0.38448963956204396</v>
      </c>
      <c r="CR41" s="240">
        <f t="shared" si="202"/>
        <v>0.37653757552049377</v>
      </c>
      <c r="CS41" s="240">
        <f t="shared" si="202"/>
        <v>0.3706295141664232</v>
      </c>
      <c r="CT41" s="241">
        <f t="shared" si="202"/>
        <v>0.36586349613555186</v>
      </c>
      <c r="CU41" s="240">
        <f t="shared" si="202"/>
        <v>0.36282078386622774</v>
      </c>
      <c r="CV41" s="240">
        <f t="shared" si="202"/>
        <v>0.3587928199390828</v>
      </c>
      <c r="CW41" s="240">
        <f t="shared" si="202"/>
        <v>0.35426933448361453</v>
      </c>
      <c r="CX41" s="240">
        <f t="shared" si="202"/>
        <v>0.34931365733349878</v>
      </c>
      <c r="CY41" s="240">
        <f t="shared" si="202"/>
        <v>0.34527798237126256</v>
      </c>
      <c r="CZ41" s="240">
        <f t="shared" si="202"/>
        <v>0.34089876621550486</v>
      </c>
      <c r="DA41" s="240">
        <f t="shared" si="202"/>
        <v>0.33683096898292858</v>
      </c>
      <c r="DB41" s="240">
        <f t="shared" si="202"/>
        <v>0.33220675519071091</v>
      </c>
      <c r="DC41" s="240">
        <f t="shared" si="202"/>
        <v>0.32942913385826772</v>
      </c>
      <c r="DD41" s="240">
        <f t="shared" si="202"/>
        <v>0.32762030739016235</v>
      </c>
      <c r="DE41" s="240">
        <f t="shared" si="202"/>
        <v>0.32402468859953582</v>
      </c>
      <c r="DF41" s="241">
        <f t="shared" si="202"/>
        <v>0.32179410288735755</v>
      </c>
      <c r="DG41" s="240">
        <f t="shared" si="202"/>
        <v>0.31898086043539342</v>
      </c>
      <c r="DH41" s="240">
        <f t="shared" si="202"/>
        <v>0.31761825820260564</v>
      </c>
      <c r="DI41" s="240">
        <f t="shared" si="202"/>
        <v>0.31559285561610345</v>
      </c>
      <c r="DJ41" s="240">
        <f t="shared" si="202"/>
        <v>0.31399760258460396</v>
      </c>
      <c r="DK41" s="240">
        <f t="shared" si="202"/>
        <v>0.31115318774350681</v>
      </c>
      <c r="DL41" s="240">
        <f t="shared" ref="DL41:EQ41" si="203">SUM(DL38)/DL40</f>
        <v>0.30988388585600218</v>
      </c>
      <c r="DM41" s="240">
        <f t="shared" si="203"/>
        <v>0.30752301069807625</v>
      </c>
      <c r="DN41" s="240">
        <f t="shared" si="203"/>
        <v>0.30557033989121379</v>
      </c>
      <c r="DO41" s="240">
        <f t="shared" si="203"/>
        <v>0.30342195588138371</v>
      </c>
      <c r="DP41" s="240">
        <f t="shared" si="203"/>
        <v>0.30320875753168502</v>
      </c>
      <c r="DQ41" s="240">
        <f t="shared" si="203"/>
        <v>0.29904892855547338</v>
      </c>
      <c r="DR41" s="240">
        <f t="shared" si="203"/>
        <v>0.29921466112202239</v>
      </c>
      <c r="DS41" s="240">
        <f t="shared" si="203"/>
        <v>0.29747569536896928</v>
      </c>
      <c r="DT41" s="240">
        <f t="shared" si="203"/>
        <v>0.2962298292698981</v>
      </c>
      <c r="DU41" s="240">
        <f t="shared" si="203"/>
        <v>0.29288256480063524</v>
      </c>
      <c r="DV41" s="356">
        <f t="shared" si="203"/>
        <v>0.29047443114415655</v>
      </c>
      <c r="DW41" s="356">
        <f t="shared" si="203"/>
        <v>0.28751607298103948</v>
      </c>
      <c r="DX41" s="356">
        <f t="shared" si="203"/>
        <v>0.28544574831629427</v>
      </c>
      <c r="DY41" s="356">
        <f t="shared" si="203"/>
        <v>0.28258457182966229</v>
      </c>
      <c r="DZ41" s="356">
        <f t="shared" si="203"/>
        <v>0.28072260351035105</v>
      </c>
      <c r="EA41" s="356">
        <f t="shared" si="203"/>
        <v>0.27994178027924338</v>
      </c>
      <c r="EB41" s="356">
        <f t="shared" si="203"/>
        <v>0.27819789227166275</v>
      </c>
      <c r="EC41" s="356">
        <f t="shared" si="203"/>
        <v>0.27666928496953885</v>
      </c>
      <c r="ED41" s="356">
        <f t="shared" si="203"/>
        <v>0.27569536912445147</v>
      </c>
      <c r="EE41" s="356">
        <f t="shared" si="203"/>
        <v>0.2726876890373236</v>
      </c>
      <c r="EF41" s="356">
        <f t="shared" si="203"/>
        <v>0.27134543285118529</v>
      </c>
      <c r="EG41" s="356">
        <f t="shared" si="203"/>
        <v>0.26926058556395838</v>
      </c>
      <c r="EH41" s="356">
        <f t="shared" si="203"/>
        <v>0.26751329650505218</v>
      </c>
      <c r="EI41" s="356">
        <f t="shared" si="203"/>
        <v>0.26652445047077455</v>
      </c>
      <c r="EJ41" s="356">
        <f t="shared" si="203"/>
        <v>0.26328794661554067</v>
      </c>
      <c r="EK41" s="356">
        <f t="shared" si="203"/>
        <v>0.26282044591947845</v>
      </c>
      <c r="EL41" s="356">
        <f t="shared" si="203"/>
        <v>0.26175014384616813</v>
      </c>
      <c r="EM41" s="356">
        <f t="shared" si="203"/>
        <v>0.26111385914433211</v>
      </c>
      <c r="EN41" s="356">
        <f t="shared" si="203"/>
        <v>0.26044353658026465</v>
      </c>
      <c r="EO41" s="356">
        <f t="shared" si="203"/>
        <v>0.25990379699772276</v>
      </c>
      <c r="EP41" s="356">
        <f t="shared" si="203"/>
        <v>0.25973769233828609</v>
      </c>
      <c r="EQ41" s="356">
        <f t="shared" si="203"/>
        <v>0.25859383529240509</v>
      </c>
      <c r="ER41" s="356">
        <f t="shared" ref="ER41:FK41" si="204">SUM(ER38)/ER40</f>
        <v>0.25547571910046019</v>
      </c>
      <c r="ES41" s="356">
        <f t="shared" si="204"/>
        <v>0.25466002529278092</v>
      </c>
      <c r="ET41" s="356">
        <f t="shared" si="204"/>
        <v>0.25279880843210062</v>
      </c>
      <c r="EU41" s="356">
        <f t="shared" si="204"/>
        <v>0.25137938237368018</v>
      </c>
      <c r="EV41" s="356">
        <f t="shared" si="204"/>
        <v>0.25087351906033029</v>
      </c>
      <c r="EW41" s="356">
        <f t="shared" si="204"/>
        <v>0.2498371208022635</v>
      </c>
      <c r="EX41" s="356">
        <f t="shared" si="204"/>
        <v>0.24859075276332002</v>
      </c>
      <c r="EY41" s="282">
        <f t="shared" si="204"/>
        <v>0.24670260590399398</v>
      </c>
      <c r="EZ41" s="282">
        <f t="shared" si="204"/>
        <v>0.2455937596930394</v>
      </c>
      <c r="FA41" s="282">
        <f t="shared" si="204"/>
        <v>0.24372021998461485</v>
      </c>
      <c r="FB41" s="282">
        <f t="shared" si="204"/>
        <v>0.24209658806166409</v>
      </c>
      <c r="FC41" s="282">
        <f t="shared" si="204"/>
        <v>0.24111254099762711</v>
      </c>
      <c r="FD41" s="282">
        <f t="shared" si="204"/>
        <v>0.23872597021079214</v>
      </c>
      <c r="FE41" s="282">
        <f t="shared" si="204"/>
        <v>0.23612495464170391</v>
      </c>
      <c r="FF41" s="282">
        <f t="shared" si="204"/>
        <v>0.23314913089108075</v>
      </c>
      <c r="FG41" s="282">
        <f t="shared" si="204"/>
        <v>0.23062683911585574</v>
      </c>
      <c r="FH41" s="282">
        <f t="shared" si="204"/>
        <v>0.22824886796447605</v>
      </c>
      <c r="FI41" s="282">
        <f t="shared" si="204"/>
        <v>0.22567133589296259</v>
      </c>
      <c r="FJ41" s="282">
        <f t="shared" si="204"/>
        <v>0.22404577987999227</v>
      </c>
      <c r="FK41" s="282">
        <f t="shared" si="204"/>
        <v>0.22260004184727117</v>
      </c>
      <c r="FL41" s="282">
        <f t="shared" ref="FL41:FT41" si="205">SUM(FL38)/FL40</f>
        <v>0.22022772360667911</v>
      </c>
      <c r="FM41" s="282">
        <f t="shared" si="205"/>
        <v>0.2178113394742591</v>
      </c>
      <c r="FN41" s="282">
        <f t="shared" si="205"/>
        <v>0.21647129711407498</v>
      </c>
      <c r="FO41" s="282">
        <f t="shared" si="205"/>
        <v>0.21408140839084391</v>
      </c>
      <c r="FP41" s="282">
        <f t="shared" si="205"/>
        <v>0.2114424510224478</v>
      </c>
      <c r="FQ41" s="282">
        <f t="shared" si="205"/>
        <v>0.20962325627830569</v>
      </c>
      <c r="FR41" s="282">
        <f t="shared" si="205"/>
        <v>0.20751147971030581</v>
      </c>
      <c r="FS41" s="282">
        <f t="shared" si="205"/>
        <v>0.2056264599343241</v>
      </c>
      <c r="FT41" s="282">
        <f t="shared" si="205"/>
        <v>0.20387540451244801</v>
      </c>
    </row>
    <row r="42" spans="2:182" ht="13.8" thickBot="1" x14ac:dyDescent="0.3">
      <c r="B42" s="4" t="s">
        <v>11</v>
      </c>
      <c r="C42" s="37">
        <f t="shared" ref="C42:Q42" si="206">SUM(C39/C40)</f>
        <v>8.6745966059495073E-3</v>
      </c>
      <c r="D42" s="15">
        <f t="shared" si="206"/>
        <v>1.1451372569169319E-2</v>
      </c>
      <c r="E42" s="15">
        <f t="shared" si="206"/>
        <v>1.4450661657139716E-2</v>
      </c>
      <c r="F42" s="15">
        <f t="shared" si="206"/>
        <v>1.6771317477041893E-2</v>
      </c>
      <c r="G42" s="15">
        <f t="shared" si="206"/>
        <v>1.9287492026797949E-2</v>
      </c>
      <c r="H42" s="15">
        <f t="shared" si="206"/>
        <v>2.1570901283572003E-2</v>
      </c>
      <c r="I42" s="15">
        <f t="shared" si="206"/>
        <v>2.5054628166690567E-2</v>
      </c>
      <c r="J42" s="15">
        <f t="shared" si="206"/>
        <v>3.4358905203757201E-2</v>
      </c>
      <c r="K42" s="37">
        <f t="shared" si="206"/>
        <v>4.1947172216692662E-2</v>
      </c>
      <c r="L42" s="15">
        <f t="shared" si="206"/>
        <v>4.8267737852214443E-2</v>
      </c>
      <c r="M42" s="15">
        <f t="shared" si="206"/>
        <v>5.1386293473612683E-2</v>
      </c>
      <c r="N42" s="24">
        <f t="shared" si="206"/>
        <v>5.5345591133576018E-2</v>
      </c>
      <c r="O42" s="37">
        <f t="shared" si="206"/>
        <v>6.8881265247790716E-2</v>
      </c>
      <c r="P42" s="15">
        <f t="shared" si="206"/>
        <v>7.6931780366056579E-2</v>
      </c>
      <c r="Q42" s="15">
        <f t="shared" si="206"/>
        <v>8.1833329140868036E-2</v>
      </c>
      <c r="R42" s="15">
        <f t="shared" ref="R42:W42" si="207">SUM(R39/R40)</f>
        <v>9.2293577981651373E-2</v>
      </c>
      <c r="S42" s="15">
        <f t="shared" si="207"/>
        <v>0.10498550068138526</v>
      </c>
      <c r="T42" s="15">
        <f t="shared" si="207"/>
        <v>0.11517285344008184</v>
      </c>
      <c r="U42" s="15">
        <f t="shared" si="207"/>
        <v>0.12761939438072697</v>
      </c>
      <c r="V42" s="15">
        <f t="shared" si="207"/>
        <v>0.14034718755780337</v>
      </c>
      <c r="W42" s="15">
        <f t="shared" si="207"/>
        <v>0.15090294196566442</v>
      </c>
      <c r="X42" s="15">
        <f t="shared" ref="X42:AC42" si="208">SUM(X39/X40)</f>
        <v>0.16532801320470347</v>
      </c>
      <c r="Y42" s="15">
        <f t="shared" si="208"/>
        <v>0.17516590163134699</v>
      </c>
      <c r="Z42" s="24">
        <f t="shared" si="208"/>
        <v>0.18328754108463435</v>
      </c>
      <c r="AA42" s="15">
        <f t="shared" si="208"/>
        <v>0.185478771397936</v>
      </c>
      <c r="AB42" s="15">
        <f t="shared" si="208"/>
        <v>0.18779452824018522</v>
      </c>
      <c r="AC42" s="15">
        <f t="shared" si="208"/>
        <v>0.19362208352723259</v>
      </c>
      <c r="AD42" s="15">
        <f t="shared" ref="AD42:AI42" si="209">SUM(AD39/AD40)</f>
        <v>0.19660712081400886</v>
      </c>
      <c r="AE42" s="15">
        <f t="shared" si="209"/>
        <v>0.20386162638273345</v>
      </c>
      <c r="AF42" s="15">
        <f t="shared" si="209"/>
        <v>0.20881767904276557</v>
      </c>
      <c r="AG42" s="15">
        <f t="shared" si="209"/>
        <v>0.21868690805138119</v>
      </c>
      <c r="AH42" s="15">
        <f t="shared" si="209"/>
        <v>0.22577192675124844</v>
      </c>
      <c r="AI42" s="15">
        <f t="shared" si="209"/>
        <v>0.23385683115503597</v>
      </c>
      <c r="AJ42" s="15">
        <f t="shared" ref="AJ42:AO42" si="210">SUM(AJ39/AJ40)</f>
        <v>0.24167616591248411</v>
      </c>
      <c r="AK42" s="15">
        <f t="shared" si="210"/>
        <v>0.24887267622410345</v>
      </c>
      <c r="AL42" s="24">
        <f t="shared" si="210"/>
        <v>0.25500027094396877</v>
      </c>
      <c r="AM42" s="15">
        <f t="shared" si="210"/>
        <v>0.26104485719554071</v>
      </c>
      <c r="AN42" s="15">
        <f t="shared" si="210"/>
        <v>0.26601392862748768</v>
      </c>
      <c r="AO42" s="15">
        <f t="shared" si="210"/>
        <v>0.26876443707944159</v>
      </c>
      <c r="AP42" s="15">
        <f t="shared" ref="AP42:AU42" si="211">SUM(AP39/AP40)</f>
        <v>0.27109907990263687</v>
      </c>
      <c r="AQ42" s="15">
        <f t="shared" si="211"/>
        <v>0.27504786048570207</v>
      </c>
      <c r="AR42" s="15">
        <f t="shared" si="211"/>
        <v>0.27748702375568046</v>
      </c>
      <c r="AS42" s="15">
        <f t="shared" si="211"/>
        <v>0.28179032881810123</v>
      </c>
      <c r="AT42" s="15">
        <f t="shared" si="211"/>
        <v>0.28760895541956533</v>
      </c>
      <c r="AU42" s="15">
        <f t="shared" si="211"/>
        <v>0.29361050571405639</v>
      </c>
      <c r="AV42" s="15">
        <f>SUM(AV39/AV40)</f>
        <v>0.30157602336625405</v>
      </c>
      <c r="AW42" s="15">
        <f>SUM(AW39/AW40)</f>
        <v>0.30656310710426887</v>
      </c>
      <c r="AX42" s="24">
        <f>SUM(AX39/AX40)</f>
        <v>0.31239169190849186</v>
      </c>
      <c r="AY42" s="15">
        <f t="shared" ref="AY42:BG42" si="212">SUM(AY39/AY40)</f>
        <v>0.31681548471987897</v>
      </c>
      <c r="AZ42" s="15">
        <f t="shared" si="212"/>
        <v>0.32069362253054551</v>
      </c>
      <c r="BA42" s="15">
        <f t="shared" si="212"/>
        <v>0.32335883339217381</v>
      </c>
      <c r="BB42" s="15">
        <f t="shared" si="212"/>
        <v>0.32831181535961246</v>
      </c>
      <c r="BC42" s="15">
        <f t="shared" si="212"/>
        <v>0.33544921584736159</v>
      </c>
      <c r="BD42" s="15">
        <f t="shared" si="212"/>
        <v>0.34448076170259856</v>
      </c>
      <c r="BE42" s="15">
        <f t="shared" si="212"/>
        <v>0.35273924288737363</v>
      </c>
      <c r="BF42" s="15">
        <f t="shared" si="212"/>
        <v>0.36100543307563249</v>
      </c>
      <c r="BG42" s="15">
        <f t="shared" si="212"/>
        <v>0.36696305185831696</v>
      </c>
      <c r="BH42" s="15">
        <f>SUM(BH39/BH40)</f>
        <v>0.37778017348614268</v>
      </c>
      <c r="BI42" s="15">
        <f>SUM(BI39/BI40)</f>
        <v>0.38361849233180229</v>
      </c>
      <c r="BJ42" s="24">
        <f>SUM(BJ39/BJ40)</f>
        <v>0.39023429103675578</v>
      </c>
      <c r="BK42" s="15">
        <f t="shared" ref="BK42:BS42" si="213">SUM(BK39/BK40)</f>
        <v>0.39780147629620216</v>
      </c>
      <c r="BL42" s="15">
        <f t="shared" si="213"/>
        <v>0.40176690248762298</v>
      </c>
      <c r="BM42" s="15">
        <f t="shared" si="213"/>
        <v>0.4037823225199812</v>
      </c>
      <c r="BN42" s="15">
        <f t="shared" si="213"/>
        <v>0.40893774391040527</v>
      </c>
      <c r="BO42" s="15">
        <f t="shared" si="213"/>
        <v>0.41618226183298163</v>
      </c>
      <c r="BP42" s="15">
        <f t="shared" si="213"/>
        <v>0.42230254426340608</v>
      </c>
      <c r="BQ42" s="15">
        <f t="shared" si="213"/>
        <v>0.42894335835417041</v>
      </c>
      <c r="BR42" s="15">
        <f t="shared" si="213"/>
        <v>0.43685683896662525</v>
      </c>
      <c r="BS42" s="15">
        <f t="shared" si="213"/>
        <v>0.44266160983373404</v>
      </c>
      <c r="BT42" s="15">
        <f>SUM(BT39/BT40)</f>
        <v>0.45425736900192931</v>
      </c>
      <c r="BU42" s="15">
        <f>SUM(BU39/BU40)</f>
        <v>0.46010270398827352</v>
      </c>
      <c r="BV42" s="24">
        <f>SUM(BV39/BV40)</f>
        <v>0.46663131093705629</v>
      </c>
      <c r="BW42" s="15">
        <f t="shared" ref="BW42:CB42" si="214">SUM(BW39/BW40)</f>
        <v>0.47211033513631379</v>
      </c>
      <c r="BX42" s="15">
        <f t="shared" si="214"/>
        <v>0.47732788582459812</v>
      </c>
      <c r="BY42" s="15">
        <f t="shared" si="214"/>
        <v>0.48276829761812995</v>
      </c>
      <c r="BZ42" s="15">
        <f t="shared" si="214"/>
        <v>0.49046775404879739</v>
      </c>
      <c r="CA42" s="15">
        <f t="shared" si="214"/>
        <v>0.49866343698948634</v>
      </c>
      <c r="CB42" s="15">
        <f t="shared" si="214"/>
        <v>0.50606966058419578</v>
      </c>
      <c r="CC42" s="15">
        <f t="shared" ref="CC42:DK42" si="215">SUM(CC39/CC40)</f>
        <v>0.51485034342094826</v>
      </c>
      <c r="CD42" s="15">
        <f t="shared" si="215"/>
        <v>0.52147090640013627</v>
      </c>
      <c r="CE42" s="15">
        <f t="shared" si="215"/>
        <v>0.52931451695141984</v>
      </c>
      <c r="CF42" s="15">
        <f t="shared" si="215"/>
        <v>0.53831360288858998</v>
      </c>
      <c r="CG42" s="15">
        <f t="shared" si="215"/>
        <v>0.55215802729999419</v>
      </c>
      <c r="CH42" s="24">
        <f t="shared" si="215"/>
        <v>0.5585143834238584</v>
      </c>
      <c r="CI42" s="244">
        <f t="shared" si="215"/>
        <v>0.55996252114565714</v>
      </c>
      <c r="CJ42" s="245">
        <f t="shared" si="215"/>
        <v>0.56839090498857303</v>
      </c>
      <c r="CK42" s="245">
        <f t="shared" si="215"/>
        <v>0.57605357591937012</v>
      </c>
      <c r="CL42" s="245">
        <f t="shared" si="215"/>
        <v>0.58356164052317605</v>
      </c>
      <c r="CM42" s="245">
        <f t="shared" si="215"/>
        <v>0.59021890436648716</v>
      </c>
      <c r="CN42" s="245">
        <f t="shared" si="215"/>
        <v>0.59650565906656761</v>
      </c>
      <c r="CO42" s="245">
        <f t="shared" si="215"/>
        <v>0.60252049227308868</v>
      </c>
      <c r="CP42" s="245">
        <f t="shared" si="215"/>
        <v>0.60850514780823606</v>
      </c>
      <c r="CQ42" s="245">
        <f t="shared" si="215"/>
        <v>0.61551036043795604</v>
      </c>
      <c r="CR42" s="245">
        <f t="shared" si="215"/>
        <v>0.62346242447950628</v>
      </c>
      <c r="CS42" s="245">
        <f t="shared" si="215"/>
        <v>0.6293704858335768</v>
      </c>
      <c r="CT42" s="246">
        <f t="shared" si="215"/>
        <v>0.6341365038644482</v>
      </c>
      <c r="CU42" s="245">
        <f t="shared" si="215"/>
        <v>0.63717921613377226</v>
      </c>
      <c r="CV42" s="245">
        <f t="shared" si="215"/>
        <v>0.64120718006091715</v>
      </c>
      <c r="CW42" s="245">
        <f t="shared" si="215"/>
        <v>0.64573066551638547</v>
      </c>
      <c r="CX42" s="245">
        <f t="shared" si="215"/>
        <v>0.65068634266650116</v>
      </c>
      <c r="CY42" s="245">
        <f t="shared" si="215"/>
        <v>0.6547220176287375</v>
      </c>
      <c r="CZ42" s="245">
        <f t="shared" si="215"/>
        <v>0.65910123378449514</v>
      </c>
      <c r="DA42" s="245">
        <f t="shared" si="215"/>
        <v>0.66316903101707136</v>
      </c>
      <c r="DB42" s="245">
        <f t="shared" si="215"/>
        <v>0.66779324480928914</v>
      </c>
      <c r="DC42" s="245">
        <f t="shared" si="215"/>
        <v>0.67057086614173234</v>
      </c>
      <c r="DD42" s="245">
        <f t="shared" si="215"/>
        <v>0.67237969260983765</v>
      </c>
      <c r="DE42" s="245">
        <f t="shared" si="215"/>
        <v>0.67597531140046418</v>
      </c>
      <c r="DF42" s="246">
        <f t="shared" si="215"/>
        <v>0.67820589711264245</v>
      </c>
      <c r="DG42" s="245">
        <f t="shared" si="215"/>
        <v>0.68101913956460658</v>
      </c>
      <c r="DH42" s="245">
        <f t="shared" si="215"/>
        <v>0.68238174179739441</v>
      </c>
      <c r="DI42" s="245">
        <f t="shared" si="215"/>
        <v>0.6844071443838966</v>
      </c>
      <c r="DJ42" s="245">
        <f t="shared" si="215"/>
        <v>0.68600239741539604</v>
      </c>
      <c r="DK42" s="245">
        <f t="shared" si="215"/>
        <v>0.68884681225649314</v>
      </c>
      <c r="DL42" s="245">
        <f t="shared" ref="DL42:FK42" si="216">SUM(DL39/DL40)</f>
        <v>0.69011611414399787</v>
      </c>
      <c r="DM42" s="245">
        <f t="shared" si="216"/>
        <v>0.69247698930192381</v>
      </c>
      <c r="DN42" s="245">
        <f t="shared" si="216"/>
        <v>0.69442966010878615</v>
      </c>
      <c r="DO42" s="245">
        <f t="shared" si="216"/>
        <v>0.69657804411861635</v>
      </c>
      <c r="DP42" s="245">
        <f t="shared" si="216"/>
        <v>0.69679124246831503</v>
      </c>
      <c r="DQ42" s="245">
        <f t="shared" si="216"/>
        <v>0.70095107144452662</v>
      </c>
      <c r="DR42" s="245">
        <f t="shared" si="216"/>
        <v>0.70078533887797756</v>
      </c>
      <c r="DS42" s="245">
        <f t="shared" si="216"/>
        <v>0.70252430463103066</v>
      </c>
      <c r="DT42" s="245">
        <f t="shared" si="216"/>
        <v>0.70377017073010184</v>
      </c>
      <c r="DU42" s="245">
        <f t="shared" si="216"/>
        <v>0.70711743519936476</v>
      </c>
      <c r="DV42" s="357">
        <f t="shared" si="216"/>
        <v>0.70952556885584339</v>
      </c>
      <c r="DW42" s="357">
        <f t="shared" si="216"/>
        <v>0.71248392701896057</v>
      </c>
      <c r="DX42" s="357">
        <f t="shared" si="216"/>
        <v>0.71455425168370568</v>
      </c>
      <c r="DY42" s="357">
        <f t="shared" si="216"/>
        <v>0.71741542817033777</v>
      </c>
      <c r="DZ42" s="357">
        <f t="shared" si="216"/>
        <v>0.71927739648964895</v>
      </c>
      <c r="EA42" s="357">
        <f t="shared" si="216"/>
        <v>0.72005821972075668</v>
      </c>
      <c r="EB42" s="357">
        <f t="shared" si="216"/>
        <v>0.72180210772833719</v>
      </c>
      <c r="EC42" s="357">
        <f t="shared" si="216"/>
        <v>0.7233307150304612</v>
      </c>
      <c r="ED42" s="357">
        <f t="shared" si="216"/>
        <v>0.72430463087554853</v>
      </c>
      <c r="EE42" s="357">
        <f t="shared" si="216"/>
        <v>0.72731231096267646</v>
      </c>
      <c r="EF42" s="357">
        <f t="shared" si="216"/>
        <v>0.72865456714881471</v>
      </c>
      <c r="EG42" s="357">
        <f t="shared" si="216"/>
        <v>0.73073941443604162</v>
      </c>
      <c r="EH42" s="357">
        <f t="shared" si="216"/>
        <v>0.73248670349494782</v>
      </c>
      <c r="EI42" s="357">
        <f t="shared" si="216"/>
        <v>0.73347554952922545</v>
      </c>
      <c r="EJ42" s="357">
        <f t="shared" si="216"/>
        <v>0.73671205338445933</v>
      </c>
      <c r="EK42" s="357">
        <f t="shared" si="216"/>
        <v>0.7371795540805216</v>
      </c>
      <c r="EL42" s="357">
        <f t="shared" si="216"/>
        <v>0.73824985615383187</v>
      </c>
      <c r="EM42" s="357">
        <f t="shared" si="216"/>
        <v>0.73888614085566784</v>
      </c>
      <c r="EN42" s="357">
        <f t="shared" si="216"/>
        <v>0.73955646341973535</v>
      </c>
      <c r="EO42" s="357">
        <f t="shared" si="216"/>
        <v>0.7400962030022773</v>
      </c>
      <c r="EP42" s="357">
        <f t="shared" si="216"/>
        <v>0.74026230766171386</v>
      </c>
      <c r="EQ42" s="357">
        <f t="shared" si="216"/>
        <v>0.74140616470759491</v>
      </c>
      <c r="ER42" s="357">
        <f t="shared" si="216"/>
        <v>0.74452428089953981</v>
      </c>
      <c r="ES42" s="357">
        <f t="shared" si="216"/>
        <v>0.74533997470721913</v>
      </c>
      <c r="ET42" s="357">
        <f t="shared" si="216"/>
        <v>0.74720119156789933</v>
      </c>
      <c r="EU42" s="357">
        <f t="shared" si="216"/>
        <v>0.74862061762631982</v>
      </c>
      <c r="EV42" s="357">
        <f t="shared" si="216"/>
        <v>0.74912648093966971</v>
      </c>
      <c r="EW42" s="357">
        <f t="shared" si="216"/>
        <v>0.7501628791977365</v>
      </c>
      <c r="EX42" s="357">
        <f t="shared" si="216"/>
        <v>0.75140924723668001</v>
      </c>
      <c r="EY42" s="354">
        <f t="shared" si="216"/>
        <v>0.75329739409600605</v>
      </c>
      <c r="EZ42" s="354">
        <f t="shared" si="216"/>
        <v>0.75440624030696057</v>
      </c>
      <c r="FA42" s="354">
        <f t="shared" si="216"/>
        <v>0.75627978001538509</v>
      </c>
      <c r="FB42" s="354">
        <f t="shared" si="216"/>
        <v>0.75790341193833588</v>
      </c>
      <c r="FC42" s="354">
        <f t="shared" si="216"/>
        <v>0.75888745900237287</v>
      </c>
      <c r="FD42" s="354">
        <f t="shared" si="216"/>
        <v>0.76127402978920788</v>
      </c>
      <c r="FE42" s="354">
        <f t="shared" si="216"/>
        <v>0.76387504535829609</v>
      </c>
      <c r="FF42" s="354">
        <f t="shared" si="216"/>
        <v>0.76685086910891931</v>
      </c>
      <c r="FG42" s="354">
        <f t="shared" si="216"/>
        <v>0.7693731608841442</v>
      </c>
      <c r="FH42" s="354">
        <f t="shared" si="216"/>
        <v>0.77175113203552392</v>
      </c>
      <c r="FI42" s="354">
        <f t="shared" si="216"/>
        <v>0.77432866410703738</v>
      </c>
      <c r="FJ42" s="354">
        <f t="shared" si="216"/>
        <v>0.7759542201200077</v>
      </c>
      <c r="FK42" s="354">
        <f t="shared" si="216"/>
        <v>0.77739995815272878</v>
      </c>
      <c r="FL42" s="354">
        <f t="shared" ref="FL42:FT42" si="217">SUM(FL39/FL40)</f>
        <v>0.77977227639332092</v>
      </c>
      <c r="FM42" s="354">
        <f t="shared" si="217"/>
        <v>0.78218866052574088</v>
      </c>
      <c r="FN42" s="354">
        <f t="shared" si="217"/>
        <v>0.78352870288592502</v>
      </c>
      <c r="FO42" s="354">
        <f t="shared" si="217"/>
        <v>0.78591859160915611</v>
      </c>
      <c r="FP42" s="354">
        <f t="shared" si="217"/>
        <v>0.78855754897755226</v>
      </c>
      <c r="FQ42" s="354">
        <f t="shared" si="217"/>
        <v>0.79037674372169431</v>
      </c>
      <c r="FR42" s="354">
        <f t="shared" si="217"/>
        <v>0.79248852028969419</v>
      </c>
      <c r="FS42" s="354">
        <f t="shared" si="217"/>
        <v>0.79437354006567584</v>
      </c>
      <c r="FT42" s="354">
        <f t="shared" si="217"/>
        <v>0.79612459548755199</v>
      </c>
    </row>
    <row r="43" spans="2:182" x14ac:dyDescent="0.25">
      <c r="H43" s="7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66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2:182" x14ac:dyDescent="0.25">
      <c r="H44" s="7"/>
      <c r="K44" s="3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20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H44" s="302" t="s">
        <v>93</v>
      </c>
    </row>
    <row r="45" spans="2:182" x14ac:dyDescent="0.25">
      <c r="B45" s="2"/>
      <c r="C45" s="575" t="s">
        <v>79</v>
      </c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 t="s">
        <v>79</v>
      </c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 t="s">
        <v>79</v>
      </c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 t="s">
        <v>79</v>
      </c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 t="s">
        <v>79</v>
      </c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 t="s">
        <v>79</v>
      </c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83" t="s">
        <v>79</v>
      </c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98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76" t="s">
        <v>79</v>
      </c>
      <c r="CV45" s="576"/>
      <c r="CW45" s="576"/>
      <c r="CX45" s="576"/>
      <c r="CY45" s="576"/>
      <c r="CZ45" s="576"/>
      <c r="DA45" s="576"/>
      <c r="DB45" s="576"/>
      <c r="DC45" s="576"/>
      <c r="DD45" s="576"/>
      <c r="DE45" s="576"/>
      <c r="DF45" s="576"/>
      <c r="DG45" s="576" t="s">
        <v>79</v>
      </c>
      <c r="DH45" s="576"/>
      <c r="DI45" s="576"/>
      <c r="DJ45" s="576"/>
      <c r="DK45" s="576"/>
      <c r="DL45" s="576"/>
      <c r="DM45" s="576"/>
      <c r="DN45" s="576"/>
      <c r="DO45" s="576"/>
      <c r="DP45" s="576"/>
      <c r="DQ45" s="576"/>
      <c r="DR45" s="576"/>
      <c r="DS45" s="576" t="s">
        <v>79</v>
      </c>
      <c r="DT45" s="576"/>
      <c r="DU45" s="576"/>
      <c r="DV45" s="576"/>
      <c r="DW45" s="576"/>
      <c r="DX45" s="576"/>
      <c r="DY45" s="576"/>
      <c r="DZ45" s="576"/>
      <c r="EA45" s="576"/>
      <c r="EB45" s="576"/>
      <c r="EC45" s="576"/>
      <c r="ED45" s="576"/>
      <c r="EE45" s="576" t="s">
        <v>79</v>
      </c>
      <c r="EF45" s="576"/>
      <c r="EG45" s="576"/>
      <c r="EH45" s="576"/>
      <c r="EI45" s="576"/>
      <c r="EJ45" s="576"/>
      <c r="EK45" s="576"/>
      <c r="EL45" s="576"/>
      <c r="EM45" s="576"/>
      <c r="EN45" s="576"/>
      <c r="EO45" s="576"/>
      <c r="EP45" s="576"/>
      <c r="EQ45" s="576" t="s">
        <v>79</v>
      </c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 t="s">
        <v>79</v>
      </c>
      <c r="FD45" s="576"/>
      <c r="FE45" s="576"/>
      <c r="FF45" s="576"/>
      <c r="FG45" s="576"/>
      <c r="FH45" s="576"/>
      <c r="FI45" s="576"/>
      <c r="FJ45" s="576"/>
      <c r="FK45" s="576"/>
      <c r="FL45" s="576"/>
      <c r="FM45" s="576"/>
      <c r="FN45" s="576"/>
      <c r="FO45" s="576" t="s">
        <v>79</v>
      </c>
      <c r="FP45" s="576"/>
      <c r="FQ45" s="576"/>
      <c r="FR45" s="576"/>
      <c r="FS45" s="576"/>
      <c r="FT45" s="576"/>
      <c r="FU45" s="576"/>
      <c r="FV45" s="576"/>
      <c r="FW45" s="576"/>
      <c r="FX45" s="576"/>
      <c r="FY45" s="576"/>
      <c r="FZ45" s="576"/>
    </row>
    <row r="46" spans="2:182" ht="13.8" thickBot="1" x14ac:dyDescent="0.3">
      <c r="B46" s="2"/>
      <c r="C46" s="582" t="s">
        <v>81</v>
      </c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 t="s">
        <v>81</v>
      </c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 t="s">
        <v>81</v>
      </c>
      <c r="AB46" s="582"/>
      <c r="AC46" s="582"/>
      <c r="AD46" s="582"/>
      <c r="AE46" s="582"/>
      <c r="AF46" s="582"/>
      <c r="AG46" s="582"/>
      <c r="AH46" s="582"/>
      <c r="AI46" s="582"/>
      <c r="AJ46" s="582"/>
      <c r="AK46" s="582"/>
      <c r="AL46" s="582"/>
      <c r="AM46" s="582" t="s">
        <v>81</v>
      </c>
      <c r="AN46" s="582"/>
      <c r="AO46" s="582"/>
      <c r="AP46" s="582"/>
      <c r="AQ46" s="582"/>
      <c r="AR46" s="582"/>
      <c r="AS46" s="582"/>
      <c r="AT46" s="582"/>
      <c r="AU46" s="582"/>
      <c r="AV46" s="582"/>
      <c r="AW46" s="582"/>
      <c r="AX46" s="582"/>
      <c r="AY46" s="582" t="s">
        <v>81</v>
      </c>
      <c r="AZ46" s="582"/>
      <c r="BA46" s="582"/>
      <c r="BB46" s="582"/>
      <c r="BC46" s="582"/>
      <c r="BD46" s="582"/>
      <c r="BE46" s="582"/>
      <c r="BF46" s="582"/>
      <c r="BG46" s="582"/>
      <c r="BH46" s="582"/>
      <c r="BI46" s="582"/>
      <c r="BJ46" s="582"/>
      <c r="BK46" s="582" t="s">
        <v>81</v>
      </c>
      <c r="BL46" s="582"/>
      <c r="BM46" s="582"/>
      <c r="BN46" s="582"/>
      <c r="BO46" s="582"/>
      <c r="BP46" s="582"/>
      <c r="BQ46" s="582"/>
      <c r="BR46" s="582"/>
      <c r="BS46" s="582"/>
      <c r="BT46" s="582"/>
      <c r="BU46" s="582"/>
      <c r="BV46" s="582"/>
      <c r="BW46" s="582" t="s">
        <v>81</v>
      </c>
      <c r="BX46" s="582"/>
      <c r="BY46" s="582"/>
      <c r="BZ46" s="582"/>
      <c r="CA46" s="582"/>
      <c r="CB46" s="582"/>
      <c r="CC46" s="582"/>
      <c r="CD46" s="582"/>
      <c r="CE46" s="582"/>
      <c r="CF46" s="582"/>
      <c r="CG46" s="582"/>
      <c r="CH46" s="585"/>
      <c r="CI46" s="582" t="s">
        <v>81</v>
      </c>
      <c r="CJ46" s="582"/>
      <c r="CK46" s="582"/>
      <c r="CL46" s="582"/>
      <c r="CM46" s="582"/>
      <c r="CN46" s="582"/>
      <c r="CO46" s="582"/>
      <c r="CP46" s="582"/>
      <c r="CQ46" s="582"/>
      <c r="CR46" s="582"/>
      <c r="CS46" s="582"/>
      <c r="CT46" s="582"/>
      <c r="CU46" s="582" t="s">
        <v>81</v>
      </c>
      <c r="CV46" s="582"/>
      <c r="CW46" s="582"/>
      <c r="CX46" s="582"/>
      <c r="CY46" s="582"/>
      <c r="CZ46" s="582"/>
      <c r="DA46" s="582"/>
      <c r="DB46" s="582"/>
      <c r="DC46" s="582"/>
      <c r="DD46" s="582"/>
      <c r="DE46" s="582"/>
      <c r="DF46" s="582"/>
      <c r="DG46" s="582" t="s">
        <v>81</v>
      </c>
      <c r="DH46" s="582"/>
      <c r="DI46" s="582"/>
      <c r="DJ46" s="582"/>
      <c r="DK46" s="582"/>
      <c r="DL46" s="582"/>
      <c r="DM46" s="582"/>
      <c r="DN46" s="582"/>
      <c r="DO46" s="582"/>
      <c r="DP46" s="582"/>
      <c r="DQ46" s="582"/>
      <c r="DR46" s="582"/>
      <c r="DS46" s="582" t="s">
        <v>81</v>
      </c>
      <c r="DT46" s="582"/>
      <c r="DU46" s="582"/>
      <c r="DV46" s="582"/>
      <c r="DW46" s="582"/>
      <c r="DX46" s="582"/>
      <c r="DY46" s="582"/>
      <c r="DZ46" s="582"/>
      <c r="EA46" s="582"/>
      <c r="EB46" s="582"/>
      <c r="EC46" s="582"/>
      <c r="ED46" s="582"/>
      <c r="EE46" s="582" t="s">
        <v>81</v>
      </c>
      <c r="EF46" s="582"/>
      <c r="EG46" s="582"/>
      <c r="EH46" s="582"/>
      <c r="EI46" s="582"/>
      <c r="EJ46" s="582"/>
      <c r="EK46" s="582"/>
      <c r="EL46" s="582"/>
      <c r="EM46" s="582"/>
      <c r="EN46" s="582"/>
      <c r="EO46" s="582"/>
      <c r="EP46" s="582"/>
      <c r="EQ46" s="582" t="s">
        <v>81</v>
      </c>
      <c r="ER46" s="582"/>
      <c r="ES46" s="582"/>
      <c r="ET46" s="582"/>
      <c r="EU46" s="582"/>
      <c r="EV46" s="582"/>
      <c r="EW46" s="582"/>
      <c r="EX46" s="582"/>
      <c r="EY46" s="582"/>
      <c r="EZ46" s="582"/>
      <c r="FA46" s="582"/>
      <c r="FB46" s="582"/>
      <c r="FC46" s="582" t="s">
        <v>81</v>
      </c>
      <c r="FD46" s="582"/>
      <c r="FE46" s="582"/>
      <c r="FF46" s="582"/>
      <c r="FG46" s="582"/>
      <c r="FH46" s="582"/>
      <c r="FI46" s="582"/>
      <c r="FJ46" s="582"/>
      <c r="FK46" s="582"/>
      <c r="FL46" s="582"/>
      <c r="FM46" s="582"/>
      <c r="FN46" s="582"/>
      <c r="FO46" s="582" t="s">
        <v>81</v>
      </c>
      <c r="FP46" s="582"/>
      <c r="FQ46" s="582"/>
      <c r="FR46" s="582"/>
      <c r="FS46" s="582"/>
      <c r="FT46" s="582"/>
      <c r="FU46" s="582"/>
      <c r="FV46" s="582"/>
      <c r="FW46" s="582"/>
      <c r="FX46" s="582"/>
      <c r="FY46" s="582"/>
      <c r="FZ46" s="582"/>
    </row>
    <row r="47" spans="2:182" ht="13.8" thickBot="1" x14ac:dyDescent="0.3">
      <c r="B47" s="2"/>
      <c r="C47" s="579">
        <v>2002</v>
      </c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1"/>
      <c r="O47" s="579">
        <v>2003</v>
      </c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1"/>
      <c r="AA47" s="579">
        <v>2004</v>
      </c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1"/>
      <c r="AM47" s="579">
        <v>2005</v>
      </c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1"/>
      <c r="AY47" s="579">
        <v>2006</v>
      </c>
      <c r="AZ47" s="580"/>
      <c r="BA47" s="580"/>
      <c r="BB47" s="580"/>
      <c r="BC47" s="580"/>
      <c r="BD47" s="580"/>
      <c r="BE47" s="580"/>
      <c r="BF47" s="580"/>
      <c r="BG47" s="580"/>
      <c r="BH47" s="580"/>
      <c r="BI47" s="580"/>
      <c r="BJ47" s="581"/>
      <c r="BK47" s="579">
        <v>2007</v>
      </c>
      <c r="BL47" s="580"/>
      <c r="BM47" s="580"/>
      <c r="BN47" s="580"/>
      <c r="BO47" s="580"/>
      <c r="BP47" s="580"/>
      <c r="BQ47" s="580"/>
      <c r="BR47" s="580"/>
      <c r="BS47" s="580"/>
      <c r="BT47" s="580"/>
      <c r="BU47" s="580"/>
      <c r="BV47" s="581"/>
      <c r="BW47" s="586">
        <v>2008</v>
      </c>
      <c r="BX47" s="587"/>
      <c r="BY47" s="587"/>
      <c r="BZ47" s="587"/>
      <c r="CA47" s="587"/>
      <c r="CB47" s="587"/>
      <c r="CC47" s="587"/>
      <c r="CD47" s="587"/>
      <c r="CE47" s="587"/>
      <c r="CF47" s="587"/>
      <c r="CG47" s="587"/>
      <c r="CH47" s="588"/>
      <c r="CI47" s="573">
        <v>2009</v>
      </c>
      <c r="CJ47" s="573"/>
      <c r="CK47" s="573"/>
      <c r="CL47" s="573"/>
      <c r="CM47" s="573"/>
      <c r="CN47" s="573"/>
      <c r="CO47" s="573"/>
      <c r="CP47" s="573"/>
      <c r="CQ47" s="573"/>
      <c r="CR47" s="573"/>
      <c r="CS47" s="573"/>
      <c r="CT47" s="574"/>
      <c r="CU47" s="572">
        <v>2010</v>
      </c>
      <c r="CV47" s="573"/>
      <c r="CW47" s="573"/>
      <c r="CX47" s="573"/>
      <c r="CY47" s="573"/>
      <c r="CZ47" s="573"/>
      <c r="DA47" s="573"/>
      <c r="DB47" s="573"/>
      <c r="DC47" s="573"/>
      <c r="DD47" s="573"/>
      <c r="DE47" s="573"/>
      <c r="DF47" s="574"/>
      <c r="DG47" s="572">
        <v>2011</v>
      </c>
      <c r="DH47" s="573"/>
      <c r="DI47" s="573"/>
      <c r="DJ47" s="573"/>
      <c r="DK47" s="573"/>
      <c r="DL47" s="573"/>
      <c r="DM47" s="573"/>
      <c r="DN47" s="573"/>
      <c r="DO47" s="573"/>
      <c r="DP47" s="573"/>
      <c r="DQ47" s="573"/>
      <c r="DR47" s="574"/>
      <c r="DS47" s="572">
        <v>2012</v>
      </c>
      <c r="DT47" s="573"/>
      <c r="DU47" s="573"/>
      <c r="DV47" s="573"/>
      <c r="DW47" s="573"/>
      <c r="DX47" s="573"/>
      <c r="DY47" s="573"/>
      <c r="DZ47" s="573"/>
      <c r="EA47" s="573"/>
      <c r="EB47" s="573"/>
      <c r="EC47" s="573"/>
      <c r="ED47" s="574"/>
      <c r="EE47" s="572">
        <v>2013</v>
      </c>
      <c r="EF47" s="573"/>
      <c r="EG47" s="573"/>
      <c r="EH47" s="573"/>
      <c r="EI47" s="573"/>
      <c r="EJ47" s="573"/>
      <c r="EK47" s="573"/>
      <c r="EL47" s="573"/>
      <c r="EM47" s="573"/>
      <c r="EN47" s="573"/>
      <c r="EO47" s="573"/>
      <c r="EP47" s="574"/>
      <c r="EQ47" s="572">
        <v>2014</v>
      </c>
      <c r="ER47" s="573"/>
      <c r="ES47" s="573"/>
      <c r="ET47" s="573"/>
      <c r="EU47" s="573"/>
      <c r="EV47" s="573"/>
      <c r="EW47" s="573"/>
      <c r="EX47" s="573"/>
      <c r="EY47" s="573"/>
      <c r="EZ47" s="573"/>
      <c r="FA47" s="573"/>
      <c r="FB47" s="574"/>
      <c r="FC47" s="572">
        <v>2015</v>
      </c>
      <c r="FD47" s="573"/>
      <c r="FE47" s="573"/>
      <c r="FF47" s="573"/>
      <c r="FG47" s="573"/>
      <c r="FH47" s="573"/>
      <c r="FI47" s="573"/>
      <c r="FJ47" s="573"/>
      <c r="FK47" s="573"/>
      <c r="FL47" s="573"/>
      <c r="FM47" s="573"/>
      <c r="FN47" s="574"/>
      <c r="FO47" s="572">
        <v>2016</v>
      </c>
      <c r="FP47" s="573"/>
      <c r="FQ47" s="573"/>
      <c r="FR47" s="573"/>
      <c r="FS47" s="573"/>
      <c r="FT47" s="573"/>
      <c r="FU47" s="573"/>
      <c r="FV47" s="573"/>
      <c r="FW47" s="573"/>
      <c r="FX47" s="573"/>
      <c r="FY47" s="573"/>
      <c r="FZ47" s="574"/>
    </row>
    <row r="48" spans="2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13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13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380" t="s">
        <v>71</v>
      </c>
      <c r="EQ48" s="380" t="s">
        <v>72</v>
      </c>
      <c r="ER48" s="380" t="s">
        <v>73</v>
      </c>
      <c r="ES48" s="380" t="s">
        <v>2</v>
      </c>
      <c r="ET48" s="380" t="s">
        <v>3</v>
      </c>
      <c r="EU48" s="380" t="s">
        <v>4</v>
      </c>
      <c r="EV48" s="380" t="s">
        <v>5</v>
      </c>
      <c r="EW48" s="380" t="s">
        <v>6</v>
      </c>
      <c r="EX48" s="380" t="s">
        <v>7</v>
      </c>
      <c r="EY48" s="380" t="s">
        <v>68</v>
      </c>
      <c r="EZ48" s="380" t="s">
        <v>69</v>
      </c>
      <c r="FA48" s="380" t="s">
        <v>70</v>
      </c>
      <c r="FB48" s="380" t="s">
        <v>71</v>
      </c>
      <c r="FC48" s="380" t="s">
        <v>72</v>
      </c>
      <c r="FD48" s="380" t="s">
        <v>73</v>
      </c>
      <c r="FE48" s="380" t="s">
        <v>2</v>
      </c>
      <c r="FF48" s="380" t="s">
        <v>3</v>
      </c>
      <c r="FG48" s="380" t="s">
        <v>4</v>
      </c>
      <c r="FH48" s="380" t="s">
        <v>5</v>
      </c>
      <c r="FI48" s="380" t="s">
        <v>6</v>
      </c>
      <c r="FJ48" s="380" t="s">
        <v>7</v>
      </c>
      <c r="FK48" s="380" t="s">
        <v>68</v>
      </c>
      <c r="FL48" s="380" t="s">
        <v>69</v>
      </c>
      <c r="FM48" s="380" t="s">
        <v>70</v>
      </c>
      <c r="FN48" s="380" t="s">
        <v>71</v>
      </c>
      <c r="FO48" s="380" t="s">
        <v>72</v>
      </c>
      <c r="FP48" s="380" t="s">
        <v>73</v>
      </c>
      <c r="FQ48" s="380" t="s">
        <v>2</v>
      </c>
      <c r="FR48" s="380" t="s">
        <v>3</v>
      </c>
      <c r="FS48" s="380" t="s">
        <v>4</v>
      </c>
      <c r="FT48" s="380" t="s">
        <v>5</v>
      </c>
    </row>
    <row r="49" spans="2:176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20"/>
      <c r="O49" s="18"/>
      <c r="P49" s="18"/>
      <c r="Q49" s="18"/>
      <c r="R49" s="18"/>
      <c r="S49" s="18"/>
      <c r="T49" s="18"/>
      <c r="Z49" s="66"/>
      <c r="AM49" s="174"/>
      <c r="AY49" s="174"/>
      <c r="BK49" s="174"/>
      <c r="BV49" s="20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20"/>
      <c r="CI49" s="253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223"/>
      <c r="CW49" s="223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6" x14ac:dyDescent="0.25">
      <c r="B50" s="3"/>
      <c r="C50" s="18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18"/>
      <c r="P50" s="18"/>
      <c r="Q50" s="18"/>
      <c r="R50" s="18"/>
      <c r="S50" s="18"/>
      <c r="T50" s="18"/>
      <c r="Z50" s="20"/>
      <c r="AM50" s="74"/>
      <c r="AY50" s="74"/>
      <c r="BK50" s="74"/>
      <c r="BV50" s="20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20"/>
      <c r="CI50" s="7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6" s="68" customFormat="1" x14ac:dyDescent="0.25">
      <c r="B51" s="87" t="s">
        <v>1</v>
      </c>
      <c r="C51" s="103">
        <f>D51</f>
        <v>480039.22499999998</v>
      </c>
      <c r="D51" s="69">
        <v>480039.22499999998</v>
      </c>
      <c r="E51" s="69">
        <v>522463.84100000001</v>
      </c>
      <c r="F51" s="69">
        <v>502689.978</v>
      </c>
      <c r="G51" s="69">
        <v>680623.15800000005</v>
      </c>
      <c r="H51" s="69">
        <v>771101.43</v>
      </c>
      <c r="I51" s="69">
        <v>846257.18299999996</v>
      </c>
      <c r="J51" s="69">
        <v>862939.85599999991</v>
      </c>
      <c r="K51" s="69">
        <v>870173.12599999993</v>
      </c>
      <c r="L51" s="69">
        <v>671247.22</v>
      </c>
      <c r="M51" s="69">
        <v>486588.01199999999</v>
      </c>
      <c r="N51" s="89">
        <v>523242.60799999995</v>
      </c>
      <c r="O51" s="71">
        <v>609977</v>
      </c>
      <c r="P51" s="69">
        <v>526416</v>
      </c>
      <c r="Q51" s="69">
        <v>490137</v>
      </c>
      <c r="R51" s="69">
        <v>424701</v>
      </c>
      <c r="S51" s="69">
        <v>602403</v>
      </c>
      <c r="T51" s="69">
        <v>765594</v>
      </c>
      <c r="U51" s="71">
        <v>813809</v>
      </c>
      <c r="V51" s="68">
        <f>770690</f>
        <v>770690</v>
      </c>
      <c r="W51" s="71">
        <v>712204</v>
      </c>
      <c r="X51" s="71">
        <v>561175</v>
      </c>
      <c r="Y51" s="71">
        <v>357805</v>
      </c>
      <c r="Z51" s="190">
        <v>442513</v>
      </c>
      <c r="AA51" s="71">
        <v>503832</v>
      </c>
      <c r="AB51" s="71">
        <v>418238</v>
      </c>
      <c r="AC51" s="71">
        <v>422770</v>
      </c>
      <c r="AD51" s="71">
        <v>393361</v>
      </c>
      <c r="AE51" s="71">
        <v>412252</v>
      </c>
      <c r="AF51" s="71">
        <v>649038</v>
      </c>
      <c r="AG51" s="71">
        <v>692303</v>
      </c>
      <c r="AH51" s="71">
        <v>726366</v>
      </c>
      <c r="AI51" s="71">
        <v>641474</v>
      </c>
      <c r="AJ51" s="71">
        <v>535270</v>
      </c>
      <c r="AK51" s="71">
        <v>433812</v>
      </c>
      <c r="AL51" s="71">
        <v>398599</v>
      </c>
      <c r="AM51" s="88">
        <v>495138</v>
      </c>
      <c r="AN51" s="68">
        <v>368987</v>
      </c>
      <c r="AO51" s="68">
        <v>348242</v>
      </c>
      <c r="AP51" s="68">
        <v>351741</v>
      </c>
      <c r="AQ51" s="68">
        <v>391214</v>
      </c>
      <c r="AR51" s="68">
        <v>597577</v>
      </c>
      <c r="AS51" s="68">
        <v>660978</v>
      </c>
      <c r="AT51" s="68">
        <v>713333</v>
      </c>
      <c r="AU51" s="68">
        <v>668424</v>
      </c>
      <c r="AV51" s="68">
        <v>535756</v>
      </c>
      <c r="AW51" s="68">
        <v>348255</v>
      </c>
      <c r="AX51" s="68">
        <v>391502</v>
      </c>
      <c r="AY51" s="88">
        <v>411984</v>
      </c>
      <c r="AZ51" s="68">
        <v>312231</v>
      </c>
      <c r="BA51" s="68">
        <v>375205</v>
      </c>
      <c r="BB51" s="68">
        <v>338884</v>
      </c>
      <c r="BC51" s="68">
        <v>477127</v>
      </c>
      <c r="BD51" s="68">
        <v>550658</v>
      </c>
      <c r="BE51" s="68">
        <v>542280</v>
      </c>
      <c r="BF51" s="68">
        <v>611917</v>
      </c>
      <c r="BG51" s="68">
        <v>525026</v>
      </c>
      <c r="BH51" s="68">
        <v>441763</v>
      </c>
      <c r="BI51" s="68">
        <v>297370</v>
      </c>
      <c r="BJ51" s="68">
        <v>311595</v>
      </c>
      <c r="BK51" s="88">
        <v>409250</v>
      </c>
      <c r="BL51" s="68">
        <v>389769</v>
      </c>
      <c r="BM51" s="68">
        <v>307457</v>
      </c>
      <c r="BN51" s="68">
        <v>278467</v>
      </c>
      <c r="BO51" s="68">
        <v>345252</v>
      </c>
      <c r="BP51" s="68">
        <v>425667</v>
      </c>
      <c r="BQ51" s="16">
        <v>468608</v>
      </c>
      <c r="BR51" s="16">
        <v>499508</v>
      </c>
      <c r="BS51" s="16">
        <v>406057</v>
      </c>
      <c r="BT51" s="68">
        <v>401400</v>
      </c>
      <c r="BU51" s="68">
        <v>294794</v>
      </c>
      <c r="BV51" s="89">
        <v>305062</v>
      </c>
      <c r="BW51" s="69">
        <v>334824</v>
      </c>
      <c r="BX51" s="69">
        <v>291937</v>
      </c>
      <c r="BY51" s="69">
        <v>240592</v>
      </c>
      <c r="BZ51" s="69">
        <v>265069</v>
      </c>
      <c r="CA51" s="69">
        <v>294191</v>
      </c>
      <c r="CB51" s="69">
        <v>410392</v>
      </c>
      <c r="CC51" s="69">
        <v>416626</v>
      </c>
      <c r="CD51" s="69">
        <v>396102</v>
      </c>
      <c r="CE51" s="69">
        <v>372220</v>
      </c>
      <c r="CF51" s="69">
        <v>285653</v>
      </c>
      <c r="CG51" s="69">
        <v>215808</v>
      </c>
      <c r="CH51" s="89">
        <v>228905</v>
      </c>
      <c r="CI51" s="71">
        <v>266084</v>
      </c>
      <c r="CJ51" s="69">
        <v>198127</v>
      </c>
      <c r="CK51" s="69">
        <v>185076</v>
      </c>
      <c r="CL51" s="69">
        <v>196834</v>
      </c>
      <c r="CM51" s="69">
        <v>249121</v>
      </c>
      <c r="CN51" s="69">
        <v>297483</v>
      </c>
      <c r="CO51" s="69">
        <v>364993</v>
      </c>
      <c r="CP51" s="69">
        <v>366424</v>
      </c>
      <c r="CQ51" s="69">
        <v>324628</v>
      </c>
      <c r="CR51" s="69">
        <v>253131</v>
      </c>
      <c r="CS51" s="69">
        <v>180582</v>
      </c>
      <c r="CT51" s="89">
        <v>203566</v>
      </c>
      <c r="CU51" s="69">
        <v>261627</v>
      </c>
      <c r="CV51" s="69">
        <v>207128</v>
      </c>
      <c r="CW51" s="69">
        <v>184152</v>
      </c>
      <c r="CX51" s="69">
        <v>154851</v>
      </c>
      <c r="CY51" s="69">
        <v>187609</v>
      </c>
      <c r="CZ51" s="69">
        <v>261119</v>
      </c>
      <c r="DA51" s="69">
        <f>294726</f>
        <v>294726</v>
      </c>
      <c r="DB51" s="69">
        <f>273242</f>
        <v>273242</v>
      </c>
      <c r="DC51" s="69">
        <f>288282</f>
        <v>288282</v>
      </c>
      <c r="DD51" s="69">
        <v>200491</v>
      </c>
      <c r="DE51" s="69">
        <v>159009</v>
      </c>
      <c r="DF51" s="89">
        <v>168138</v>
      </c>
      <c r="DG51" s="320">
        <v>179975</v>
      </c>
      <c r="DH51" s="68">
        <v>219249</v>
      </c>
      <c r="DI51" s="320">
        <v>154299</v>
      </c>
      <c r="DJ51" s="68">
        <v>162116</v>
      </c>
      <c r="DK51" s="68">
        <v>189252</v>
      </c>
      <c r="DL51" s="68">
        <v>265103</v>
      </c>
      <c r="DM51" s="68">
        <v>277755</v>
      </c>
      <c r="DN51" s="68">
        <v>301068</v>
      </c>
      <c r="DO51" s="68">
        <v>275412</v>
      </c>
      <c r="DP51" s="68">
        <v>212086</v>
      </c>
      <c r="DQ51" s="68">
        <v>154789</v>
      </c>
      <c r="DR51" s="68">
        <v>150853</v>
      </c>
      <c r="DS51" s="68">
        <v>178401</v>
      </c>
      <c r="DT51" s="68">
        <v>144254</v>
      </c>
      <c r="DU51" s="68">
        <v>147171</v>
      </c>
      <c r="DV51" s="351">
        <v>171290</v>
      </c>
      <c r="DW51" s="351">
        <v>191442</v>
      </c>
      <c r="DX51" s="351">
        <v>243222</v>
      </c>
      <c r="DY51" s="68">
        <v>271034</v>
      </c>
      <c r="DZ51" s="297">
        <v>276441</v>
      </c>
      <c r="EA51" s="68">
        <v>274489</v>
      </c>
      <c r="EB51" s="68">
        <v>208126</v>
      </c>
      <c r="EC51" s="68">
        <v>169058</v>
      </c>
      <c r="ED51" s="68">
        <v>152074</v>
      </c>
      <c r="EE51" s="297">
        <v>198206</v>
      </c>
      <c r="EF51" s="297">
        <v>143525</v>
      </c>
      <c r="EG51" s="297">
        <v>126374</v>
      </c>
      <c r="EH51" s="297">
        <v>143411</v>
      </c>
      <c r="EI51" s="297">
        <v>150187</v>
      </c>
      <c r="EJ51" s="297">
        <v>222767</v>
      </c>
      <c r="EK51" s="297">
        <v>255408</v>
      </c>
      <c r="EL51" s="297">
        <v>259912</v>
      </c>
      <c r="EM51" s="297">
        <v>243888</v>
      </c>
      <c r="EN51" s="297">
        <v>198617</v>
      </c>
      <c r="EO51" s="297">
        <v>152206</v>
      </c>
      <c r="EP51" s="297">
        <v>194951</v>
      </c>
      <c r="EQ51" s="68">
        <v>212169</v>
      </c>
      <c r="ER51" s="68">
        <v>192629</v>
      </c>
      <c r="ES51" s="68">
        <v>149969</v>
      </c>
      <c r="ET51" s="68">
        <v>131919</v>
      </c>
      <c r="EU51" s="68">
        <v>156688</v>
      </c>
      <c r="EV51" s="68">
        <v>209853</v>
      </c>
      <c r="EW51" s="68">
        <v>247991</v>
      </c>
      <c r="EX51" s="68">
        <v>256575</v>
      </c>
      <c r="EY51" s="68">
        <v>250251</v>
      </c>
      <c r="EZ51" s="68">
        <v>190486</v>
      </c>
      <c r="FA51" s="68">
        <v>150413</v>
      </c>
      <c r="FB51" s="68">
        <v>149672</v>
      </c>
      <c r="FC51" s="68">
        <v>214545</v>
      </c>
      <c r="FD51" s="68">
        <v>166529</v>
      </c>
      <c r="FE51" s="68">
        <v>158766</v>
      </c>
      <c r="FF51" s="68">
        <v>129309</v>
      </c>
      <c r="FG51" s="68">
        <v>146792</v>
      </c>
      <c r="FH51" s="68">
        <v>192675</v>
      </c>
      <c r="FI51" s="68">
        <v>220477</v>
      </c>
      <c r="FJ51" s="68">
        <v>238456</v>
      </c>
      <c r="FK51" s="68">
        <v>223793</v>
      </c>
      <c r="FL51" s="68">
        <v>180478</v>
      </c>
      <c r="FM51" s="68">
        <v>137405</v>
      </c>
      <c r="FN51" s="68">
        <v>133461</v>
      </c>
      <c r="FO51" s="68">
        <v>164956</v>
      </c>
      <c r="FP51" s="68">
        <v>130157</v>
      </c>
      <c r="FQ51" s="68">
        <v>110204</v>
      </c>
      <c r="FR51" s="68">
        <v>118703</v>
      </c>
      <c r="FS51" s="68">
        <v>144183</v>
      </c>
      <c r="FT51" s="68">
        <v>182975</v>
      </c>
    </row>
    <row r="52" spans="2:176" s="68" customFormat="1" ht="13.8" thickBot="1" x14ac:dyDescent="0.3">
      <c r="B52" s="90" t="s">
        <v>8</v>
      </c>
      <c r="C52" s="104">
        <v>3594.8209999999999</v>
      </c>
      <c r="D52" s="92">
        <v>3267.33</v>
      </c>
      <c r="E52" s="92">
        <v>3812.404</v>
      </c>
      <c r="F52" s="92">
        <v>4389.7269999999999</v>
      </c>
      <c r="G52" s="92">
        <v>6412.7639999999992</v>
      </c>
      <c r="H52" s="92">
        <v>8368.6130000000012</v>
      </c>
      <c r="I52" s="92">
        <v>11029.567999999999</v>
      </c>
      <c r="J52" s="92">
        <v>13070.104000000001</v>
      </c>
      <c r="K52" s="92">
        <v>19373.198999999997</v>
      </c>
      <c r="L52" s="92">
        <v>26891.367999999999</v>
      </c>
      <c r="M52" s="92">
        <v>21101.47</v>
      </c>
      <c r="N52" s="93">
        <v>24124.792999999994</v>
      </c>
      <c r="O52" s="72">
        <v>35450</v>
      </c>
      <c r="P52" s="92">
        <v>36419</v>
      </c>
      <c r="Q52" s="92">
        <v>39529</v>
      </c>
      <c r="R52" s="92">
        <v>40536</v>
      </c>
      <c r="S52" s="92">
        <v>68227</v>
      </c>
      <c r="T52" s="92">
        <v>99171</v>
      </c>
      <c r="U52" s="68">
        <f t="shared" ref="U52:Z52" si="218">U53-U51</f>
        <v>122758</v>
      </c>
      <c r="V52" s="68">
        <f t="shared" si="218"/>
        <v>131152</v>
      </c>
      <c r="W52" s="68">
        <f t="shared" si="218"/>
        <v>134130</v>
      </c>
      <c r="X52" s="68">
        <f t="shared" si="218"/>
        <v>123169</v>
      </c>
      <c r="Y52" s="68">
        <f t="shared" si="218"/>
        <v>84584</v>
      </c>
      <c r="Z52" s="89">
        <f t="shared" si="218"/>
        <v>111682</v>
      </c>
      <c r="AA52" s="68">
        <v>125767</v>
      </c>
      <c r="AB52" s="68">
        <v>105070</v>
      </c>
      <c r="AC52" s="68">
        <v>111170</v>
      </c>
      <c r="AD52" s="68">
        <v>107311</v>
      </c>
      <c r="AE52" s="68">
        <v>118040</v>
      </c>
      <c r="AF52" s="68">
        <v>190109</v>
      </c>
      <c r="AG52" s="68">
        <v>213774</v>
      </c>
      <c r="AH52" s="68">
        <v>231835</v>
      </c>
      <c r="AI52" s="68">
        <v>217892</v>
      </c>
      <c r="AJ52" s="68">
        <v>191094</v>
      </c>
      <c r="AK52" s="68">
        <v>160783</v>
      </c>
      <c r="AL52" s="68">
        <v>149819</v>
      </c>
      <c r="AM52" s="88">
        <v>189727</v>
      </c>
      <c r="AN52" s="68">
        <v>143752</v>
      </c>
      <c r="AO52" s="68">
        <v>139173</v>
      </c>
      <c r="AP52" s="68">
        <v>143298</v>
      </c>
      <c r="AQ52" s="68">
        <v>164013</v>
      </c>
      <c r="AR52" s="68">
        <v>249806</v>
      </c>
      <c r="AS52" s="68">
        <v>278443</v>
      </c>
      <c r="AT52" s="68">
        <v>314407</v>
      </c>
      <c r="AU52" s="68">
        <v>304868</v>
      </c>
      <c r="AV52" s="68">
        <v>256123</v>
      </c>
      <c r="AW52" s="68">
        <v>170231</v>
      </c>
      <c r="AX52" s="68">
        <v>192963</v>
      </c>
      <c r="AY52" s="88">
        <v>208208</v>
      </c>
      <c r="AZ52" s="68">
        <v>159855</v>
      </c>
      <c r="BA52" s="68">
        <v>195492</v>
      </c>
      <c r="BB52" s="68">
        <v>184438</v>
      </c>
      <c r="BC52" s="68">
        <v>268680</v>
      </c>
      <c r="BD52" s="68">
        <v>322347</v>
      </c>
      <c r="BE52" s="68">
        <v>330326</v>
      </c>
      <c r="BF52" s="68">
        <v>389285</v>
      </c>
      <c r="BG52" s="68">
        <v>343091</v>
      </c>
      <c r="BH52" s="68">
        <v>304864</v>
      </c>
      <c r="BI52" s="68">
        <v>209933</v>
      </c>
      <c r="BJ52" s="69">
        <v>223101</v>
      </c>
      <c r="BK52" s="91">
        <v>297864</v>
      </c>
      <c r="BL52" s="68">
        <v>287715</v>
      </c>
      <c r="BM52" s="68">
        <v>230390</v>
      </c>
      <c r="BN52" s="68">
        <v>216720</v>
      </c>
      <c r="BO52" s="68">
        <v>278843</v>
      </c>
      <c r="BP52" s="68">
        <v>352624</v>
      </c>
      <c r="BQ52" s="16">
        <v>396223</v>
      </c>
      <c r="BR52" s="16">
        <v>436714</v>
      </c>
      <c r="BS52" s="16">
        <v>364394</v>
      </c>
      <c r="BT52" s="68">
        <v>374313</v>
      </c>
      <c r="BU52" s="68">
        <v>282419</v>
      </c>
      <c r="BV52" s="89">
        <v>296007</v>
      </c>
      <c r="BW52" s="69">
        <v>328554</v>
      </c>
      <c r="BX52" s="69">
        <v>294586</v>
      </c>
      <c r="BY52" s="69">
        <v>251452</v>
      </c>
      <c r="BZ52" s="69">
        <v>288194</v>
      </c>
      <c r="CA52" s="69">
        <v>331554</v>
      </c>
      <c r="CB52" s="69">
        <v>480936</v>
      </c>
      <c r="CC52" s="69">
        <v>505324</v>
      </c>
      <c r="CD52" s="69">
        <v>494459</v>
      </c>
      <c r="CE52" s="69">
        <v>478718</v>
      </c>
      <c r="CF52" s="69">
        <v>389541.99</v>
      </c>
      <c r="CG52" s="69">
        <v>307912.96999999997</v>
      </c>
      <c r="CH52" s="89">
        <v>333044.40999999997</v>
      </c>
      <c r="CI52" s="72">
        <v>402811</v>
      </c>
      <c r="CJ52" s="92">
        <v>311342</v>
      </c>
      <c r="CK52" s="92">
        <v>305655</v>
      </c>
      <c r="CL52" s="92">
        <v>338884</v>
      </c>
      <c r="CM52" s="92">
        <v>440232</v>
      </c>
      <c r="CN52" s="92">
        <v>533069</v>
      </c>
      <c r="CO52" s="92">
        <v>659617</v>
      </c>
      <c r="CP52" s="92">
        <v>671789</v>
      </c>
      <c r="CQ52" s="92">
        <v>614485</v>
      </c>
      <c r="CR52" s="92">
        <v>498380</v>
      </c>
      <c r="CS52" s="92">
        <v>368306</v>
      </c>
      <c r="CT52" s="93">
        <v>417723</v>
      </c>
      <c r="CU52" s="92">
        <v>537440</v>
      </c>
      <c r="CV52" s="92">
        <v>432097</v>
      </c>
      <c r="CW52" s="92">
        <v>391679</v>
      </c>
      <c r="CX52" s="92">
        <v>341518</v>
      </c>
      <c r="CY52" s="92">
        <v>426742</v>
      </c>
      <c r="CZ52" s="92">
        <v>595072</v>
      </c>
      <c r="DA52" s="92">
        <v>677548</v>
      </c>
      <c r="DB52" s="92">
        <v>635049</v>
      </c>
      <c r="DC52" s="92">
        <v>684156</v>
      </c>
      <c r="DD52" s="92">
        <v>485435</v>
      </c>
      <c r="DE52" s="92">
        <v>390474</v>
      </c>
      <c r="DF52" s="93">
        <v>407900</v>
      </c>
      <c r="DG52" s="320">
        <v>438376</v>
      </c>
      <c r="DH52" s="68">
        <v>537035</v>
      </c>
      <c r="DI52" s="320">
        <v>388855</v>
      </c>
      <c r="DJ52" s="68">
        <v>412454</v>
      </c>
      <c r="DK52" s="68">
        <v>483119</v>
      </c>
      <c r="DL52" s="68">
        <v>673582</v>
      </c>
      <c r="DM52" s="68">
        <v>702834</v>
      </c>
      <c r="DN52" s="68">
        <v>764843</v>
      </c>
      <c r="DO52" s="68">
        <v>708832</v>
      </c>
      <c r="DP52" s="92">
        <v>550564</v>
      </c>
      <c r="DQ52" s="92">
        <v>414673</v>
      </c>
      <c r="DR52" s="92">
        <v>399383</v>
      </c>
      <c r="DS52" s="68">
        <v>465378</v>
      </c>
      <c r="DT52" s="68">
        <v>379308</v>
      </c>
      <c r="DU52" s="68">
        <v>397585</v>
      </c>
      <c r="DV52" s="351">
        <v>474317</v>
      </c>
      <c r="DW52" s="351">
        <v>533532</v>
      </c>
      <c r="DX52" s="351">
        <v>674927</v>
      </c>
      <c r="DY52" s="68">
        <v>753546</v>
      </c>
      <c r="DZ52" s="297">
        <v>769292</v>
      </c>
      <c r="EA52" s="68">
        <v>773894</v>
      </c>
      <c r="EB52" s="68">
        <v>600165</v>
      </c>
      <c r="EC52" s="68">
        <v>492997</v>
      </c>
      <c r="ED52" s="68">
        <v>444015</v>
      </c>
      <c r="EE52" s="68">
        <v>571689</v>
      </c>
      <c r="EF52" s="68">
        <v>422933</v>
      </c>
      <c r="EG52" s="68">
        <v>374953</v>
      </c>
      <c r="EH52" s="297">
        <v>433065</v>
      </c>
      <c r="EI52" s="297">
        <v>458392</v>
      </c>
      <c r="EJ52" s="297">
        <v>675614</v>
      </c>
      <c r="EK52" s="297">
        <v>768182</v>
      </c>
      <c r="EL52" s="297">
        <v>779537</v>
      </c>
      <c r="EM52" s="297">
        <v>739282</v>
      </c>
      <c r="EN52" s="276">
        <v>611351</v>
      </c>
      <c r="EO52" s="276">
        <v>472266</v>
      </c>
      <c r="EP52" s="276">
        <v>588977</v>
      </c>
      <c r="EQ52" s="68">
        <v>634233</v>
      </c>
      <c r="ER52" s="68">
        <v>587292</v>
      </c>
      <c r="ES52" s="68">
        <v>464710</v>
      </c>
      <c r="ET52" s="68">
        <v>416973</v>
      </c>
      <c r="EU52" s="68">
        <v>499633</v>
      </c>
      <c r="EV52" s="68">
        <v>664980</v>
      </c>
      <c r="EW52" s="68">
        <v>776232</v>
      </c>
      <c r="EX52" s="68">
        <v>803481</v>
      </c>
      <c r="EY52" s="68">
        <v>790177</v>
      </c>
      <c r="EZ52" s="68">
        <v>623956</v>
      </c>
      <c r="FA52" s="68">
        <v>498662</v>
      </c>
      <c r="FB52" s="68">
        <v>490866</v>
      </c>
      <c r="FC52" s="68">
        <v>694005</v>
      </c>
      <c r="FD52" s="68">
        <v>547736</v>
      </c>
      <c r="FE52" s="68">
        <v>531645</v>
      </c>
      <c r="FF52" s="92">
        <v>455270</v>
      </c>
      <c r="FG52" s="92">
        <v>528452</v>
      </c>
      <c r="FH52" s="92">
        <v>690167</v>
      </c>
      <c r="FI52" s="68">
        <v>785700</v>
      </c>
      <c r="FJ52" s="68">
        <v>849096</v>
      </c>
      <c r="FK52" s="68">
        <v>811412</v>
      </c>
      <c r="FL52" s="68">
        <v>671393</v>
      </c>
      <c r="FM52" s="68">
        <v>527076</v>
      </c>
      <c r="FN52" s="68">
        <v>505885</v>
      </c>
      <c r="FO52" s="68">
        <v>617951</v>
      </c>
      <c r="FP52" s="68">
        <v>493694</v>
      </c>
      <c r="FQ52" s="68">
        <v>437767</v>
      </c>
      <c r="FR52" s="68">
        <v>482093</v>
      </c>
      <c r="FS52" s="68">
        <v>591969</v>
      </c>
      <c r="FT52" s="68">
        <v>744646</v>
      </c>
    </row>
    <row r="53" spans="2:176" s="68" customFormat="1" ht="13.8" thickTop="1" x14ac:dyDescent="0.25">
      <c r="B53" s="87" t="s">
        <v>9</v>
      </c>
      <c r="C53" s="105">
        <f t="shared" ref="C53:Q53" si="219">SUM(C51:C52)</f>
        <v>483634.04599999997</v>
      </c>
      <c r="D53" s="94">
        <f t="shared" si="219"/>
        <v>483306.55499999999</v>
      </c>
      <c r="E53" s="94">
        <f t="shared" si="219"/>
        <v>526276.245</v>
      </c>
      <c r="F53" s="94">
        <f t="shared" si="219"/>
        <v>507079.70500000002</v>
      </c>
      <c r="G53" s="94">
        <f t="shared" si="219"/>
        <v>687035.92200000002</v>
      </c>
      <c r="H53" s="94">
        <f t="shared" si="219"/>
        <v>779470.04300000006</v>
      </c>
      <c r="I53" s="94">
        <f t="shared" si="219"/>
        <v>857286.75099999993</v>
      </c>
      <c r="J53" s="94">
        <f t="shared" si="219"/>
        <v>876009.96</v>
      </c>
      <c r="K53" s="94">
        <f t="shared" si="219"/>
        <v>889546.32499999995</v>
      </c>
      <c r="L53" s="94">
        <f t="shared" si="219"/>
        <v>698138.58799999999</v>
      </c>
      <c r="M53" s="94">
        <f t="shared" si="219"/>
        <v>507689.48199999996</v>
      </c>
      <c r="N53" s="107">
        <f t="shared" si="219"/>
        <v>547367.40099999995</v>
      </c>
      <c r="O53" s="106">
        <f t="shared" si="219"/>
        <v>645427</v>
      </c>
      <c r="P53" s="94">
        <f t="shared" si="219"/>
        <v>562835</v>
      </c>
      <c r="Q53" s="94">
        <f t="shared" si="219"/>
        <v>529666</v>
      </c>
      <c r="R53" s="94">
        <f>SUM(R51:R52)</f>
        <v>465237</v>
      </c>
      <c r="S53" s="94">
        <f>SUM(S51:S52)</f>
        <v>670630</v>
      </c>
      <c r="T53" s="94">
        <f>SUM(T51:T52)</f>
        <v>864765</v>
      </c>
      <c r="U53" s="95">
        <v>936567</v>
      </c>
      <c r="V53" s="95">
        <v>901842</v>
      </c>
      <c r="W53" s="95">
        <v>846334</v>
      </c>
      <c r="X53" s="95">
        <v>684344</v>
      </c>
      <c r="Y53" s="95">
        <v>442389</v>
      </c>
      <c r="Z53" s="107">
        <v>554195</v>
      </c>
      <c r="AA53" s="95">
        <f t="shared" ref="AA53:AF53" si="220">SUM(AA51:AA52)</f>
        <v>629599</v>
      </c>
      <c r="AB53" s="95">
        <f t="shared" si="220"/>
        <v>523308</v>
      </c>
      <c r="AC53" s="95">
        <f t="shared" si="220"/>
        <v>533940</v>
      </c>
      <c r="AD53" s="95">
        <f t="shared" si="220"/>
        <v>500672</v>
      </c>
      <c r="AE53" s="95">
        <f t="shared" si="220"/>
        <v>530292</v>
      </c>
      <c r="AF53" s="95">
        <f t="shared" si="220"/>
        <v>839147</v>
      </c>
      <c r="AG53" s="95">
        <f t="shared" ref="AG53:AO53" si="221">SUM(AG51:AG52)</f>
        <v>906077</v>
      </c>
      <c r="AH53" s="95">
        <f t="shared" si="221"/>
        <v>958201</v>
      </c>
      <c r="AI53" s="95">
        <f t="shared" si="221"/>
        <v>859366</v>
      </c>
      <c r="AJ53" s="95">
        <f t="shared" si="221"/>
        <v>726364</v>
      </c>
      <c r="AK53" s="95">
        <f t="shared" si="221"/>
        <v>594595</v>
      </c>
      <c r="AL53" s="95">
        <f t="shared" si="221"/>
        <v>548418</v>
      </c>
      <c r="AM53" s="189">
        <f t="shared" si="221"/>
        <v>684865</v>
      </c>
      <c r="AN53" s="95">
        <f t="shared" si="221"/>
        <v>512739</v>
      </c>
      <c r="AO53" s="95">
        <f t="shared" si="221"/>
        <v>487415</v>
      </c>
      <c r="AP53" s="95">
        <f t="shared" ref="AP53:AU53" si="222">SUM(AP51:AP52)</f>
        <v>495039</v>
      </c>
      <c r="AQ53" s="95">
        <f t="shared" si="222"/>
        <v>555227</v>
      </c>
      <c r="AR53" s="95">
        <f t="shared" si="222"/>
        <v>847383</v>
      </c>
      <c r="AS53" s="95">
        <f t="shared" si="222"/>
        <v>939421</v>
      </c>
      <c r="AT53" s="95">
        <f t="shared" si="222"/>
        <v>1027740</v>
      </c>
      <c r="AU53" s="95">
        <f t="shared" si="222"/>
        <v>973292</v>
      </c>
      <c r="AV53" s="95">
        <f t="shared" ref="AV53:BJ53" si="223">SUM(AV51:AV52)</f>
        <v>791879</v>
      </c>
      <c r="AW53" s="95">
        <f t="shared" si="223"/>
        <v>518486</v>
      </c>
      <c r="AX53" s="95">
        <f t="shared" si="223"/>
        <v>584465</v>
      </c>
      <c r="AY53" s="189">
        <f t="shared" si="223"/>
        <v>620192</v>
      </c>
      <c r="AZ53" s="95">
        <f t="shared" si="223"/>
        <v>472086</v>
      </c>
      <c r="BA53" s="95">
        <f t="shared" si="223"/>
        <v>570697</v>
      </c>
      <c r="BB53" s="95">
        <f t="shared" si="223"/>
        <v>523322</v>
      </c>
      <c r="BC53" s="95">
        <f t="shared" si="223"/>
        <v>745807</v>
      </c>
      <c r="BD53" s="95">
        <f t="shared" si="223"/>
        <v>873005</v>
      </c>
      <c r="BE53" s="95">
        <f t="shared" si="223"/>
        <v>872606</v>
      </c>
      <c r="BF53" s="95">
        <f t="shared" si="223"/>
        <v>1001202</v>
      </c>
      <c r="BG53" s="95">
        <f t="shared" si="223"/>
        <v>868117</v>
      </c>
      <c r="BH53" s="95">
        <f t="shared" si="223"/>
        <v>746627</v>
      </c>
      <c r="BI53" s="95">
        <f t="shared" si="223"/>
        <v>507303</v>
      </c>
      <c r="BJ53" s="107">
        <f t="shared" si="223"/>
        <v>534696</v>
      </c>
      <c r="BK53" s="95">
        <f t="shared" ref="BK53:BV53" si="224">SUM(BK51:BK52)</f>
        <v>707114</v>
      </c>
      <c r="BL53" s="95">
        <f t="shared" si="224"/>
        <v>677484</v>
      </c>
      <c r="BM53" s="95">
        <f t="shared" si="224"/>
        <v>537847</v>
      </c>
      <c r="BN53" s="95">
        <f t="shared" si="224"/>
        <v>495187</v>
      </c>
      <c r="BO53" s="95">
        <f t="shared" si="224"/>
        <v>624095</v>
      </c>
      <c r="BP53" s="95">
        <f t="shared" si="224"/>
        <v>778291</v>
      </c>
      <c r="BQ53" s="95">
        <f t="shared" si="224"/>
        <v>864831</v>
      </c>
      <c r="BR53" s="95">
        <f t="shared" si="224"/>
        <v>936222</v>
      </c>
      <c r="BS53" s="95">
        <f t="shared" si="224"/>
        <v>770451</v>
      </c>
      <c r="BT53" s="95">
        <f t="shared" si="224"/>
        <v>775713</v>
      </c>
      <c r="BU53" s="95">
        <f t="shared" si="224"/>
        <v>577213</v>
      </c>
      <c r="BV53" s="107">
        <f t="shared" si="224"/>
        <v>601069</v>
      </c>
      <c r="BW53" s="95">
        <f t="shared" ref="BW53:CK53" si="225">SUM(BW51:BW52)</f>
        <v>663378</v>
      </c>
      <c r="BX53" s="95">
        <f t="shared" si="225"/>
        <v>586523</v>
      </c>
      <c r="BY53" s="95">
        <f t="shared" si="225"/>
        <v>492044</v>
      </c>
      <c r="BZ53" s="95">
        <f t="shared" si="225"/>
        <v>553263</v>
      </c>
      <c r="CA53" s="95">
        <f t="shared" si="225"/>
        <v>625745</v>
      </c>
      <c r="CB53" s="95">
        <f t="shared" si="225"/>
        <v>891328</v>
      </c>
      <c r="CC53" s="95">
        <f t="shared" si="225"/>
        <v>921950</v>
      </c>
      <c r="CD53" s="95">
        <f t="shared" si="225"/>
        <v>890561</v>
      </c>
      <c r="CE53" s="95">
        <f t="shared" si="225"/>
        <v>850938</v>
      </c>
      <c r="CF53" s="95">
        <f>SUM(CF51:CF52)</f>
        <v>675194.99</v>
      </c>
      <c r="CG53" s="95">
        <f>SUM(CG51:CG52)</f>
        <v>523720.97</v>
      </c>
      <c r="CH53" s="107">
        <f>SUM(CH51:CH52)</f>
        <v>561949.40999999992</v>
      </c>
      <c r="CI53" s="106">
        <f t="shared" si="225"/>
        <v>668895</v>
      </c>
      <c r="CJ53" s="94">
        <f t="shared" si="225"/>
        <v>509469</v>
      </c>
      <c r="CK53" s="94">
        <f t="shared" si="225"/>
        <v>490731</v>
      </c>
      <c r="CL53" s="94">
        <f>SUM(CL51:CL52)</f>
        <v>535718</v>
      </c>
      <c r="CM53" s="94">
        <f>SUM(CM51:CM52)</f>
        <v>689353</v>
      </c>
      <c r="CN53" s="94">
        <f>SUM(CN51:CN52)</f>
        <v>830552</v>
      </c>
      <c r="CO53" s="94">
        <f t="shared" ref="CO53:CT53" si="226">SUM(CO51:CO52)</f>
        <v>1024610</v>
      </c>
      <c r="CP53" s="94">
        <f t="shared" si="226"/>
        <v>1038213</v>
      </c>
      <c r="CQ53" s="94">
        <f t="shared" si="226"/>
        <v>939113</v>
      </c>
      <c r="CR53" s="94">
        <f t="shared" si="226"/>
        <v>751511</v>
      </c>
      <c r="CS53" s="94">
        <f t="shared" si="226"/>
        <v>548888</v>
      </c>
      <c r="CT53" s="107">
        <f t="shared" si="226"/>
        <v>621289</v>
      </c>
      <c r="CU53" s="95">
        <f t="shared" ref="CU53:DK53" si="227">SUM(CU51:CU52)</f>
        <v>799067</v>
      </c>
      <c r="CV53" s="95">
        <f t="shared" si="227"/>
        <v>639225</v>
      </c>
      <c r="CW53" s="95">
        <f t="shared" si="227"/>
        <v>575831</v>
      </c>
      <c r="CX53" s="95">
        <f t="shared" si="227"/>
        <v>496369</v>
      </c>
      <c r="CY53" s="95">
        <f t="shared" si="227"/>
        <v>614351</v>
      </c>
      <c r="CZ53" s="95">
        <f t="shared" si="227"/>
        <v>856191</v>
      </c>
      <c r="DA53" s="95">
        <f t="shared" si="227"/>
        <v>972274</v>
      </c>
      <c r="DB53" s="95">
        <f t="shared" si="227"/>
        <v>908291</v>
      </c>
      <c r="DC53" s="95">
        <f t="shared" si="227"/>
        <v>972438</v>
      </c>
      <c r="DD53" s="95">
        <f t="shared" si="227"/>
        <v>685926</v>
      </c>
      <c r="DE53" s="95">
        <f t="shared" si="227"/>
        <v>549483</v>
      </c>
      <c r="DF53" s="107">
        <f t="shared" si="227"/>
        <v>576038</v>
      </c>
      <c r="DG53" s="323">
        <f t="shared" si="227"/>
        <v>618351</v>
      </c>
      <c r="DH53" s="95">
        <f t="shared" si="227"/>
        <v>756284</v>
      </c>
      <c r="DI53" s="323">
        <f t="shared" si="227"/>
        <v>543154</v>
      </c>
      <c r="DJ53" s="95">
        <f t="shared" si="227"/>
        <v>574570</v>
      </c>
      <c r="DK53" s="95">
        <f t="shared" si="227"/>
        <v>672371</v>
      </c>
      <c r="DL53" s="95">
        <f t="shared" ref="DL53:FK53" si="228">SUM(DL51:DL52)</f>
        <v>938685</v>
      </c>
      <c r="DM53" s="95">
        <f t="shared" si="228"/>
        <v>980589</v>
      </c>
      <c r="DN53" s="95">
        <f t="shared" si="228"/>
        <v>1065911</v>
      </c>
      <c r="DO53" s="95">
        <f t="shared" si="228"/>
        <v>984244</v>
      </c>
      <c r="DP53" s="95">
        <f t="shared" si="228"/>
        <v>762650</v>
      </c>
      <c r="DQ53" s="95">
        <f t="shared" si="228"/>
        <v>569462</v>
      </c>
      <c r="DR53" s="95">
        <f t="shared" si="228"/>
        <v>550236</v>
      </c>
      <c r="DS53" s="95">
        <f t="shared" si="228"/>
        <v>643779</v>
      </c>
      <c r="DT53" s="95">
        <f t="shared" si="228"/>
        <v>523562</v>
      </c>
      <c r="DU53" s="95">
        <f t="shared" si="228"/>
        <v>544756</v>
      </c>
      <c r="DV53" s="355">
        <f t="shared" si="228"/>
        <v>645607</v>
      </c>
      <c r="DW53" s="355">
        <f t="shared" si="228"/>
        <v>724974</v>
      </c>
      <c r="DX53" s="355">
        <f t="shared" si="228"/>
        <v>918149</v>
      </c>
      <c r="DY53" s="355">
        <f t="shared" si="228"/>
        <v>1024580</v>
      </c>
      <c r="DZ53" s="355">
        <f t="shared" si="228"/>
        <v>1045733</v>
      </c>
      <c r="EA53" s="355">
        <f t="shared" si="228"/>
        <v>1048383</v>
      </c>
      <c r="EB53" s="355">
        <f t="shared" si="228"/>
        <v>808291</v>
      </c>
      <c r="EC53" s="355">
        <f t="shared" si="228"/>
        <v>662055</v>
      </c>
      <c r="ED53" s="355">
        <f t="shared" si="228"/>
        <v>596089</v>
      </c>
      <c r="EE53" s="355">
        <f t="shared" si="228"/>
        <v>769895</v>
      </c>
      <c r="EF53" s="355">
        <f t="shared" si="228"/>
        <v>566458</v>
      </c>
      <c r="EG53" s="355">
        <f t="shared" si="228"/>
        <v>501327</v>
      </c>
      <c r="EH53" s="355">
        <f t="shared" si="228"/>
        <v>576476</v>
      </c>
      <c r="EI53" s="355">
        <f t="shared" si="228"/>
        <v>608579</v>
      </c>
      <c r="EJ53" s="355">
        <f t="shared" si="228"/>
        <v>898381</v>
      </c>
      <c r="EK53" s="355">
        <f t="shared" si="228"/>
        <v>1023590</v>
      </c>
      <c r="EL53" s="355">
        <f t="shared" si="228"/>
        <v>1039449</v>
      </c>
      <c r="EM53" s="355">
        <f t="shared" si="228"/>
        <v>983170</v>
      </c>
      <c r="EN53" s="355">
        <f t="shared" si="228"/>
        <v>809968</v>
      </c>
      <c r="EO53" s="355">
        <f t="shared" si="228"/>
        <v>624472</v>
      </c>
      <c r="EP53" s="355">
        <f t="shared" si="228"/>
        <v>783928</v>
      </c>
      <c r="EQ53" s="355">
        <f t="shared" si="228"/>
        <v>846402</v>
      </c>
      <c r="ER53" s="355">
        <f t="shared" si="228"/>
        <v>779921</v>
      </c>
      <c r="ES53" s="355">
        <f t="shared" si="228"/>
        <v>614679</v>
      </c>
      <c r="ET53" s="355">
        <f t="shared" si="228"/>
        <v>548892</v>
      </c>
      <c r="EU53" s="355">
        <f t="shared" si="228"/>
        <v>656321</v>
      </c>
      <c r="EV53" s="355">
        <f t="shared" si="228"/>
        <v>874833</v>
      </c>
      <c r="EW53" s="355">
        <f t="shared" si="228"/>
        <v>1024223</v>
      </c>
      <c r="EX53" s="355">
        <f t="shared" si="228"/>
        <v>1060056</v>
      </c>
      <c r="EY53" s="355">
        <f t="shared" si="228"/>
        <v>1040428</v>
      </c>
      <c r="EZ53" s="355">
        <f t="shared" si="228"/>
        <v>814442</v>
      </c>
      <c r="FA53" s="355">
        <f t="shared" si="228"/>
        <v>649075</v>
      </c>
      <c r="FB53" s="355">
        <f t="shared" si="228"/>
        <v>640538</v>
      </c>
      <c r="FC53" s="355">
        <f t="shared" si="228"/>
        <v>908550</v>
      </c>
      <c r="FD53" s="355">
        <f t="shared" si="228"/>
        <v>714265</v>
      </c>
      <c r="FE53" s="355">
        <f t="shared" si="228"/>
        <v>690411</v>
      </c>
      <c r="FF53" s="355">
        <f t="shared" si="228"/>
        <v>584579</v>
      </c>
      <c r="FG53" s="355">
        <f t="shared" si="228"/>
        <v>675244</v>
      </c>
      <c r="FH53" s="355">
        <f t="shared" si="228"/>
        <v>882842</v>
      </c>
      <c r="FI53" s="355">
        <f t="shared" si="228"/>
        <v>1006177</v>
      </c>
      <c r="FJ53" s="355">
        <f t="shared" si="228"/>
        <v>1087552</v>
      </c>
      <c r="FK53" s="355">
        <f t="shared" si="228"/>
        <v>1035205</v>
      </c>
      <c r="FL53" s="355">
        <f t="shared" ref="FL53:FQ53" si="229">SUM(FL51:FL52)</f>
        <v>851871</v>
      </c>
      <c r="FM53" s="355">
        <f t="shared" si="229"/>
        <v>664481</v>
      </c>
      <c r="FN53" s="355">
        <f t="shared" si="229"/>
        <v>639346</v>
      </c>
      <c r="FO53" s="355">
        <f t="shared" si="229"/>
        <v>782907</v>
      </c>
      <c r="FP53" s="355">
        <f t="shared" si="229"/>
        <v>623851</v>
      </c>
      <c r="FQ53" s="355">
        <f t="shared" si="229"/>
        <v>547971</v>
      </c>
      <c r="FR53" s="355">
        <f t="shared" ref="FR53:FT53" si="230">SUM(FR51:FR52)</f>
        <v>600796</v>
      </c>
      <c r="FS53" s="355">
        <f t="shared" si="230"/>
        <v>736152</v>
      </c>
      <c r="FT53" s="355">
        <f t="shared" si="230"/>
        <v>927621</v>
      </c>
    </row>
    <row r="54" spans="2:176" x14ac:dyDescent="0.25">
      <c r="B54" s="3" t="s">
        <v>10</v>
      </c>
      <c r="C54" s="26">
        <f t="shared" ref="C54:H54" si="231">SUM(C51)/C53</f>
        <v>0.99256706381667759</v>
      </c>
      <c r="D54" s="14">
        <f t="shared" si="231"/>
        <v>0.99323963234887225</v>
      </c>
      <c r="E54" s="14">
        <f t="shared" si="231"/>
        <v>0.99275588811727578</v>
      </c>
      <c r="F54" s="14">
        <f t="shared" si="231"/>
        <v>0.9913431222809439</v>
      </c>
      <c r="G54" s="14">
        <f t="shared" si="231"/>
        <v>0.99066604264107172</v>
      </c>
      <c r="H54" s="14">
        <f t="shared" si="231"/>
        <v>0.98926371439780914</v>
      </c>
      <c r="I54" s="14">
        <f t="shared" ref="I54:Q54" si="232">SUM(I51)/I53</f>
        <v>0.98713433050594301</v>
      </c>
      <c r="J54" s="14">
        <f t="shared" si="232"/>
        <v>0.98507995959315342</v>
      </c>
      <c r="K54" s="14">
        <f t="shared" si="232"/>
        <v>0.97822125902212009</v>
      </c>
      <c r="L54" s="14">
        <f t="shared" si="232"/>
        <v>0.96148133270066427</v>
      </c>
      <c r="M54" s="14">
        <f t="shared" si="232"/>
        <v>0.95843626715118757</v>
      </c>
      <c r="N54" s="23">
        <f t="shared" si="232"/>
        <v>0.95592577680745006</v>
      </c>
      <c r="O54" s="36">
        <f t="shared" si="232"/>
        <v>0.94507512081149381</v>
      </c>
      <c r="P54" s="14">
        <f t="shared" si="232"/>
        <v>0.93529364733891818</v>
      </c>
      <c r="Q54" s="14">
        <f t="shared" si="232"/>
        <v>0.92536995011950929</v>
      </c>
      <c r="R54" s="14">
        <f t="shared" ref="R54:W54" si="233">SUM(R51)/R53</f>
        <v>0.91287021453581718</v>
      </c>
      <c r="S54" s="14">
        <f t="shared" si="233"/>
        <v>0.89826431862576983</v>
      </c>
      <c r="T54" s="14">
        <f t="shared" si="233"/>
        <v>0.88532028932715823</v>
      </c>
      <c r="U54" s="14">
        <f t="shared" si="233"/>
        <v>0.86892769017059113</v>
      </c>
      <c r="V54" s="14">
        <f t="shared" si="233"/>
        <v>0.85457319574825741</v>
      </c>
      <c r="W54" s="14">
        <f t="shared" si="233"/>
        <v>0.84151646985705408</v>
      </c>
      <c r="X54" s="14">
        <f t="shared" ref="X54:AC54" si="234">SUM(X51)/X53</f>
        <v>0.82001887939398899</v>
      </c>
      <c r="Y54" s="14">
        <f t="shared" si="234"/>
        <v>0.80880175592069425</v>
      </c>
      <c r="Z54" s="23">
        <f t="shared" si="234"/>
        <v>0.7984788747642978</v>
      </c>
      <c r="AA54" s="14">
        <f t="shared" si="234"/>
        <v>0.80024269415929827</v>
      </c>
      <c r="AB54" s="14">
        <f t="shared" si="234"/>
        <v>0.79921958005610461</v>
      </c>
      <c r="AC54" s="14">
        <f t="shared" si="234"/>
        <v>0.79179308536539683</v>
      </c>
      <c r="AD54" s="14">
        <f t="shared" ref="AD54:AI54" si="235">SUM(AD51)/AD53</f>
        <v>0.78566606480889689</v>
      </c>
      <c r="AE54" s="14">
        <f t="shared" si="235"/>
        <v>0.77740565575192533</v>
      </c>
      <c r="AF54" s="14">
        <f t="shared" si="235"/>
        <v>0.77344970547472613</v>
      </c>
      <c r="AG54" s="14">
        <f t="shared" si="235"/>
        <v>0.76406640936697434</v>
      </c>
      <c r="AH54" s="14">
        <f t="shared" si="235"/>
        <v>0.75805180750176637</v>
      </c>
      <c r="AI54" s="14">
        <f t="shared" si="235"/>
        <v>0.74645029009758357</v>
      </c>
      <c r="AJ54" s="14">
        <f t="shared" ref="AJ54:AO54" si="236">SUM(AJ51)/AJ53</f>
        <v>0.73691702782626889</v>
      </c>
      <c r="AK54" s="14">
        <f t="shared" si="236"/>
        <v>0.72959241164153754</v>
      </c>
      <c r="AL54" s="14">
        <f t="shared" si="236"/>
        <v>0.72681604177835157</v>
      </c>
      <c r="AM54" s="78">
        <f t="shared" si="236"/>
        <v>0.72297168055018146</v>
      </c>
      <c r="AN54" s="14">
        <f t="shared" si="236"/>
        <v>0.7196390366248715</v>
      </c>
      <c r="AO54" s="14">
        <f t="shared" si="236"/>
        <v>0.71446713785993454</v>
      </c>
      <c r="AP54" s="14">
        <f t="shared" ref="AP54:AU54" si="237">SUM(AP51)/AP53</f>
        <v>0.71053189748686463</v>
      </c>
      <c r="AQ54" s="14">
        <f t="shared" si="237"/>
        <v>0.70460190156458524</v>
      </c>
      <c r="AR54" s="14">
        <f t="shared" si="237"/>
        <v>0.70520296017267281</v>
      </c>
      <c r="AS54" s="14">
        <f t="shared" si="237"/>
        <v>0.70360147367367776</v>
      </c>
      <c r="AT54" s="14">
        <f t="shared" si="237"/>
        <v>0.69407924183159164</v>
      </c>
      <c r="AU54" s="14">
        <f t="shared" si="237"/>
        <v>0.68676615034337074</v>
      </c>
      <c r="AV54" s="14">
        <f t="shared" ref="AV54:BJ54" si="238">SUM(AV51)/AV53</f>
        <v>0.6765629597451126</v>
      </c>
      <c r="AW54" s="14">
        <f t="shared" si="238"/>
        <v>0.67167676658579012</v>
      </c>
      <c r="AX54" s="14">
        <f t="shared" si="238"/>
        <v>0.66984678295535238</v>
      </c>
      <c r="AY54" s="78">
        <f t="shared" si="238"/>
        <v>0.66428460863732519</v>
      </c>
      <c r="AZ54" s="14">
        <f t="shared" si="238"/>
        <v>0.6613858491884953</v>
      </c>
      <c r="BA54" s="14">
        <f t="shared" si="238"/>
        <v>0.65745045093981569</v>
      </c>
      <c r="BB54" s="14">
        <f t="shared" si="238"/>
        <v>0.64756306824479004</v>
      </c>
      <c r="BC54" s="14">
        <f t="shared" si="238"/>
        <v>0.63974593963317583</v>
      </c>
      <c r="BD54" s="14">
        <f t="shared" si="238"/>
        <v>0.63076156493949065</v>
      </c>
      <c r="BE54" s="14">
        <f t="shared" si="238"/>
        <v>0.62144885549721185</v>
      </c>
      <c r="BF54" s="14">
        <f t="shared" si="238"/>
        <v>0.61118235880471672</v>
      </c>
      <c r="BG54" s="14">
        <f t="shared" si="238"/>
        <v>0.60478714274688783</v>
      </c>
      <c r="BH54" s="14">
        <f t="shared" si="238"/>
        <v>0.59167830791010767</v>
      </c>
      <c r="BI54" s="14">
        <f t="shared" si="238"/>
        <v>0.5861782800417108</v>
      </c>
      <c r="BJ54" s="23">
        <f t="shared" si="238"/>
        <v>0.58275169442075492</v>
      </c>
      <c r="BK54" s="14">
        <f t="shared" ref="BK54:BV54" si="239">SUM(BK51)/BK53</f>
        <v>0.57876099186269825</v>
      </c>
      <c r="BL54" s="14">
        <f t="shared" si="239"/>
        <v>0.57531838390279333</v>
      </c>
      <c r="BM54" s="14">
        <f t="shared" si="239"/>
        <v>0.57164398053721599</v>
      </c>
      <c r="BN54" s="14">
        <f t="shared" si="239"/>
        <v>0.56234715370153099</v>
      </c>
      <c r="BO54" s="14">
        <f t="shared" si="239"/>
        <v>0.55320423973914223</v>
      </c>
      <c r="BP54" s="14">
        <f t="shared" si="239"/>
        <v>0.54692525032410755</v>
      </c>
      <c r="BQ54" s="14">
        <f t="shared" si="239"/>
        <v>0.5418492167833947</v>
      </c>
      <c r="BR54" s="14">
        <f t="shared" si="239"/>
        <v>0.53353584940323984</v>
      </c>
      <c r="BS54" s="14">
        <f t="shared" si="239"/>
        <v>0.52703805952617366</v>
      </c>
      <c r="BT54" s="14">
        <f t="shared" si="239"/>
        <v>0.51745942120346056</v>
      </c>
      <c r="BU54" s="14">
        <f t="shared" si="239"/>
        <v>0.51071961303712843</v>
      </c>
      <c r="BV54" s="23">
        <f t="shared" si="239"/>
        <v>0.50753241308402197</v>
      </c>
      <c r="BW54" s="14">
        <f t="shared" ref="BW54:CB54" si="240">SUM(BW51)/BW53</f>
        <v>0.50472581243273063</v>
      </c>
      <c r="BX54" s="14">
        <f t="shared" si="240"/>
        <v>0.49774177653732249</v>
      </c>
      <c r="BY54" s="14">
        <f t="shared" si="240"/>
        <v>0.48896440155758431</v>
      </c>
      <c r="BZ54" s="14">
        <f t="shared" si="240"/>
        <v>0.47910125925644764</v>
      </c>
      <c r="CA54" s="14">
        <f t="shared" si="240"/>
        <v>0.47014518693717089</v>
      </c>
      <c r="CB54" s="14">
        <f t="shared" si="240"/>
        <v>0.46042758670208944</v>
      </c>
      <c r="CC54" s="14">
        <f t="shared" ref="CC54:DK54" si="241">SUM(CC51)/CC53</f>
        <v>0.45189652367265037</v>
      </c>
      <c r="CD54" s="14">
        <f t="shared" si="241"/>
        <v>0.44477806685897991</v>
      </c>
      <c r="CE54" s="14">
        <f t="shared" si="241"/>
        <v>0.43742317301613043</v>
      </c>
      <c r="CF54" s="14">
        <f t="shared" si="241"/>
        <v>0.42306741642143997</v>
      </c>
      <c r="CG54" s="14">
        <f t="shared" si="241"/>
        <v>0.41206675379066837</v>
      </c>
      <c r="CH54" s="23">
        <f t="shared" si="241"/>
        <v>0.40734093839514846</v>
      </c>
      <c r="CI54" s="239">
        <f t="shared" si="241"/>
        <v>0.39779636564782217</v>
      </c>
      <c r="CJ54" s="240">
        <f t="shared" si="241"/>
        <v>0.38888921602688287</v>
      </c>
      <c r="CK54" s="240">
        <f t="shared" si="241"/>
        <v>0.37714348594240021</v>
      </c>
      <c r="CL54" s="240">
        <f t="shared" si="241"/>
        <v>0.36742091921496012</v>
      </c>
      <c r="CM54" s="240">
        <f t="shared" si="241"/>
        <v>0.36138379030772333</v>
      </c>
      <c r="CN54" s="240">
        <f t="shared" si="241"/>
        <v>0.35817504503029313</v>
      </c>
      <c r="CO54" s="240">
        <f t="shared" si="241"/>
        <v>0.35622627145938457</v>
      </c>
      <c r="CP54" s="240">
        <f t="shared" si="241"/>
        <v>0.35293721037975828</v>
      </c>
      <c r="CQ54" s="240">
        <f t="shared" si="241"/>
        <v>0.345675121098313</v>
      </c>
      <c r="CR54" s="240">
        <f t="shared" si="241"/>
        <v>0.33682940103338477</v>
      </c>
      <c r="CS54" s="240">
        <f t="shared" si="241"/>
        <v>0.32899607934587749</v>
      </c>
      <c r="CT54" s="241">
        <f t="shared" si="241"/>
        <v>0.32765106093943397</v>
      </c>
      <c r="CU54" s="240">
        <f t="shared" si="241"/>
        <v>0.32741559844168261</v>
      </c>
      <c r="CV54" s="240">
        <f t="shared" si="241"/>
        <v>0.32402987993273102</v>
      </c>
      <c r="CW54" s="240">
        <f t="shared" si="241"/>
        <v>0.31980216417664209</v>
      </c>
      <c r="CX54" s="240">
        <f t="shared" si="241"/>
        <v>0.31196750804341128</v>
      </c>
      <c r="CY54" s="240">
        <f t="shared" si="241"/>
        <v>0.30537754475861517</v>
      </c>
      <c r="CZ54" s="240">
        <f t="shared" si="241"/>
        <v>0.30497751085914243</v>
      </c>
      <c r="DA54" s="240">
        <f t="shared" si="241"/>
        <v>0.3031305989875282</v>
      </c>
      <c r="DB54" s="240">
        <f t="shared" si="241"/>
        <v>0.30083090110988658</v>
      </c>
      <c r="DC54" s="240">
        <f t="shared" si="241"/>
        <v>0.29645283298266828</v>
      </c>
      <c r="DD54" s="240">
        <f t="shared" si="241"/>
        <v>0.29229246303537115</v>
      </c>
      <c r="DE54" s="240">
        <f t="shared" si="241"/>
        <v>0.28937928925917633</v>
      </c>
      <c r="DF54" s="241">
        <f t="shared" si="241"/>
        <v>0.29188699356639664</v>
      </c>
      <c r="DG54" s="240">
        <f t="shared" si="241"/>
        <v>0.29105637413055047</v>
      </c>
      <c r="DH54" s="240">
        <f t="shared" si="241"/>
        <v>0.28990299940234093</v>
      </c>
      <c r="DI54" s="240">
        <f t="shared" si="241"/>
        <v>0.28407965328433554</v>
      </c>
      <c r="DJ54" s="240">
        <f t="shared" si="241"/>
        <v>0.28215187009415738</v>
      </c>
      <c r="DK54" s="240">
        <f t="shared" si="241"/>
        <v>0.28146960532206178</v>
      </c>
      <c r="DL54" s="240">
        <f t="shared" ref="DL54:FK54" si="242">SUM(DL51)/DL53</f>
        <v>0.28241955501579336</v>
      </c>
      <c r="DM54" s="240">
        <f t="shared" si="242"/>
        <v>0.28325322841679845</v>
      </c>
      <c r="DN54" s="240">
        <f t="shared" si="242"/>
        <v>0.28245134912764763</v>
      </c>
      <c r="DO54" s="240">
        <f t="shared" si="242"/>
        <v>0.27982085742966173</v>
      </c>
      <c r="DP54" s="240">
        <f t="shared" si="242"/>
        <v>0.27809086737035338</v>
      </c>
      <c r="DQ54" s="240">
        <f t="shared" si="242"/>
        <v>0.27181620547112889</v>
      </c>
      <c r="DR54" s="240">
        <f t="shared" si="242"/>
        <v>0.27416054202196877</v>
      </c>
      <c r="DS54" s="240">
        <f t="shared" si="242"/>
        <v>0.2771152833503423</v>
      </c>
      <c r="DT54" s="240">
        <f t="shared" si="242"/>
        <v>0.27552419770724385</v>
      </c>
      <c r="DU54" s="240">
        <f t="shared" si="242"/>
        <v>0.27015948424615793</v>
      </c>
      <c r="DV54" s="356">
        <f t="shared" si="242"/>
        <v>0.26531620629887842</v>
      </c>
      <c r="DW54" s="356">
        <f t="shared" si="242"/>
        <v>0.26406740103783033</v>
      </c>
      <c r="DX54" s="356">
        <f t="shared" si="242"/>
        <v>0.26490471590123171</v>
      </c>
      <c r="DY54" s="356">
        <f t="shared" si="242"/>
        <v>0.2645318081555369</v>
      </c>
      <c r="DZ54" s="356">
        <f t="shared" si="242"/>
        <v>0.26435141666180562</v>
      </c>
      <c r="EA54" s="356">
        <f t="shared" si="242"/>
        <v>0.26182130004015708</v>
      </c>
      <c r="EB54" s="356">
        <f t="shared" si="242"/>
        <v>0.25748894890577773</v>
      </c>
      <c r="EC54" s="356">
        <f t="shared" si="242"/>
        <v>0.25535340719426636</v>
      </c>
      <c r="ED54" s="356">
        <f t="shared" si="242"/>
        <v>0.25511962139881794</v>
      </c>
      <c r="EE54" s="356">
        <f t="shared" si="242"/>
        <v>0.25744549581436432</v>
      </c>
      <c r="EF54" s="356">
        <f t="shared" si="242"/>
        <v>0.25337271254002947</v>
      </c>
      <c r="EG54" s="356">
        <f t="shared" si="242"/>
        <v>0.25207898238076148</v>
      </c>
      <c r="EH54" s="356">
        <f t="shared" si="242"/>
        <v>0.24877184826428161</v>
      </c>
      <c r="EI54" s="356">
        <f t="shared" si="242"/>
        <v>0.24678307992881779</v>
      </c>
      <c r="EJ54" s="356">
        <f t="shared" si="242"/>
        <v>0.24796495028278648</v>
      </c>
      <c r="EK54" s="356">
        <f t="shared" si="242"/>
        <v>0.24952178118191853</v>
      </c>
      <c r="EL54" s="356">
        <f t="shared" si="242"/>
        <v>0.25004786189606226</v>
      </c>
      <c r="EM54" s="356">
        <f t="shared" si="242"/>
        <v>0.2480628985831545</v>
      </c>
      <c r="EN54" s="356">
        <f t="shared" si="242"/>
        <v>0.24521586037966933</v>
      </c>
      <c r="EO54" s="356">
        <f t="shared" si="242"/>
        <v>0.24373550775695307</v>
      </c>
      <c r="EP54" s="356">
        <f t="shared" si="242"/>
        <v>0.24868482819850804</v>
      </c>
      <c r="EQ54" s="356">
        <f t="shared" si="242"/>
        <v>0.25067166665485197</v>
      </c>
      <c r="ER54" s="356">
        <f t="shared" si="242"/>
        <v>0.24698527158519901</v>
      </c>
      <c r="ES54" s="356">
        <f t="shared" si="242"/>
        <v>0.24397937785413198</v>
      </c>
      <c r="ET54" s="356">
        <f t="shared" si="242"/>
        <v>0.24033689687588816</v>
      </c>
      <c r="EU54" s="356">
        <f t="shared" si="242"/>
        <v>0.23873683761452094</v>
      </c>
      <c r="EV54" s="356">
        <f t="shared" si="242"/>
        <v>0.23987778238818153</v>
      </c>
      <c r="EW54" s="356">
        <f t="shared" si="242"/>
        <v>0.24212598233001992</v>
      </c>
      <c r="EX54" s="356">
        <f t="shared" si="242"/>
        <v>0.24203909982114152</v>
      </c>
      <c r="EY54" s="282">
        <f t="shared" si="242"/>
        <v>0.24052697543703169</v>
      </c>
      <c r="EZ54" s="282">
        <f t="shared" si="242"/>
        <v>0.23388528587671067</v>
      </c>
      <c r="FA54" s="282">
        <f t="shared" si="242"/>
        <v>0.23173439124908524</v>
      </c>
      <c r="FB54" s="282">
        <f t="shared" si="242"/>
        <v>0.23366607445616028</v>
      </c>
      <c r="FC54" s="282">
        <f t="shared" si="242"/>
        <v>0.23614000330196466</v>
      </c>
      <c r="FD54" s="282">
        <f t="shared" si="242"/>
        <v>0.23314736127347693</v>
      </c>
      <c r="FE54" s="282">
        <f t="shared" si="242"/>
        <v>0.229958676788174</v>
      </c>
      <c r="FF54" s="282">
        <f t="shared" si="242"/>
        <v>0.22120021417122407</v>
      </c>
      <c r="FG54" s="282">
        <f t="shared" si="242"/>
        <v>0.21739104679197446</v>
      </c>
      <c r="FH54" s="282">
        <f t="shared" si="242"/>
        <v>0.21824403460641881</v>
      </c>
      <c r="FI54" s="282">
        <f t="shared" si="242"/>
        <v>0.21912347429925352</v>
      </c>
      <c r="FJ54" s="282">
        <f t="shared" si="242"/>
        <v>0.21925940092979462</v>
      </c>
      <c r="FK54" s="282">
        <f t="shared" si="242"/>
        <v>0.21618230205611449</v>
      </c>
      <c r="FL54" s="282">
        <f t="shared" ref="FL54:FQ54" si="243">SUM(FL51)/FL53</f>
        <v>0.2118607160004273</v>
      </c>
      <c r="FM54" s="282">
        <f t="shared" si="243"/>
        <v>0.20678544608498964</v>
      </c>
      <c r="FN54" s="282">
        <f t="shared" si="243"/>
        <v>0.20874612494642963</v>
      </c>
      <c r="FO54" s="282">
        <f t="shared" si="243"/>
        <v>0.21069680051398187</v>
      </c>
      <c r="FP54" s="282">
        <f t="shared" si="243"/>
        <v>0.20863475413199625</v>
      </c>
      <c r="FQ54" s="282">
        <f t="shared" si="243"/>
        <v>0.20111283261340474</v>
      </c>
      <c r="FR54" s="282">
        <f t="shared" ref="FR54:FT54" si="244">SUM(FR51)/FR53</f>
        <v>0.19757621555403165</v>
      </c>
      <c r="FS54" s="282">
        <f t="shared" si="244"/>
        <v>0.1958603657940208</v>
      </c>
      <c r="FT54" s="282">
        <f t="shared" si="244"/>
        <v>0.19725189490104256</v>
      </c>
    </row>
    <row r="55" spans="2:176" ht="13.8" thickBot="1" x14ac:dyDescent="0.3">
      <c r="B55" s="4" t="s">
        <v>11</v>
      </c>
      <c r="C55" s="27">
        <f t="shared" ref="C55:H55" si="245">SUM(C52/C53)</f>
        <v>7.4329361833223792E-3</v>
      </c>
      <c r="D55" s="15">
        <f t="shared" si="245"/>
        <v>6.7603676511277608E-3</v>
      </c>
      <c r="E55" s="15">
        <f t="shared" si="245"/>
        <v>7.2441118827242523E-3</v>
      </c>
      <c r="F55" s="15">
        <f t="shared" si="245"/>
        <v>8.6568777190560199E-3</v>
      </c>
      <c r="G55" s="15">
        <f t="shared" si="245"/>
        <v>9.3339573589283145E-3</v>
      </c>
      <c r="H55" s="15">
        <f t="shared" si="245"/>
        <v>1.0736285602190873E-2</v>
      </c>
      <c r="I55" s="15">
        <f t="shared" ref="I55:Q55" si="246">SUM(I52/I53)</f>
        <v>1.2865669494057071E-2</v>
      </c>
      <c r="J55" s="15">
        <f t="shared" si="246"/>
        <v>1.4920040406846517E-2</v>
      </c>
      <c r="K55" s="15">
        <f t="shared" si="246"/>
        <v>2.1778740977879931E-2</v>
      </c>
      <c r="L55" s="15">
        <f t="shared" si="246"/>
        <v>3.8518667299335702E-2</v>
      </c>
      <c r="M55" s="15">
        <f t="shared" si="246"/>
        <v>4.1563732848812499E-2</v>
      </c>
      <c r="N55" s="24">
        <f t="shared" si="246"/>
        <v>4.4074223192549965E-2</v>
      </c>
      <c r="O55" s="37">
        <f t="shared" si="246"/>
        <v>5.4924879188506213E-2</v>
      </c>
      <c r="P55" s="15">
        <f t="shared" si="246"/>
        <v>6.4706352661081851E-2</v>
      </c>
      <c r="Q55" s="15">
        <f t="shared" si="246"/>
        <v>7.4630049880490726E-2</v>
      </c>
      <c r="R55" s="15">
        <f t="shared" ref="R55:W55" si="247">SUM(R52/R53)</f>
        <v>8.7129785464182777E-2</v>
      </c>
      <c r="S55" s="15">
        <f t="shared" si="247"/>
        <v>0.1017356813742302</v>
      </c>
      <c r="T55" s="15">
        <f t="shared" si="247"/>
        <v>0.11467971067284176</v>
      </c>
      <c r="U55" s="15">
        <f t="shared" si="247"/>
        <v>0.1310723098294089</v>
      </c>
      <c r="V55" s="15">
        <f t="shared" si="247"/>
        <v>0.14542680425174254</v>
      </c>
      <c r="W55" s="15">
        <f t="shared" si="247"/>
        <v>0.15848353014294592</v>
      </c>
      <c r="X55" s="15">
        <f t="shared" ref="X55:AC55" si="248">SUM(X52/X53)</f>
        <v>0.17998112060601101</v>
      </c>
      <c r="Y55" s="15">
        <f t="shared" si="248"/>
        <v>0.19119824407930577</v>
      </c>
      <c r="Z55" s="24">
        <f t="shared" si="248"/>
        <v>0.20152112523570223</v>
      </c>
      <c r="AA55" s="15">
        <f t="shared" si="248"/>
        <v>0.19975730584070178</v>
      </c>
      <c r="AB55" s="15">
        <f t="shared" si="248"/>
        <v>0.20078041994389537</v>
      </c>
      <c r="AC55" s="15">
        <f t="shared" si="248"/>
        <v>0.20820691463460314</v>
      </c>
      <c r="AD55" s="15">
        <f t="shared" ref="AD55:AI55" si="249">SUM(AD52/AD53)</f>
        <v>0.21433393519110316</v>
      </c>
      <c r="AE55" s="15">
        <f t="shared" si="249"/>
        <v>0.22259434424807464</v>
      </c>
      <c r="AF55" s="15">
        <f t="shared" si="249"/>
        <v>0.22655029452527389</v>
      </c>
      <c r="AG55" s="15">
        <f t="shared" si="249"/>
        <v>0.23593359063302566</v>
      </c>
      <c r="AH55" s="15">
        <f t="shared" si="249"/>
        <v>0.24194819249823368</v>
      </c>
      <c r="AI55" s="15">
        <f t="shared" si="249"/>
        <v>0.25354970990241643</v>
      </c>
      <c r="AJ55" s="15">
        <f t="shared" ref="AJ55:AO55" si="250">SUM(AJ52/AJ53)</f>
        <v>0.26308297217373106</v>
      </c>
      <c r="AK55" s="15">
        <f t="shared" si="250"/>
        <v>0.27040758835846246</v>
      </c>
      <c r="AL55" s="15">
        <f t="shared" si="250"/>
        <v>0.27318395822164843</v>
      </c>
      <c r="AM55" s="79">
        <f t="shared" si="250"/>
        <v>0.27702831944981859</v>
      </c>
      <c r="AN55" s="15">
        <f t="shared" si="250"/>
        <v>0.2803609633751285</v>
      </c>
      <c r="AO55" s="15">
        <f t="shared" si="250"/>
        <v>0.28553286214006546</v>
      </c>
      <c r="AP55" s="15">
        <f t="shared" ref="AP55:AU55" si="251">SUM(AP52/AP53)</f>
        <v>0.28946810251313532</v>
      </c>
      <c r="AQ55" s="15">
        <f t="shared" si="251"/>
        <v>0.2953980984354147</v>
      </c>
      <c r="AR55" s="15">
        <f t="shared" si="251"/>
        <v>0.29479703982732719</v>
      </c>
      <c r="AS55" s="15">
        <f t="shared" si="251"/>
        <v>0.2963985263263223</v>
      </c>
      <c r="AT55" s="15">
        <f t="shared" si="251"/>
        <v>0.30592075816840836</v>
      </c>
      <c r="AU55" s="15">
        <f t="shared" si="251"/>
        <v>0.31323384965662926</v>
      </c>
      <c r="AV55" s="15">
        <f>SUM(AV52/AV53)</f>
        <v>0.32343704025488745</v>
      </c>
      <c r="AW55" s="15">
        <f>SUM(AW52/AW53)</f>
        <v>0.32832323341420983</v>
      </c>
      <c r="AX55" s="15">
        <f>SUM(AX52/AX53)</f>
        <v>0.33015321704464767</v>
      </c>
      <c r="AY55" s="79">
        <f t="shared" ref="AY55:BG55" si="252">SUM(AY52/AY53)</f>
        <v>0.33571539136267481</v>
      </c>
      <c r="AZ55" s="15">
        <f t="shared" si="252"/>
        <v>0.3386141508115047</v>
      </c>
      <c r="BA55" s="15">
        <f t="shared" si="252"/>
        <v>0.34254954906018431</v>
      </c>
      <c r="BB55" s="15">
        <f t="shared" si="252"/>
        <v>0.35243693175520996</v>
      </c>
      <c r="BC55" s="15">
        <f t="shared" si="252"/>
        <v>0.36025406036682411</v>
      </c>
      <c r="BD55" s="15">
        <f t="shared" si="252"/>
        <v>0.36923843506050941</v>
      </c>
      <c r="BE55" s="15">
        <f t="shared" si="252"/>
        <v>0.37855114450278821</v>
      </c>
      <c r="BF55" s="15">
        <f t="shared" si="252"/>
        <v>0.38881764119528328</v>
      </c>
      <c r="BG55" s="15">
        <f t="shared" si="252"/>
        <v>0.39521285725311217</v>
      </c>
      <c r="BH55" s="15">
        <f>SUM(BH52/BH53)</f>
        <v>0.40832169208989227</v>
      </c>
      <c r="BI55" s="15">
        <f>SUM(BI52/BI53)</f>
        <v>0.4138217199582892</v>
      </c>
      <c r="BJ55" s="24">
        <f>SUM(BJ52/BJ53)</f>
        <v>0.41724830557924503</v>
      </c>
      <c r="BK55" s="15">
        <f t="shared" ref="BK55:BS55" si="253">SUM(BK52/BK53)</f>
        <v>0.42123900813730175</v>
      </c>
      <c r="BL55" s="15">
        <f t="shared" si="253"/>
        <v>0.42468161609720673</v>
      </c>
      <c r="BM55" s="15">
        <f t="shared" si="253"/>
        <v>0.42835601946278401</v>
      </c>
      <c r="BN55" s="15">
        <f t="shared" si="253"/>
        <v>0.43765284629846907</v>
      </c>
      <c r="BO55" s="15">
        <f t="shared" si="253"/>
        <v>0.44679576026085771</v>
      </c>
      <c r="BP55" s="15">
        <f t="shared" si="253"/>
        <v>0.45307474967589245</v>
      </c>
      <c r="BQ55" s="15">
        <f t="shared" si="253"/>
        <v>0.45815078321660535</v>
      </c>
      <c r="BR55" s="15">
        <f t="shared" si="253"/>
        <v>0.46646415059676016</v>
      </c>
      <c r="BS55" s="15">
        <f t="shared" si="253"/>
        <v>0.47296194047382639</v>
      </c>
      <c r="BT55" s="15">
        <f>SUM(BT52/BT53)</f>
        <v>0.48254057879653944</v>
      </c>
      <c r="BU55" s="15">
        <f>SUM(BU52/BU53)</f>
        <v>0.48928038696287157</v>
      </c>
      <c r="BV55" s="24">
        <f>SUM(BV52/BV53)</f>
        <v>0.49246758691597803</v>
      </c>
      <c r="BW55" s="15">
        <f t="shared" ref="BW55:CB55" si="254">SUM(BW52/BW53)</f>
        <v>0.49527418756726932</v>
      </c>
      <c r="BX55" s="15">
        <f t="shared" si="254"/>
        <v>0.50225822346267746</v>
      </c>
      <c r="BY55" s="15">
        <f t="shared" si="254"/>
        <v>0.51103559844241575</v>
      </c>
      <c r="BZ55" s="15">
        <f t="shared" si="254"/>
        <v>0.52089874074355236</v>
      </c>
      <c r="CA55" s="15">
        <f t="shared" si="254"/>
        <v>0.52985481306282911</v>
      </c>
      <c r="CB55" s="15">
        <f t="shared" si="254"/>
        <v>0.5395724132979105</v>
      </c>
      <c r="CC55" s="15">
        <f t="shared" ref="CC55:DK55" si="255">SUM(CC52/CC53)</f>
        <v>0.54810347632734968</v>
      </c>
      <c r="CD55" s="15">
        <f t="shared" si="255"/>
        <v>0.55522193314102009</v>
      </c>
      <c r="CE55" s="15">
        <f t="shared" si="255"/>
        <v>0.56257682698386957</v>
      </c>
      <c r="CF55" s="15">
        <f t="shared" si="255"/>
        <v>0.57693258357856003</v>
      </c>
      <c r="CG55" s="15">
        <f t="shared" si="255"/>
        <v>0.58793324620933163</v>
      </c>
      <c r="CH55" s="24">
        <f t="shared" si="255"/>
        <v>0.5926590616048516</v>
      </c>
      <c r="CI55" s="244">
        <f t="shared" si="255"/>
        <v>0.60220363435217783</v>
      </c>
      <c r="CJ55" s="245">
        <f t="shared" si="255"/>
        <v>0.61111078397311713</v>
      </c>
      <c r="CK55" s="245">
        <f t="shared" si="255"/>
        <v>0.62285651405759979</v>
      </c>
      <c r="CL55" s="245">
        <f t="shared" si="255"/>
        <v>0.63257908078503988</v>
      </c>
      <c r="CM55" s="245">
        <f t="shared" si="255"/>
        <v>0.63861620969227673</v>
      </c>
      <c r="CN55" s="245">
        <f t="shared" si="255"/>
        <v>0.64182495496970693</v>
      </c>
      <c r="CO55" s="245">
        <f t="shared" si="255"/>
        <v>0.64377372854061543</v>
      </c>
      <c r="CP55" s="245">
        <f t="shared" si="255"/>
        <v>0.64706278962024166</v>
      </c>
      <c r="CQ55" s="245">
        <f t="shared" si="255"/>
        <v>0.654324878901687</v>
      </c>
      <c r="CR55" s="245">
        <f t="shared" si="255"/>
        <v>0.66317059896661523</v>
      </c>
      <c r="CS55" s="245">
        <f t="shared" si="255"/>
        <v>0.67100392065412251</v>
      </c>
      <c r="CT55" s="246">
        <f t="shared" si="255"/>
        <v>0.67234893906056603</v>
      </c>
      <c r="CU55" s="245">
        <f t="shared" si="255"/>
        <v>0.67258440155831734</v>
      </c>
      <c r="CV55" s="245">
        <f t="shared" si="255"/>
        <v>0.67597012006726898</v>
      </c>
      <c r="CW55" s="245">
        <f t="shared" si="255"/>
        <v>0.68019783582335791</v>
      </c>
      <c r="CX55" s="245">
        <f t="shared" si="255"/>
        <v>0.68803249195658878</v>
      </c>
      <c r="CY55" s="245">
        <f t="shared" si="255"/>
        <v>0.69462245524138477</v>
      </c>
      <c r="CZ55" s="245">
        <f t="shared" si="255"/>
        <v>0.69502248914085762</v>
      </c>
      <c r="DA55" s="245">
        <f t="shared" si="255"/>
        <v>0.69686940101247175</v>
      </c>
      <c r="DB55" s="245">
        <f t="shared" si="255"/>
        <v>0.69916909889011336</v>
      </c>
      <c r="DC55" s="245">
        <f t="shared" si="255"/>
        <v>0.70354716701733166</v>
      </c>
      <c r="DD55" s="245">
        <f t="shared" si="255"/>
        <v>0.70770753696462885</v>
      </c>
      <c r="DE55" s="245">
        <f t="shared" si="255"/>
        <v>0.71062071074082367</v>
      </c>
      <c r="DF55" s="246">
        <f t="shared" si="255"/>
        <v>0.70811300643360331</v>
      </c>
      <c r="DG55" s="245">
        <f t="shared" si="255"/>
        <v>0.70894362586944959</v>
      </c>
      <c r="DH55" s="245">
        <f t="shared" si="255"/>
        <v>0.71009700059765912</v>
      </c>
      <c r="DI55" s="245">
        <f t="shared" si="255"/>
        <v>0.7159203467156644</v>
      </c>
      <c r="DJ55" s="245">
        <f t="shared" si="255"/>
        <v>0.71784812990584268</v>
      </c>
      <c r="DK55" s="245">
        <f t="shared" si="255"/>
        <v>0.71853039467793822</v>
      </c>
      <c r="DL55" s="245">
        <f t="shared" ref="DL55:FK55" si="256">SUM(DL52/DL53)</f>
        <v>0.71758044498420659</v>
      </c>
      <c r="DM55" s="245">
        <f t="shared" si="256"/>
        <v>0.71674677158320155</v>
      </c>
      <c r="DN55" s="245">
        <f t="shared" si="256"/>
        <v>0.71754865087235242</v>
      </c>
      <c r="DO55" s="245">
        <f t="shared" si="256"/>
        <v>0.72017914257033822</v>
      </c>
      <c r="DP55" s="245">
        <f t="shared" si="256"/>
        <v>0.72190913262964662</v>
      </c>
      <c r="DQ55" s="245">
        <f t="shared" si="256"/>
        <v>0.72818379452887116</v>
      </c>
      <c r="DR55" s="245">
        <f t="shared" si="256"/>
        <v>0.72583945797803129</v>
      </c>
      <c r="DS55" s="245">
        <f t="shared" si="256"/>
        <v>0.7228847166496577</v>
      </c>
      <c r="DT55" s="245">
        <f t="shared" si="256"/>
        <v>0.72447580229275621</v>
      </c>
      <c r="DU55" s="245">
        <f t="shared" si="256"/>
        <v>0.72984051575384212</v>
      </c>
      <c r="DV55" s="357">
        <f t="shared" si="256"/>
        <v>0.73468379370112158</v>
      </c>
      <c r="DW55" s="357">
        <f t="shared" si="256"/>
        <v>0.73593259896216967</v>
      </c>
      <c r="DX55" s="357">
        <f t="shared" si="256"/>
        <v>0.73509528409876823</v>
      </c>
      <c r="DY55" s="357">
        <f t="shared" si="256"/>
        <v>0.7354681918444631</v>
      </c>
      <c r="DZ55" s="357">
        <f t="shared" si="256"/>
        <v>0.73564858333819438</v>
      </c>
      <c r="EA55" s="357">
        <f t="shared" si="256"/>
        <v>0.73817869995984287</v>
      </c>
      <c r="EB55" s="357">
        <f t="shared" si="256"/>
        <v>0.74251105109422222</v>
      </c>
      <c r="EC55" s="357">
        <f t="shared" si="256"/>
        <v>0.74464659280573364</v>
      </c>
      <c r="ED55" s="357">
        <f t="shared" si="256"/>
        <v>0.74488037860118206</v>
      </c>
      <c r="EE55" s="357">
        <f t="shared" si="256"/>
        <v>0.74255450418563573</v>
      </c>
      <c r="EF55" s="357">
        <f t="shared" si="256"/>
        <v>0.74662728745997053</v>
      </c>
      <c r="EG55" s="357">
        <f t="shared" si="256"/>
        <v>0.74792101761923857</v>
      </c>
      <c r="EH55" s="357">
        <f t="shared" si="256"/>
        <v>0.75122815173571844</v>
      </c>
      <c r="EI55" s="357">
        <f t="shared" si="256"/>
        <v>0.75321692007118224</v>
      </c>
      <c r="EJ55" s="357">
        <f t="shared" si="256"/>
        <v>0.75203504971721347</v>
      </c>
      <c r="EK55" s="357">
        <f t="shared" si="256"/>
        <v>0.75047821881808141</v>
      </c>
      <c r="EL55" s="357">
        <f t="shared" si="256"/>
        <v>0.74995213810393779</v>
      </c>
      <c r="EM55" s="357">
        <f t="shared" si="256"/>
        <v>0.75193710141684555</v>
      </c>
      <c r="EN55" s="357">
        <f t="shared" si="256"/>
        <v>0.75478413962033064</v>
      </c>
      <c r="EO55" s="357">
        <f t="shared" si="256"/>
        <v>0.75626449224304693</v>
      </c>
      <c r="EP55" s="357">
        <f t="shared" si="256"/>
        <v>0.75131517180149199</v>
      </c>
      <c r="EQ55" s="357">
        <f t="shared" si="256"/>
        <v>0.74932833334514803</v>
      </c>
      <c r="ER55" s="357">
        <f t="shared" si="256"/>
        <v>0.75301472841480099</v>
      </c>
      <c r="ES55" s="357">
        <f t="shared" si="256"/>
        <v>0.75602062214586796</v>
      </c>
      <c r="ET55" s="357">
        <f t="shared" si="256"/>
        <v>0.75966310312411189</v>
      </c>
      <c r="EU55" s="357">
        <f t="shared" si="256"/>
        <v>0.76126316238547909</v>
      </c>
      <c r="EV55" s="357">
        <f t="shared" si="256"/>
        <v>0.76012221761181853</v>
      </c>
      <c r="EW55" s="357">
        <f t="shared" si="256"/>
        <v>0.75787401766998008</v>
      </c>
      <c r="EX55" s="357">
        <f t="shared" si="256"/>
        <v>0.75796090017885842</v>
      </c>
      <c r="EY55" s="354">
        <f t="shared" si="256"/>
        <v>0.75947302456296828</v>
      </c>
      <c r="EZ55" s="354">
        <f t="shared" si="256"/>
        <v>0.76611471412328935</v>
      </c>
      <c r="FA55" s="354">
        <f t="shared" si="256"/>
        <v>0.76826560875091476</v>
      </c>
      <c r="FB55" s="354">
        <f t="shared" si="256"/>
        <v>0.76633392554383972</v>
      </c>
      <c r="FC55" s="354">
        <f t="shared" si="256"/>
        <v>0.76385999669803528</v>
      </c>
      <c r="FD55" s="354">
        <f t="shared" si="256"/>
        <v>0.76685263872652309</v>
      </c>
      <c r="FE55" s="354">
        <f t="shared" si="256"/>
        <v>0.77004132321182595</v>
      </c>
      <c r="FF55" s="354">
        <f t="shared" si="256"/>
        <v>0.77879978582877596</v>
      </c>
      <c r="FG55" s="354">
        <f t="shared" si="256"/>
        <v>0.78260895320802559</v>
      </c>
      <c r="FH55" s="354">
        <f t="shared" si="256"/>
        <v>0.78175596539358116</v>
      </c>
      <c r="FI55" s="354">
        <f t="shared" si="256"/>
        <v>0.7808765257007465</v>
      </c>
      <c r="FJ55" s="354">
        <f t="shared" si="256"/>
        <v>0.78074059907020543</v>
      </c>
      <c r="FK55" s="354">
        <f t="shared" si="256"/>
        <v>0.78381769794388556</v>
      </c>
      <c r="FL55" s="354">
        <f t="shared" ref="FL55:FQ55" si="257">SUM(FL52/FL53)</f>
        <v>0.78813928399957267</v>
      </c>
      <c r="FM55" s="354">
        <f t="shared" si="257"/>
        <v>0.79321455391501039</v>
      </c>
      <c r="FN55" s="354">
        <f t="shared" si="257"/>
        <v>0.79125387505357037</v>
      </c>
      <c r="FO55" s="354">
        <f t="shared" si="257"/>
        <v>0.78930319948601813</v>
      </c>
      <c r="FP55" s="354">
        <f t="shared" si="257"/>
        <v>0.79136524586800372</v>
      </c>
      <c r="FQ55" s="354">
        <f t="shared" si="257"/>
        <v>0.79888716738659526</v>
      </c>
      <c r="FR55" s="354">
        <f t="shared" ref="FR55:FT55" si="258">SUM(FR52/FR53)</f>
        <v>0.8024237844459684</v>
      </c>
      <c r="FS55" s="354">
        <f t="shared" si="258"/>
        <v>0.80413963420597923</v>
      </c>
      <c r="FT55" s="354">
        <f t="shared" si="258"/>
        <v>0.80274810509895744</v>
      </c>
    </row>
    <row r="56" spans="2:176" x14ac:dyDescent="0.25">
      <c r="B56" s="3"/>
      <c r="C56" s="56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42"/>
      <c r="P56" s="18"/>
      <c r="Q56" s="18"/>
      <c r="R56" s="18"/>
      <c r="S56" s="18"/>
      <c r="T56" s="18"/>
      <c r="Z56" s="20"/>
      <c r="AM56" s="74"/>
      <c r="AY56" s="74"/>
      <c r="BJ56" s="20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20"/>
      <c r="CI56" s="7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  <c r="EE56" s="302"/>
      <c r="EF56" s="302"/>
      <c r="EG56" s="302"/>
      <c r="EH56" s="302"/>
      <c r="EI56" s="302"/>
      <c r="EJ56" s="302"/>
      <c r="EK56" s="302"/>
      <c r="EL56" s="302"/>
      <c r="EM56" s="302"/>
      <c r="EN56" s="302"/>
      <c r="EO56" s="302"/>
      <c r="EP56" s="302"/>
    </row>
    <row r="57" spans="2:176" x14ac:dyDescent="0.25">
      <c r="B57" s="3" t="s">
        <v>21</v>
      </c>
      <c r="C57" s="32">
        <f t="shared" ref="C57:AW57" si="259">SUM(1000*(C53))/C10</f>
        <v>863.04966647512924</v>
      </c>
      <c r="D57" s="32">
        <f t="shared" si="259"/>
        <v>852.52633129362459</v>
      </c>
      <c r="E57" s="32">
        <f t="shared" si="259"/>
        <v>919.53607896171422</v>
      </c>
      <c r="F57" s="32">
        <f t="shared" si="259"/>
        <v>883.41565926073042</v>
      </c>
      <c r="G57" s="32">
        <f t="shared" si="259"/>
        <v>1192.4953474284584</v>
      </c>
      <c r="H57" s="32">
        <f t="shared" si="259"/>
        <v>1346.0722244288258</v>
      </c>
      <c r="I57" s="32">
        <f t="shared" si="259"/>
        <v>1469.9174943974924</v>
      </c>
      <c r="J57" s="32">
        <f t="shared" si="259"/>
        <v>1477.575117648051</v>
      </c>
      <c r="K57" s="32">
        <f t="shared" si="259"/>
        <v>1513.3666528863052</v>
      </c>
      <c r="L57" s="32">
        <f t="shared" si="259"/>
        <v>1197.8199680530367</v>
      </c>
      <c r="M57" s="32">
        <f t="shared" si="259"/>
        <v>870.89414222783341</v>
      </c>
      <c r="N57" s="32">
        <f t="shared" si="259"/>
        <v>928.34556898048902</v>
      </c>
      <c r="O57" s="32">
        <f t="shared" si="259"/>
        <v>1024.5019373292635</v>
      </c>
      <c r="P57" s="32">
        <f t="shared" si="259"/>
        <v>968.41824532424857</v>
      </c>
      <c r="Q57" s="32">
        <f t="shared" si="259"/>
        <v>810.35274102542132</v>
      </c>
      <c r="R57" s="32">
        <f t="shared" si="259"/>
        <v>766.93064214618005</v>
      </c>
      <c r="S57" s="32">
        <f t="shared" si="259"/>
        <v>1104.9198532331382</v>
      </c>
      <c r="T57" s="32">
        <f t="shared" si="259"/>
        <v>1422.6220538374348</v>
      </c>
      <c r="U57" s="32">
        <f t="shared" si="259"/>
        <v>1471.1254364759602</v>
      </c>
      <c r="V57" s="32">
        <f t="shared" si="259"/>
        <v>1475.075524994807</v>
      </c>
      <c r="W57" s="32">
        <f t="shared" si="259"/>
        <v>1381.5667901859319</v>
      </c>
      <c r="X57" s="32">
        <f t="shared" si="259"/>
        <v>1041.6099700763768</v>
      </c>
      <c r="Y57" s="32">
        <f t="shared" si="259"/>
        <v>877.82213738337418</v>
      </c>
      <c r="Z57" s="54">
        <f t="shared" si="259"/>
        <v>920.5315943511871</v>
      </c>
      <c r="AA57" s="32">
        <f t="shared" si="259"/>
        <v>1010.3344411297919</v>
      </c>
      <c r="AB57" s="32">
        <f t="shared" si="259"/>
        <v>873.4508710173302</v>
      </c>
      <c r="AC57" s="32">
        <f t="shared" si="259"/>
        <v>781.68942946363347</v>
      </c>
      <c r="AD57" s="32">
        <f t="shared" si="259"/>
        <v>806.87176677249363</v>
      </c>
      <c r="AE57" s="32">
        <f t="shared" si="259"/>
        <v>900.28623524258694</v>
      </c>
      <c r="AF57" s="32">
        <f t="shared" si="259"/>
        <v>1322.4389129218573</v>
      </c>
      <c r="AG57" s="32">
        <f t="shared" si="259"/>
        <v>1453.453342658599</v>
      </c>
      <c r="AH57" s="32">
        <f t="shared" si="259"/>
        <v>1465.2422035800682</v>
      </c>
      <c r="AI57" s="32">
        <f t="shared" si="259"/>
        <v>1404.8814778486187</v>
      </c>
      <c r="AJ57" s="32">
        <f t="shared" si="259"/>
        <v>1185.5249112934025</v>
      </c>
      <c r="AK57" s="32">
        <f t="shared" si="259"/>
        <v>1007.3937153419594</v>
      </c>
      <c r="AL57" s="32">
        <f t="shared" si="259"/>
        <v>944.68991106356805</v>
      </c>
      <c r="AM57" s="85">
        <f t="shared" si="259"/>
        <v>1083.7346051659233</v>
      </c>
      <c r="AN57" s="32">
        <f t="shared" si="259"/>
        <v>895.01989945538332</v>
      </c>
      <c r="AO57" s="32">
        <f t="shared" si="259"/>
        <v>776.98108936601636</v>
      </c>
      <c r="AP57" s="32">
        <f t="shared" si="259"/>
        <v>826.72948202380792</v>
      </c>
      <c r="AQ57" s="32">
        <f t="shared" si="259"/>
        <v>921.85684020375504</v>
      </c>
      <c r="AR57" s="32">
        <f t="shared" si="259"/>
        <v>1367.6357374228733</v>
      </c>
      <c r="AS57" s="32">
        <f t="shared" si="259"/>
        <v>1545.1791127508145</v>
      </c>
      <c r="AT57" s="32">
        <f t="shared" si="259"/>
        <v>1499.1707255167103</v>
      </c>
      <c r="AU57" s="32">
        <f t="shared" si="259"/>
        <v>1519.0930005337862</v>
      </c>
      <c r="AV57" s="32">
        <f t="shared" si="259"/>
        <v>1251.4266389161496</v>
      </c>
      <c r="AW57" s="32">
        <f t="shared" si="259"/>
        <v>868.89037106056082</v>
      </c>
      <c r="AX57" s="32">
        <f>SUM(1000*(AX53))/AX10</f>
        <v>969.02097322390784</v>
      </c>
      <c r="AY57" s="85">
        <f t="shared" ref="AY57:BI57" si="260">SUM(1000*(AY53))/AY10</f>
        <v>974.84576269854369</v>
      </c>
      <c r="AZ57" s="32">
        <f t="shared" si="260"/>
        <v>780.23134933948586</v>
      </c>
      <c r="BA57" s="32">
        <f t="shared" si="260"/>
        <v>818.07456888519368</v>
      </c>
      <c r="BB57" s="32">
        <f t="shared" si="260"/>
        <v>865.88095919626858</v>
      </c>
      <c r="BC57" s="32">
        <f t="shared" si="260"/>
        <v>1118.693160256016</v>
      </c>
      <c r="BD57" s="32">
        <f t="shared" si="260"/>
        <v>1306.4419340018646</v>
      </c>
      <c r="BE57" s="32">
        <f t="shared" si="260"/>
        <v>1436.4144865174515</v>
      </c>
      <c r="BF57" s="32">
        <f t="shared" si="260"/>
        <v>1436.5787340282809</v>
      </c>
      <c r="BG57" s="32">
        <f t="shared" si="260"/>
        <v>1417.8894587266848</v>
      </c>
      <c r="BH57" s="32">
        <f t="shared" si="260"/>
        <v>1110.3250847659272</v>
      </c>
      <c r="BI57" s="32">
        <f t="shared" si="260"/>
        <v>831.95795135870901</v>
      </c>
      <c r="BJ57" s="54">
        <f>SUM(1000*(BJ53))/BJ10</f>
        <v>924.81717990051266</v>
      </c>
      <c r="BK57" s="32">
        <f t="shared" ref="BK57:BU57" si="261">SUM(1000*(BK53))/BK10</f>
        <v>1097.4748180223805</v>
      </c>
      <c r="BL57" s="32">
        <f t="shared" si="261"/>
        <v>1102.2416300871075</v>
      </c>
      <c r="BM57" s="32">
        <f t="shared" si="261"/>
        <v>793.46722844784347</v>
      </c>
      <c r="BN57" s="32">
        <f t="shared" si="261"/>
        <v>801.31365812848219</v>
      </c>
      <c r="BO57" s="32">
        <f t="shared" si="261"/>
        <v>922.61966359075041</v>
      </c>
      <c r="BP57" s="32">
        <f t="shared" si="261"/>
        <v>1197.4334042088356</v>
      </c>
      <c r="BQ57" s="32">
        <f t="shared" si="261"/>
        <v>1329.5233380785326</v>
      </c>
      <c r="BR57" s="32">
        <f t="shared" si="261"/>
        <v>1306.8388977138534</v>
      </c>
      <c r="BS57" s="32">
        <f t="shared" si="261"/>
        <v>1309.8653328595644</v>
      </c>
      <c r="BT57" s="32">
        <f t="shared" si="261"/>
        <v>1178.4026432721887</v>
      </c>
      <c r="BU57" s="32">
        <f t="shared" si="261"/>
        <v>875.75671140430461</v>
      </c>
      <c r="BV57" s="54">
        <f>SUM(1000*(BV53))/BV10</f>
        <v>911.97631864830578</v>
      </c>
      <c r="BW57" s="32">
        <f t="shared" ref="BW57:CB57" si="262">SUM(1000*(BW53))/BW10</f>
        <v>1004.2356716824609</v>
      </c>
      <c r="BX57" s="32">
        <f t="shared" si="262"/>
        <v>883.83689215051004</v>
      </c>
      <c r="BY57" s="32">
        <f t="shared" si="262"/>
        <v>739.41321087020549</v>
      </c>
      <c r="BZ57" s="32">
        <f t="shared" si="262"/>
        <v>830.45464165579688</v>
      </c>
      <c r="CA57" s="32">
        <f t="shared" si="262"/>
        <v>936.70895550316231</v>
      </c>
      <c r="CB57" s="32">
        <f t="shared" si="262"/>
        <v>1333.8042079430161</v>
      </c>
      <c r="CC57" s="32">
        <f t="shared" ref="CC57:CK57" si="263">SUM(1000*(CC53))/CC10</f>
        <v>1378.8518715713781</v>
      </c>
      <c r="CD57" s="32">
        <f t="shared" si="263"/>
        <v>1329.0864182790965</v>
      </c>
      <c r="CE57" s="32">
        <f t="shared" si="263"/>
        <v>1269.3898131131107</v>
      </c>
      <c r="CF57" s="32">
        <f t="shared" si="263"/>
        <v>1009.3128788501641</v>
      </c>
      <c r="CG57" s="32">
        <f t="shared" si="263"/>
        <v>773.90859171121963</v>
      </c>
      <c r="CH57" s="54">
        <f t="shared" si="263"/>
        <v>839.13876005339898</v>
      </c>
      <c r="CI57" s="71">
        <f t="shared" si="263"/>
        <v>1011.2723924655184</v>
      </c>
      <c r="CJ57" s="69">
        <f t="shared" si="263"/>
        <v>768.20739695291866</v>
      </c>
      <c r="CK57" s="69">
        <f t="shared" si="263"/>
        <v>736.53694909555918</v>
      </c>
      <c r="CL57" s="69">
        <f t="shared" ref="CL57:DC57" si="264">SUM(1000*(CL53))/CL10</f>
        <v>803.96853267541292</v>
      </c>
      <c r="CM57" s="69">
        <f t="shared" si="264"/>
        <v>1033.4554155166804</v>
      </c>
      <c r="CN57" s="69">
        <f t="shared" si="264"/>
        <v>1242.3890670623714</v>
      </c>
      <c r="CO57" s="69">
        <f t="shared" si="264"/>
        <v>1532.7482239531832</v>
      </c>
      <c r="CP57" s="69">
        <f t="shared" si="264"/>
        <v>1550.3815425968789</v>
      </c>
      <c r="CQ57" s="69">
        <f t="shared" si="264"/>
        <v>1402.2472077883294</v>
      </c>
      <c r="CR57" s="69">
        <f t="shared" si="264"/>
        <v>1124.977732802613</v>
      </c>
      <c r="CS57" s="69">
        <f t="shared" si="264"/>
        <v>821.52013733710305</v>
      </c>
      <c r="CT57" s="89">
        <f t="shared" si="264"/>
        <v>933.31901207342298</v>
      </c>
      <c r="CU57" s="69">
        <f t="shared" si="264"/>
        <v>1296.9214089325885</v>
      </c>
      <c r="CV57" s="69">
        <f t="shared" si="264"/>
        <v>955.99770880599181</v>
      </c>
      <c r="CW57" s="69">
        <f t="shared" si="264"/>
        <v>858.14666394443066</v>
      </c>
      <c r="CX57" s="69">
        <f t="shared" si="264"/>
        <v>739.52803722305077</v>
      </c>
      <c r="CY57" s="69">
        <f t="shared" si="264"/>
        <v>913.77494712355087</v>
      </c>
      <c r="CZ57" s="69">
        <f t="shared" si="264"/>
        <v>1271.4845577304905</v>
      </c>
      <c r="DA57" s="69">
        <f t="shared" si="264"/>
        <v>1443.6053831900033</v>
      </c>
      <c r="DB57" s="69">
        <f t="shared" si="264"/>
        <v>1410.6591786940674</v>
      </c>
      <c r="DC57" s="69">
        <f t="shared" si="264"/>
        <v>1440.7577461408196</v>
      </c>
      <c r="DD57" s="69">
        <f t="shared" ref="DD57:DI57" si="265">SUM(1000*(DD53))/DD10</f>
        <v>1066.6477987519186</v>
      </c>
      <c r="DE57" s="69">
        <f t="shared" si="265"/>
        <v>851.17658084413927</v>
      </c>
      <c r="DF57" s="89">
        <f t="shared" si="265"/>
        <v>871.54751511868756</v>
      </c>
      <c r="DG57" s="69">
        <f t="shared" si="265"/>
        <v>1006.3520428091556</v>
      </c>
      <c r="DH57" s="69">
        <f t="shared" si="265"/>
        <v>1125.4778880510501</v>
      </c>
      <c r="DI57" s="69">
        <f t="shared" si="265"/>
        <v>803.38123164986655</v>
      </c>
      <c r="DJ57" s="69">
        <f>SUM(1000*(DJ53))/DJ10</f>
        <v>885.47823098534241</v>
      </c>
      <c r="DK57" s="69">
        <f>SUM(1000*(DK53))/DK10</f>
        <v>1090.1539803523858</v>
      </c>
      <c r="DL57" s="69">
        <f t="shared" ref="DL57:FQ57" si="266">SUM(1000*(DL53))/DL10</f>
        <v>1383.5952827004344</v>
      </c>
      <c r="DM57" s="69">
        <f t="shared" si="266"/>
        <v>1503.2492070524427</v>
      </c>
      <c r="DN57" s="69">
        <f t="shared" si="266"/>
        <v>1566.0123440284551</v>
      </c>
      <c r="DO57" s="69">
        <f t="shared" si="266"/>
        <v>1540.0806777178659</v>
      </c>
      <c r="DP57" s="69">
        <f t="shared" si="266"/>
        <v>1222.240563354098</v>
      </c>
      <c r="DQ57" s="69">
        <f t="shared" si="266"/>
        <v>872.51806056705971</v>
      </c>
      <c r="DR57" s="69">
        <f t="shared" si="266"/>
        <v>933.97903013081975</v>
      </c>
      <c r="DS57" s="69">
        <f t="shared" si="266"/>
        <v>1029.3826540646592</v>
      </c>
      <c r="DT57" s="69">
        <f t="shared" si="266"/>
        <v>801.52662406652723</v>
      </c>
      <c r="DU57" s="69">
        <f t="shared" si="266"/>
        <v>792.27210520268704</v>
      </c>
      <c r="DV57" s="359">
        <f t="shared" si="266"/>
        <v>938.46956693645916</v>
      </c>
      <c r="DW57" s="359">
        <f t="shared" si="266"/>
        <v>1049.4185289085367</v>
      </c>
      <c r="DX57" s="359">
        <f t="shared" si="266"/>
        <v>1345.9240365304836</v>
      </c>
      <c r="DY57" s="359">
        <f t="shared" si="266"/>
        <v>1477.4151219547366</v>
      </c>
      <c r="DZ57" s="359">
        <f t="shared" si="266"/>
        <v>1508.4935735614442</v>
      </c>
      <c r="EA57" s="359">
        <f t="shared" si="266"/>
        <v>1515.0393650720248</v>
      </c>
      <c r="EB57" s="359">
        <f t="shared" si="266"/>
        <v>1164.5099293477635</v>
      </c>
      <c r="EC57" s="359">
        <f t="shared" si="266"/>
        <v>952.3175931093607</v>
      </c>
      <c r="ED57" s="359">
        <f t="shared" si="266"/>
        <v>859.23853426566973</v>
      </c>
      <c r="EE57" s="359">
        <f t="shared" si="266"/>
        <v>1105.9644032005517</v>
      </c>
      <c r="EF57" s="359">
        <f t="shared" si="266"/>
        <v>815.43231913766499</v>
      </c>
      <c r="EG57" s="359">
        <f t="shared" si="266"/>
        <v>722.6637221591966</v>
      </c>
      <c r="EH57" s="359">
        <f t="shared" si="266"/>
        <v>827.80031447669785</v>
      </c>
      <c r="EI57" s="359">
        <f t="shared" si="266"/>
        <v>873.61438484572693</v>
      </c>
      <c r="EJ57" s="359">
        <f t="shared" si="266"/>
        <v>1289.1732413405159</v>
      </c>
      <c r="EK57" s="359">
        <f t="shared" si="266"/>
        <v>1460.3271073370884</v>
      </c>
      <c r="EL57" s="359">
        <f t="shared" si="266"/>
        <v>1482.7517342413346</v>
      </c>
      <c r="EM57" s="359">
        <f t="shared" si="266"/>
        <v>1403.8747668942749</v>
      </c>
      <c r="EN57" s="359">
        <f t="shared" si="266"/>
        <v>1158.6049844869538</v>
      </c>
      <c r="EO57" s="359">
        <f t="shared" si="266"/>
        <v>893.11718308650541</v>
      </c>
      <c r="EP57" s="359">
        <f t="shared" si="266"/>
        <v>1129.222910925803</v>
      </c>
      <c r="EQ57" s="359">
        <f t="shared" si="266"/>
        <v>1261.1031646701233</v>
      </c>
      <c r="ER57" s="359">
        <f t="shared" si="266"/>
        <v>1158.5537407993345</v>
      </c>
      <c r="ES57" s="359">
        <f t="shared" si="266"/>
        <v>920.24702447788013</v>
      </c>
      <c r="ET57" s="359">
        <f t="shared" si="266"/>
        <v>779.84894380004664</v>
      </c>
      <c r="EU57" s="359">
        <f t="shared" si="266"/>
        <v>930.60197230828123</v>
      </c>
      <c r="EV57" s="359">
        <f t="shared" si="266"/>
        <v>1240.931315879435</v>
      </c>
      <c r="EW57" s="359">
        <f t="shared" si="266"/>
        <v>1449.1090061474686</v>
      </c>
      <c r="EX57" s="359">
        <f t="shared" si="266"/>
        <v>1496.9455451276997</v>
      </c>
      <c r="EY57" s="359">
        <f t="shared" si="266"/>
        <v>1484.1694281308442</v>
      </c>
      <c r="EZ57" s="359">
        <f t="shared" si="266"/>
        <v>1147.6930361284831</v>
      </c>
      <c r="FA57" s="359">
        <f t="shared" si="266"/>
        <v>915.51312177879583</v>
      </c>
      <c r="FB57" s="359">
        <f t="shared" si="266"/>
        <v>905.03937853410685</v>
      </c>
      <c r="FC57" s="359">
        <f t="shared" si="266"/>
        <v>1279.8353561648466</v>
      </c>
      <c r="FD57" s="359">
        <f t="shared" si="266"/>
        <v>1004.1416017286197</v>
      </c>
      <c r="FE57" s="359">
        <f t="shared" si="266"/>
        <v>973.29130466041784</v>
      </c>
      <c r="FF57" s="359">
        <f t="shared" si="266"/>
        <v>818.93078483452689</v>
      </c>
      <c r="FG57" s="359">
        <f t="shared" si="266"/>
        <v>943.63305798521196</v>
      </c>
      <c r="FH57" s="359">
        <f t="shared" si="266"/>
        <v>1232.5943424544885</v>
      </c>
      <c r="FI57" s="359">
        <f t="shared" si="266"/>
        <v>1397.5961685376715</v>
      </c>
      <c r="FJ57" s="359">
        <f t="shared" si="266"/>
        <v>1511.307513792193</v>
      </c>
      <c r="FK57" s="359">
        <f t="shared" si="266"/>
        <v>1452.8091906016948</v>
      </c>
      <c r="FL57" s="359">
        <f t="shared" si="266"/>
        <v>1189.566259239037</v>
      </c>
      <c r="FM57" s="359">
        <f t="shared" si="266"/>
        <v>926.96247543025822</v>
      </c>
      <c r="FN57" s="359">
        <f t="shared" si="266"/>
        <v>898.22279042976163</v>
      </c>
      <c r="FO57" s="359">
        <f t="shared" si="266"/>
        <v>1089.6515345313037</v>
      </c>
      <c r="FP57" s="359">
        <f t="shared" si="266"/>
        <v>865.57010849959761</v>
      </c>
      <c r="FQ57" s="359">
        <f t="shared" si="266"/>
        <v>761.77971167614305</v>
      </c>
      <c r="FR57" s="359">
        <f t="shared" ref="FR57:FT57" si="267">SUM(1000*(FR53))/FR10</f>
        <v>832.99272097053722</v>
      </c>
      <c r="FS57" s="359">
        <f t="shared" si="267"/>
        <v>1016.2890193041238</v>
      </c>
      <c r="FT57" s="359">
        <f t="shared" si="267"/>
        <v>1284.7046603420815</v>
      </c>
    </row>
    <row r="58" spans="2:176" x14ac:dyDescent="0.25">
      <c r="B58" s="3"/>
      <c r="C58" s="56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20"/>
      <c r="O58" s="42"/>
      <c r="P58" s="18"/>
      <c r="Q58" s="18"/>
      <c r="R58" s="18"/>
      <c r="S58" s="18"/>
      <c r="T58" s="18"/>
      <c r="Z58" s="20"/>
      <c r="AM58" s="74"/>
      <c r="AY58" s="74"/>
      <c r="BJ58" s="20"/>
      <c r="BV58" s="20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20"/>
      <c r="CI58" s="254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  <c r="EE58" s="302"/>
      <c r="EF58" s="302"/>
      <c r="EG58" s="302"/>
      <c r="EH58" s="302"/>
      <c r="EI58" s="302"/>
      <c r="EJ58" s="302"/>
      <c r="EK58" s="302"/>
      <c r="EL58" s="302"/>
      <c r="EM58" s="302"/>
      <c r="EN58" s="302"/>
      <c r="EO58" s="302"/>
      <c r="EP58" s="302"/>
    </row>
    <row r="59" spans="2:176" x14ac:dyDescent="0.25">
      <c r="B59" s="55" t="s">
        <v>32</v>
      </c>
      <c r="C59" s="56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20"/>
      <c r="O59" s="42"/>
      <c r="P59" s="18"/>
      <c r="Q59" s="18"/>
      <c r="R59" s="18"/>
      <c r="S59" s="18"/>
      <c r="T59" s="18"/>
      <c r="Z59" s="20"/>
      <c r="AM59" s="74"/>
      <c r="AY59" s="74"/>
      <c r="BJ59" s="20"/>
      <c r="BV59" s="20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20"/>
      <c r="CI59" s="128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02"/>
      <c r="DW59" s="302"/>
      <c r="DX59" s="302"/>
      <c r="EE59" s="302"/>
      <c r="EF59" s="302"/>
      <c r="EG59" s="302"/>
      <c r="EH59" s="302"/>
      <c r="EI59" s="302"/>
      <c r="EJ59" s="302"/>
      <c r="EK59" s="302"/>
      <c r="EL59" s="302"/>
      <c r="EM59" s="302"/>
      <c r="EN59" s="302"/>
      <c r="EO59" s="302"/>
      <c r="EP59" s="302"/>
    </row>
    <row r="60" spans="2:176" x14ac:dyDescent="0.25">
      <c r="B60" s="3"/>
      <c r="C60" s="56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42"/>
      <c r="P60" s="18"/>
      <c r="Q60" s="18"/>
      <c r="R60" s="18"/>
      <c r="S60" s="18"/>
      <c r="T60" s="18"/>
      <c r="Z60" s="20"/>
      <c r="AM60" s="74"/>
      <c r="AY60" s="74"/>
      <c r="BJ60" s="20"/>
      <c r="BV60" s="20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20"/>
      <c r="CI60" s="7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02"/>
      <c r="DW60" s="302"/>
      <c r="DX60" s="302"/>
      <c r="EE60" s="302"/>
      <c r="EF60" s="302"/>
      <c r="EG60" s="302"/>
      <c r="EH60" s="302"/>
      <c r="EI60" s="302"/>
      <c r="EJ60" s="302"/>
      <c r="EK60" s="302"/>
      <c r="EL60" s="302"/>
      <c r="EM60" s="302"/>
      <c r="EN60" s="302"/>
      <c r="EO60" s="302"/>
      <c r="EP60" s="302"/>
    </row>
    <row r="61" spans="2:176" s="68" customFormat="1" x14ac:dyDescent="0.25">
      <c r="B61" s="87" t="s">
        <v>1</v>
      </c>
      <c r="C61" s="103">
        <f>D61</f>
        <v>297159.61900000001</v>
      </c>
      <c r="D61" s="69">
        <v>297159.61900000001</v>
      </c>
      <c r="E61" s="69">
        <v>326385.36</v>
      </c>
      <c r="F61" s="69">
        <v>353972.67200000002</v>
      </c>
      <c r="G61" s="69">
        <v>363442.696</v>
      </c>
      <c r="H61" s="69">
        <v>359374.02299999999</v>
      </c>
      <c r="I61" s="69">
        <v>346913.86200000002</v>
      </c>
      <c r="J61" s="69">
        <v>375660.56700000004</v>
      </c>
      <c r="K61" s="69">
        <v>349870.95299999998</v>
      </c>
      <c r="L61" s="69">
        <v>308568.06</v>
      </c>
      <c r="M61" s="69">
        <v>235309.94500000001</v>
      </c>
      <c r="N61" s="89">
        <v>215556.34399999998</v>
      </c>
      <c r="O61" s="71">
        <f>22671+213321</f>
        <v>235992</v>
      </c>
      <c r="P61" s="69">
        <f>18996+170154</f>
        <v>189150</v>
      </c>
      <c r="Q61" s="69">
        <f>20040+182815</f>
        <v>202855</v>
      </c>
      <c r="R61" s="69">
        <f>19280+199445</f>
        <v>218725</v>
      </c>
      <c r="S61" s="69">
        <f>23794+238485</f>
        <v>262279</v>
      </c>
      <c r="T61" s="69">
        <f>29323+259264</f>
        <v>288587</v>
      </c>
      <c r="U61" s="68">
        <f>27598+262695</f>
        <v>290293</v>
      </c>
      <c r="V61" s="68">
        <f>26404+238307</f>
        <v>264711</v>
      </c>
      <c r="W61" s="68">
        <f>26658+228018</f>
        <v>254676</v>
      </c>
      <c r="X61" s="68">
        <f>21937+199285</f>
        <v>221222</v>
      </c>
      <c r="Y61" s="68">
        <f>16795+137390</f>
        <v>154185</v>
      </c>
      <c r="Z61" s="89">
        <f>20230+150587</f>
        <v>170817</v>
      </c>
      <c r="AA61" s="68">
        <f>20452+143902</f>
        <v>164354</v>
      </c>
      <c r="AB61" s="68">
        <f>17811+121976</f>
        <v>139787</v>
      </c>
      <c r="AC61" s="68">
        <f>20386+143060</f>
        <v>163446</v>
      </c>
      <c r="AD61" s="68">
        <f>19862+130724</f>
        <v>150586</v>
      </c>
      <c r="AE61" s="68">
        <f>19277+126811</f>
        <v>146088</v>
      </c>
      <c r="AF61" s="68">
        <f>24837+167226</f>
        <v>192063</v>
      </c>
      <c r="AG61" s="68">
        <f>24801+156485</f>
        <v>181286</v>
      </c>
      <c r="AH61" s="68">
        <f>25495+155089</f>
        <v>180584</v>
      </c>
      <c r="AI61" s="68">
        <f>24045+141083</f>
        <v>165128</v>
      </c>
      <c r="AJ61" s="68">
        <f>21171+117293</f>
        <v>138464</v>
      </c>
      <c r="AK61" s="68">
        <f>18144+99691</f>
        <v>117835</v>
      </c>
      <c r="AL61" s="68">
        <f>17132+86136</f>
        <v>103268</v>
      </c>
      <c r="AM61" s="88">
        <f>18977+89636</f>
        <v>108613</v>
      </c>
      <c r="AN61" s="68">
        <f>15181+70175</f>
        <v>85356</v>
      </c>
      <c r="AO61" s="68">
        <f>15785+78867</f>
        <v>94652</v>
      </c>
      <c r="AP61" s="68">
        <f>15775+76948</f>
        <v>92723</v>
      </c>
      <c r="AQ61" s="68">
        <f>16517+83486</f>
        <v>100003</v>
      </c>
      <c r="AR61" s="68">
        <f>20638+108078</f>
        <v>128716</v>
      </c>
      <c r="AS61" s="68">
        <f>20996+102536</f>
        <v>123532</v>
      </c>
      <c r="AT61" s="68">
        <f>23464+114221</f>
        <v>137685</v>
      </c>
      <c r="AU61" s="68">
        <f>22252+107031</f>
        <v>129283</v>
      </c>
      <c r="AV61" s="68">
        <f>19532+90698</f>
        <v>110230</v>
      </c>
      <c r="AW61" s="68">
        <f>15257+69921</f>
        <v>85178</v>
      </c>
      <c r="AX61" s="68">
        <f>15681+68446</f>
        <v>84127</v>
      </c>
      <c r="AY61" s="88">
        <f>16667+71184</f>
        <v>87851</v>
      </c>
      <c r="AZ61" s="68">
        <f>14112+61679</f>
        <v>75791</v>
      </c>
      <c r="BA61" s="68">
        <f>16381+76900</f>
        <v>93281</v>
      </c>
      <c r="BB61" s="68">
        <f>14164+64634</f>
        <v>78798</v>
      </c>
      <c r="BC61" s="68">
        <f>17582+88631</f>
        <v>106213</v>
      </c>
      <c r="BD61" s="68">
        <f>18928+92382</f>
        <v>111310</v>
      </c>
      <c r="BE61" s="68">
        <f>17967+88226</f>
        <v>106193</v>
      </c>
      <c r="BF61" s="68">
        <f>20194+92381</f>
        <v>112575</v>
      </c>
      <c r="BG61" s="68">
        <f>18137+82342</f>
        <v>100479</v>
      </c>
      <c r="BH61" s="68">
        <f>16791+73437</f>
        <v>90228</v>
      </c>
      <c r="BI61" s="68">
        <f>12890+59040</f>
        <v>71930</v>
      </c>
      <c r="BJ61" s="89">
        <f>12440+53216</f>
        <v>65656</v>
      </c>
      <c r="BK61" s="68">
        <f>14399+61159</f>
        <v>75558</v>
      </c>
      <c r="BL61" s="68">
        <f>11359+51743</f>
        <v>63102</v>
      </c>
      <c r="BM61" s="68">
        <f>10594+57018</f>
        <v>67612</v>
      </c>
      <c r="BN61" s="68">
        <f>9986+50885</f>
        <v>60871</v>
      </c>
      <c r="BO61" s="68">
        <f>11733+64610</f>
        <v>76343</v>
      </c>
      <c r="BP61" s="68">
        <f>13297+64898</f>
        <v>78195</v>
      </c>
      <c r="BQ61" s="16">
        <f>13575+69217</f>
        <v>82792</v>
      </c>
      <c r="BR61" s="16">
        <f>13884+70612</f>
        <v>84496</v>
      </c>
      <c r="BS61" s="16">
        <f>11793+59556</f>
        <v>71349</v>
      </c>
      <c r="BT61" s="68">
        <f>11800+58916</f>
        <v>70716</v>
      </c>
      <c r="BU61" s="68">
        <f>9929+48120</f>
        <v>58049</v>
      </c>
      <c r="BV61" s="89">
        <f>10233+45532</f>
        <v>55765</v>
      </c>
      <c r="BW61" s="69">
        <f>10315+45429</f>
        <v>55744</v>
      </c>
      <c r="BX61" s="69">
        <f>8815+40714</f>
        <v>49529</v>
      </c>
      <c r="BY61" s="69">
        <f>8458+39807</f>
        <v>48265</v>
      </c>
      <c r="BZ61" s="69">
        <f>9105+43169</f>
        <v>52274</v>
      </c>
      <c r="CA61" s="69">
        <f>9639+45085</f>
        <v>54724</v>
      </c>
      <c r="CB61" s="69">
        <f>11655+55928</f>
        <v>67583</v>
      </c>
      <c r="CC61" s="69">
        <f>11848+54568</f>
        <v>66416</v>
      </c>
      <c r="CD61" s="69">
        <f>10984+50744</f>
        <v>61728</v>
      </c>
      <c r="CE61" s="69">
        <f>10743+52524</f>
        <v>63267</v>
      </c>
      <c r="CF61" s="69">
        <f>9363+43081</f>
        <v>52444</v>
      </c>
      <c r="CG61" s="69">
        <f>36113+8151</f>
        <v>44264</v>
      </c>
      <c r="CH61" s="89">
        <f>33703+8407</f>
        <v>42110</v>
      </c>
      <c r="CI61" s="71">
        <f>8674+33313</f>
        <v>41987</v>
      </c>
      <c r="CJ61" s="69">
        <f>7188+28741</f>
        <v>35929</v>
      </c>
      <c r="CK61" s="69">
        <f>28734+7090</f>
        <v>35824</v>
      </c>
      <c r="CL61" s="69">
        <f>7542+29924</f>
        <v>37466</v>
      </c>
      <c r="CM61" s="69">
        <f>34087+8287</f>
        <v>42374</v>
      </c>
      <c r="CN61" s="69">
        <f>9025+36743</f>
        <v>45768</v>
      </c>
      <c r="CO61" s="69">
        <f>9979+40872</f>
        <v>50851</v>
      </c>
      <c r="CP61" s="69">
        <f>9672+39408</f>
        <v>49080</v>
      </c>
      <c r="CQ61" s="69">
        <f>8905+35446</f>
        <v>44351</v>
      </c>
      <c r="CR61" s="69">
        <f>7492+29171</f>
        <v>36663</v>
      </c>
      <c r="CS61" s="69">
        <f>6216+23568</f>
        <v>29784</v>
      </c>
      <c r="CT61" s="89">
        <f>6435+22191</f>
        <v>28626</v>
      </c>
      <c r="CU61" s="69">
        <f>6527+22579</f>
        <v>29106</v>
      </c>
      <c r="CV61" s="69">
        <f>5802+20912</f>
        <v>26714</v>
      </c>
      <c r="CW61" s="69">
        <f>5264+20107</f>
        <v>25371</v>
      </c>
      <c r="CX61" s="69">
        <f>5188+19810</f>
        <v>24998</v>
      </c>
      <c r="CY61" s="69">
        <f>5493+22044</f>
        <v>27537</v>
      </c>
      <c r="CZ61" s="69">
        <f>6576+26393</f>
        <v>32969</v>
      </c>
      <c r="DA61" s="69">
        <f>7036+27904</f>
        <v>34940</v>
      </c>
      <c r="DB61" s="69">
        <f>6559+27539</f>
        <v>34098</v>
      </c>
      <c r="DC61" s="69">
        <f>7057+27987</f>
        <v>35044</v>
      </c>
      <c r="DD61" s="69">
        <f>5467+20994</f>
        <v>26461</v>
      </c>
      <c r="DE61" s="69">
        <f>4729+18250</f>
        <v>22979</v>
      </c>
      <c r="DF61" s="89">
        <f>4887+18330</f>
        <v>23217</v>
      </c>
      <c r="DG61" s="68">
        <f>4737+16342</f>
        <v>21079</v>
      </c>
      <c r="DH61" s="297">
        <f>4861+18172</f>
        <v>23033</v>
      </c>
      <c r="DI61" s="320">
        <f>4277+16521</f>
        <v>20798</v>
      </c>
      <c r="DJ61" s="68">
        <f>4436+17197</f>
        <v>21633</v>
      </c>
      <c r="DK61" s="68">
        <f>4866+18152</f>
        <v>23018</v>
      </c>
      <c r="DL61" s="68">
        <f>6051+22771</f>
        <v>28822</v>
      </c>
      <c r="DM61" s="68">
        <f>5979+22510</f>
        <v>28489</v>
      </c>
      <c r="DN61" s="68">
        <f>6298+23793</f>
        <v>30091</v>
      </c>
      <c r="DO61" s="68">
        <f>5982+22911</f>
        <v>28893</v>
      </c>
      <c r="DP61" s="68">
        <f>5075+18057</f>
        <v>23132</v>
      </c>
      <c r="DQ61" s="68">
        <f>4316+14784</f>
        <v>19100</v>
      </c>
      <c r="DR61" s="68">
        <f>3928+13536</f>
        <v>17464</v>
      </c>
      <c r="DS61" s="68">
        <f>4186+14339</f>
        <v>18525</v>
      </c>
      <c r="DT61" s="68">
        <f>3624+13462</f>
        <v>17086</v>
      </c>
      <c r="DU61" s="68">
        <f>3909+13984</f>
        <v>17893</v>
      </c>
      <c r="DV61" s="351">
        <f>4435+16059</f>
        <v>20494</v>
      </c>
      <c r="DW61" s="351">
        <f>4699+17161</f>
        <v>21860</v>
      </c>
      <c r="DX61" s="351">
        <f>5272+19590</f>
        <v>24862</v>
      </c>
      <c r="DY61" s="351">
        <f>5767+20999</f>
        <v>26766</v>
      </c>
      <c r="DZ61" s="351">
        <f>6179+21592</f>
        <v>27771</v>
      </c>
      <c r="EA61" s="351">
        <f>5927+21039</f>
        <v>26966</v>
      </c>
      <c r="EB61" s="351">
        <f>5028+17449</f>
        <v>22477</v>
      </c>
      <c r="EC61" s="351">
        <f>4388+15353</f>
        <v>19741</v>
      </c>
      <c r="ED61" s="351">
        <f>4245+14040</f>
        <v>18285</v>
      </c>
      <c r="EE61" s="351">
        <f>4451+14034</f>
        <v>18485</v>
      </c>
      <c r="EF61" s="351">
        <f>3663+12103</f>
        <v>15766</v>
      </c>
      <c r="EG61" s="351">
        <f>3644+11322</f>
        <v>14966</v>
      </c>
      <c r="EH61" s="351">
        <f>3736+12692</f>
        <v>16428</v>
      </c>
      <c r="EI61" s="351">
        <f>3683+12689</f>
        <v>16372</v>
      </c>
      <c r="EJ61" s="351">
        <f>4465+15827</f>
        <v>20292</v>
      </c>
      <c r="EK61" s="351">
        <f>4945+17025</f>
        <v>21970</v>
      </c>
      <c r="EL61" s="351">
        <f>5006+16909</f>
        <v>21915</v>
      </c>
      <c r="EM61" s="351">
        <f>4916+16390</f>
        <v>21306</v>
      </c>
      <c r="EN61" s="351">
        <f>4265+13968</f>
        <v>18233</v>
      </c>
      <c r="EO61" s="351">
        <f>3719+12448</f>
        <v>16167</v>
      </c>
      <c r="EP61" s="351">
        <f>3985+11618</f>
        <v>15603</v>
      </c>
      <c r="EQ61" s="351">
        <f>3883+11579</f>
        <v>15462</v>
      </c>
      <c r="ER61" s="351">
        <f>3336+11155</f>
        <v>14491</v>
      </c>
      <c r="ES61" s="351">
        <f>3104+10462</f>
        <v>13566</v>
      </c>
      <c r="ET61" s="351">
        <f>3043+9834</f>
        <v>12877</v>
      </c>
      <c r="EU61" s="351">
        <f>3310+10975</f>
        <v>14285</v>
      </c>
      <c r="EV61" s="351">
        <f>3804+12807</f>
        <v>16611</v>
      </c>
      <c r="EW61" s="351">
        <f>4278+14241</f>
        <v>18519</v>
      </c>
      <c r="EX61" s="351">
        <f>4317+14364</f>
        <v>18681</v>
      </c>
      <c r="EY61" s="351">
        <f>4366+14512</f>
        <v>18878</v>
      </c>
      <c r="EZ61" s="68">
        <f>3676+12238</f>
        <v>15914</v>
      </c>
      <c r="FA61" s="68">
        <f>3217+10447</f>
        <v>13664</v>
      </c>
      <c r="FB61" s="68">
        <f>3162+9624</f>
        <v>12786</v>
      </c>
      <c r="FC61" s="68">
        <f>3553+11069</f>
        <v>14622</v>
      </c>
      <c r="FD61" s="68">
        <f>3008+9738</f>
        <v>12746</v>
      </c>
      <c r="FE61" s="68">
        <f>2883+9465</f>
        <v>12348</v>
      </c>
      <c r="FF61" s="68">
        <f>2796+8933</f>
        <v>11729</v>
      </c>
      <c r="FG61" s="68">
        <f>2893+9307</f>
        <v>12200</v>
      </c>
      <c r="FH61" s="68">
        <f>3330+10710</f>
        <v>14040</v>
      </c>
      <c r="FI61" s="68">
        <f>3478+11476</f>
        <v>14954</v>
      </c>
      <c r="FJ61" s="68">
        <f>3664+11913</f>
        <v>15577</v>
      </c>
      <c r="FK61" s="68">
        <f>3590+11488</f>
        <v>15078</v>
      </c>
      <c r="FL61" s="68">
        <f>3158+9888</f>
        <v>13046</v>
      </c>
      <c r="FM61" s="68">
        <f>2656+7891</f>
        <v>10547</v>
      </c>
      <c r="FN61" s="68">
        <f>2633+7245</f>
        <v>9878</v>
      </c>
      <c r="FO61" s="68">
        <f>2689+7465</f>
        <v>10154</v>
      </c>
      <c r="FP61" s="68">
        <f>2311+6319</f>
        <v>8630</v>
      </c>
      <c r="FQ61" s="68">
        <f>2217+5917</f>
        <v>8134</v>
      </c>
      <c r="FR61" s="68">
        <f>2347+6098</f>
        <v>8445</v>
      </c>
      <c r="FS61" s="68">
        <f>2554+6684</f>
        <v>9238</v>
      </c>
      <c r="FT61" s="68">
        <f>2875+7597</f>
        <v>10472</v>
      </c>
    </row>
    <row r="62" spans="2:176" s="68" customFormat="1" ht="13.8" thickBot="1" x14ac:dyDescent="0.3">
      <c r="B62" s="90" t="s">
        <v>8</v>
      </c>
      <c r="C62" s="104">
        <v>28229.243999999999</v>
      </c>
      <c r="D62" s="92">
        <v>64815.006000000001</v>
      </c>
      <c r="E62" s="92">
        <v>76898.690999999992</v>
      </c>
      <c r="F62" s="92">
        <v>107431.659</v>
      </c>
      <c r="G62" s="92">
        <v>138895.47899999999</v>
      </c>
      <c r="H62" s="92">
        <v>177241.587</v>
      </c>
      <c r="I62" s="92">
        <v>173422.17299999995</v>
      </c>
      <c r="J62" s="92">
        <v>180977.43599999999</v>
      </c>
      <c r="K62" s="92">
        <v>232750.37</v>
      </c>
      <c r="L62" s="92">
        <v>230920.666</v>
      </c>
      <c r="M62" s="92">
        <v>190371.57499999998</v>
      </c>
      <c r="N62" s="93">
        <v>199354.31900000002</v>
      </c>
      <c r="O62" s="72">
        <f>3788+210252</f>
        <v>214040</v>
      </c>
      <c r="P62" s="92">
        <f>187091+3663</f>
        <v>190754</v>
      </c>
      <c r="Q62" s="92">
        <f>202718+4181</f>
        <v>206899</v>
      </c>
      <c r="R62" s="92">
        <f>3995+198232</f>
        <v>202227</v>
      </c>
      <c r="S62" s="92">
        <f>4988+249763</f>
        <v>254751</v>
      </c>
      <c r="T62" s="92">
        <f>6210+282992</f>
        <v>289202</v>
      </c>
      <c r="U62" s="68">
        <f t="shared" ref="U62:Z62" si="268">U63-U61</f>
        <v>305098</v>
      </c>
      <c r="V62" s="68">
        <f t="shared" si="268"/>
        <v>301249</v>
      </c>
      <c r="W62" s="68">
        <f t="shared" si="268"/>
        <v>324174</v>
      </c>
      <c r="X62" s="68">
        <f t="shared" si="268"/>
        <v>331951</v>
      </c>
      <c r="Y62" s="68">
        <f t="shared" si="268"/>
        <v>249719</v>
      </c>
      <c r="Z62" s="89">
        <f t="shared" si="268"/>
        <v>286727</v>
      </c>
      <c r="AA62" s="68">
        <f>7402+272736</f>
        <v>280138</v>
      </c>
      <c r="AB62" s="68">
        <f>6676+240637</f>
        <v>247313</v>
      </c>
      <c r="AC62" s="68">
        <f>7764+306384</f>
        <v>314148</v>
      </c>
      <c r="AD62" s="68">
        <f>7869+302860</f>
        <v>310729</v>
      </c>
      <c r="AE62" s="68">
        <f>7736+315381</f>
        <v>323117</v>
      </c>
      <c r="AF62" s="68">
        <f>9940+399189</f>
        <v>409129</v>
      </c>
      <c r="AG62" s="68">
        <f>11194+405970</f>
        <v>417164</v>
      </c>
      <c r="AH62" s="68">
        <f>12202+439841</f>
        <v>452043</v>
      </c>
      <c r="AI62" s="68">
        <f>1227+456189</f>
        <v>457416</v>
      </c>
      <c r="AJ62" s="68">
        <f>11629+420747</f>
        <v>432376</v>
      </c>
      <c r="AK62" s="68">
        <f>10574+375627</f>
        <v>386201</v>
      </c>
      <c r="AL62" s="68">
        <f>10416+342124</f>
        <v>352540</v>
      </c>
      <c r="AM62" s="88">
        <f>11937+367361</f>
        <v>379298</v>
      </c>
      <c r="AN62" s="68">
        <f>9882+297080</f>
        <v>306962</v>
      </c>
      <c r="AO62" s="68">
        <f>11208+348065</f>
        <v>359273</v>
      </c>
      <c r="AP62" s="68">
        <f>10944+355346</f>
        <v>366290</v>
      </c>
      <c r="AQ62" s="68">
        <f>11795+392593</f>
        <v>404388</v>
      </c>
      <c r="AR62" s="68">
        <f>14183+483842</f>
        <v>498025</v>
      </c>
      <c r="AS62" s="68">
        <f>14457+472980</f>
        <v>487437</v>
      </c>
      <c r="AT62" s="68">
        <f>16551+538916</f>
        <v>555467</v>
      </c>
      <c r="AU62" s="68">
        <f>16210+549074</f>
        <v>565284</v>
      </c>
      <c r="AV62" s="68">
        <f>14775+479867</f>
        <v>494642</v>
      </c>
      <c r="AW62" s="68">
        <f>12275+391327</f>
        <v>403602</v>
      </c>
      <c r="AX62" s="68">
        <f>13015+376990</f>
        <v>390005</v>
      </c>
      <c r="AY62" s="88">
        <f>13590+379111</f>
        <v>392701</v>
      </c>
      <c r="AZ62" s="68">
        <f>11827+341846</f>
        <v>353673</v>
      </c>
      <c r="BA62" s="68">
        <f>14326+428516</f>
        <v>442842</v>
      </c>
      <c r="BB62" s="68">
        <f>12722+381999</f>
        <v>394721</v>
      </c>
      <c r="BC62" s="68">
        <f>499976+16297</f>
        <v>516273</v>
      </c>
      <c r="BD62" s="68">
        <f>17670+520593</f>
        <v>538263</v>
      </c>
      <c r="BE62" s="68">
        <f>17638+498722</f>
        <v>516360</v>
      </c>
      <c r="BF62" s="68">
        <f>20150+569614</f>
        <v>589764</v>
      </c>
      <c r="BG62" s="68">
        <f>18508+540801</f>
        <v>559309</v>
      </c>
      <c r="BH62" s="68">
        <f>513970+243501</f>
        <v>757471</v>
      </c>
      <c r="BI62" s="68">
        <f>421930+194338</f>
        <v>616268</v>
      </c>
      <c r="BJ62" s="89">
        <f>388715+177449</f>
        <v>566164</v>
      </c>
      <c r="BK62" s="68">
        <f>16949+425613</f>
        <v>442562</v>
      </c>
      <c r="BL62" s="68">
        <f>373176+16474</f>
        <v>389650</v>
      </c>
      <c r="BM62" s="68">
        <f>17723+428246</f>
        <v>445969</v>
      </c>
      <c r="BN62" s="68">
        <f>16615+413415</f>
        <v>430030</v>
      </c>
      <c r="BO62" s="68">
        <f>19057+498722</f>
        <v>517779</v>
      </c>
      <c r="BP62" s="68">
        <f>20071+524585</f>
        <v>544656</v>
      </c>
      <c r="BQ62" s="16">
        <f>21430+538563</f>
        <v>559993</v>
      </c>
      <c r="BR62" s="16">
        <f>23333+571927</f>
        <v>595260</v>
      </c>
      <c r="BS62" s="16">
        <f>20368+527125</f>
        <v>547493</v>
      </c>
      <c r="BT62" s="68">
        <f>22032+550070</f>
        <v>572102</v>
      </c>
      <c r="BU62" s="68">
        <f>20094+480935</f>
        <v>501029</v>
      </c>
      <c r="BV62" s="89">
        <f>470526+20381</f>
        <v>490907</v>
      </c>
      <c r="BW62" s="69">
        <f>20724+451543</f>
        <v>472267</v>
      </c>
      <c r="BX62" s="69">
        <f>19109+418467</f>
        <v>437576</v>
      </c>
      <c r="BY62" s="69">
        <f>19168+436675</f>
        <v>455843</v>
      </c>
      <c r="BZ62" s="69">
        <f>20836+477162</f>
        <v>497998</v>
      </c>
      <c r="CA62" s="69">
        <f>21579+501095</f>
        <v>522674</v>
      </c>
      <c r="CB62" s="69">
        <f>25150+588652</f>
        <v>613802</v>
      </c>
      <c r="CC62" s="69">
        <f>24888+580562</f>
        <v>605450</v>
      </c>
      <c r="CD62" s="69">
        <f>24112+551898</f>
        <v>576010</v>
      </c>
      <c r="CE62" s="69">
        <f>24380+582412</f>
        <v>606792</v>
      </c>
      <c r="CF62" s="69">
        <f>22273.31+519579.31</f>
        <v>541852.62</v>
      </c>
      <c r="CG62" s="69">
        <f>466399.08+20554.35</f>
        <v>486953.43</v>
      </c>
      <c r="CH62" s="89">
        <f>21349.35+458422.1</f>
        <v>479771.44999999995</v>
      </c>
      <c r="CI62" s="72">
        <f>22691+458478</f>
        <v>481169</v>
      </c>
      <c r="CJ62" s="92">
        <f>20222+417565</f>
        <v>437787</v>
      </c>
      <c r="CK62" s="92">
        <f>20529+434924</f>
        <v>455453</v>
      </c>
      <c r="CL62" s="92">
        <f>21531+461458</f>
        <v>482989</v>
      </c>
      <c r="CM62" s="92">
        <f>23803+525725</f>
        <v>549528</v>
      </c>
      <c r="CN62" s="92">
        <f>25954+566343</f>
        <v>592297</v>
      </c>
      <c r="CO62" s="92">
        <f>28852+610978</f>
        <v>639830</v>
      </c>
      <c r="CP62" s="92">
        <f>28974+615502</f>
        <v>644476</v>
      </c>
      <c r="CQ62" s="92">
        <f>28652+609965</f>
        <v>638617</v>
      </c>
      <c r="CR62" s="92">
        <f>26482+555028</f>
        <v>581510</v>
      </c>
      <c r="CS62" s="92">
        <f>23727+481226</f>
        <v>504953</v>
      </c>
      <c r="CT62" s="93">
        <f>24598+465722</f>
        <v>490320</v>
      </c>
      <c r="CU62" s="92">
        <f>23785+427962</f>
        <v>451747</v>
      </c>
      <c r="CV62" s="92">
        <f>22637+430014</f>
        <v>452651</v>
      </c>
      <c r="CW62" s="92">
        <f>21819+423457</f>
        <v>445276</v>
      </c>
      <c r="CX62" s="92">
        <f>22664+456757</f>
        <v>479421</v>
      </c>
      <c r="CY62" s="92">
        <f>24010+505676</f>
        <v>529686</v>
      </c>
      <c r="CZ62" s="92">
        <f>28023+586765</f>
        <v>614788</v>
      </c>
      <c r="DA62" s="92">
        <f>29412+607463</f>
        <v>636875</v>
      </c>
      <c r="DB62" s="92">
        <f>27522+570842</f>
        <v>598364</v>
      </c>
      <c r="DC62" s="92">
        <f>29719+645314</f>
        <v>675033</v>
      </c>
      <c r="DD62" s="92">
        <f>25001+517201</f>
        <v>542202</v>
      </c>
      <c r="DE62" s="92">
        <f>23358+478582</f>
        <v>501940</v>
      </c>
      <c r="DF62" s="93">
        <f>24677+480084</f>
        <v>504761</v>
      </c>
      <c r="DG62" s="324">
        <f>23931+427332</f>
        <v>451263</v>
      </c>
      <c r="DH62" s="92">
        <f>24871+456218</f>
        <v>481089</v>
      </c>
      <c r="DI62" s="92">
        <f>23292+456316</f>
        <v>479608</v>
      </c>
      <c r="DJ62" s="92">
        <f>23906+478006</f>
        <v>501912</v>
      </c>
      <c r="DK62" s="92">
        <f>24853+512380</f>
        <v>537233</v>
      </c>
      <c r="DL62" s="92">
        <f>29812+613848</f>
        <v>643660</v>
      </c>
      <c r="DM62" s="92">
        <f>30085+595476</f>
        <v>625561</v>
      </c>
      <c r="DN62" s="92">
        <f>31468+650539</f>
        <v>682007</v>
      </c>
      <c r="DO62" s="92">
        <f>30437+647730</f>
        <v>678167</v>
      </c>
      <c r="DP62" s="92">
        <f>26344+534552</f>
        <v>560896</v>
      </c>
      <c r="DQ62" s="92">
        <f>24440+467192</f>
        <v>491632</v>
      </c>
      <c r="DR62" s="92">
        <f>23314+433884</f>
        <v>457198</v>
      </c>
      <c r="DS62" s="92">
        <f>24024+442195</f>
        <v>466219</v>
      </c>
      <c r="DT62" s="92">
        <f>22619+432790</f>
        <v>455409</v>
      </c>
      <c r="DU62" s="92">
        <f>24968+461475</f>
        <v>486443</v>
      </c>
      <c r="DV62" s="352">
        <f>28070+533119</f>
        <v>561189</v>
      </c>
      <c r="DW62" s="352">
        <f>28838+557945</f>
        <v>586783</v>
      </c>
      <c r="DX62" s="352">
        <f>31966+626379</f>
        <v>658345</v>
      </c>
      <c r="DY62" s="352">
        <f>34824+641883</f>
        <v>676707</v>
      </c>
      <c r="DZ62" s="352">
        <f>34942+661316</f>
        <v>696258</v>
      </c>
      <c r="EA62" s="352">
        <f>35759+689002</f>
        <v>724761</v>
      </c>
      <c r="EB62" s="352">
        <f>31420+601024</f>
        <v>632444</v>
      </c>
      <c r="EC62" s="352">
        <f>29066+548561</f>
        <v>577627</v>
      </c>
      <c r="ED62" s="352">
        <f>28753+521289</f>
        <v>550042</v>
      </c>
      <c r="EE62" s="352">
        <f>29877+511781</f>
        <v>541658</v>
      </c>
      <c r="EF62" s="352">
        <f>26043+472622</f>
        <v>498665</v>
      </c>
      <c r="EG62" s="352">
        <f>25716+467541</f>
        <v>493257</v>
      </c>
      <c r="EH62" s="352">
        <f>27458+514239</f>
        <v>541697</v>
      </c>
      <c r="EI62" s="352">
        <f>26785+515284</f>
        <v>542069</v>
      </c>
      <c r="EJ62" s="352">
        <f>34113+632416</f>
        <v>666529</v>
      </c>
      <c r="EK62" s="352">
        <f>35749+662319</f>
        <v>698068</v>
      </c>
      <c r="EL62" s="352">
        <f>36465+661113</f>
        <v>697578</v>
      </c>
      <c r="EM62" s="352">
        <f>36720+678395</f>
        <v>715115</v>
      </c>
      <c r="EN62" s="352">
        <f>33537+612318</f>
        <v>645855</v>
      </c>
      <c r="EO62" s="352">
        <f>30168+544011</f>
        <v>574179</v>
      </c>
      <c r="EP62" s="352">
        <f>31545+535183</f>
        <v>566728</v>
      </c>
      <c r="EQ62" s="352">
        <f>29014+475463</f>
        <v>504477</v>
      </c>
      <c r="ER62" s="352">
        <f>29395+508019</f>
        <v>537414</v>
      </c>
      <c r="ES62" s="352">
        <f>26904+494124</f>
        <v>521028</v>
      </c>
      <c r="ET62" s="352">
        <f>26931+501805</f>
        <v>528736</v>
      </c>
      <c r="EU62" s="352">
        <f>29150+563597</f>
        <v>592747</v>
      </c>
      <c r="EV62" s="352">
        <f>32829+634986</f>
        <v>667815</v>
      </c>
      <c r="EW62" s="352">
        <f>32451+685677</f>
        <v>718128</v>
      </c>
      <c r="EX62" s="352">
        <f>35789+693393</f>
        <v>729182</v>
      </c>
      <c r="EY62" s="352">
        <f>36025+729683</f>
        <v>765708</v>
      </c>
      <c r="EZ62" s="92">
        <f>32338+636645</f>
        <v>668983</v>
      </c>
      <c r="FA62" s="92">
        <f>29089+563640</f>
        <v>592729</v>
      </c>
      <c r="FB62" s="92">
        <f>29530+534738</f>
        <v>564268</v>
      </c>
      <c r="FC62" s="92">
        <f>31597+549570</f>
        <v>581167</v>
      </c>
      <c r="FD62" s="92">
        <f>27996+503247</f>
        <v>531243</v>
      </c>
      <c r="FE62" s="92">
        <f>27671+498961</f>
        <v>526632</v>
      </c>
      <c r="FF62" s="92">
        <f>28038+538199</f>
        <v>566237</v>
      </c>
      <c r="FG62" s="92">
        <f>27562+566368</f>
        <v>593930</v>
      </c>
      <c r="FH62" s="92">
        <f>32784+647102</f>
        <v>679886</v>
      </c>
      <c r="FI62" s="92">
        <f>34431+677642</f>
        <v>712073</v>
      </c>
      <c r="FJ62" s="92">
        <f>35564+703445</f>
        <v>739009</v>
      </c>
      <c r="FK62" s="92">
        <f>35701+725869</f>
        <v>761570</v>
      </c>
      <c r="FL62" s="92">
        <f>32938+656117</f>
        <v>689055</v>
      </c>
      <c r="FM62" s="92">
        <f>29710+574737</f>
        <v>604447</v>
      </c>
      <c r="FN62" s="92">
        <f>29339+547950</f>
        <v>577289</v>
      </c>
      <c r="FO62" s="92">
        <f>30939+524508</f>
        <v>555447</v>
      </c>
      <c r="FP62" s="92">
        <f>27709+497633</f>
        <v>525342</v>
      </c>
      <c r="FQ62" s="92">
        <f>27609+513213</f>
        <v>540822</v>
      </c>
      <c r="FR62" s="92">
        <f>29336+541966</f>
        <v>571302</v>
      </c>
      <c r="FS62" s="92">
        <f>31457+585948</f>
        <v>617405</v>
      </c>
      <c r="FT62" s="92">
        <f>35625+651830</f>
        <v>687455</v>
      </c>
    </row>
    <row r="63" spans="2:176" s="68" customFormat="1" ht="13.8" thickTop="1" x14ac:dyDescent="0.25">
      <c r="B63" s="87" t="s">
        <v>9</v>
      </c>
      <c r="C63" s="105">
        <f t="shared" ref="C63:H63" si="269">SUM(C61:C62)</f>
        <v>325388.86300000001</v>
      </c>
      <c r="D63" s="94">
        <f t="shared" si="269"/>
        <v>361974.625</v>
      </c>
      <c r="E63" s="94">
        <f t="shared" si="269"/>
        <v>403284.05099999998</v>
      </c>
      <c r="F63" s="94">
        <f t="shared" si="269"/>
        <v>461404.33100000001</v>
      </c>
      <c r="G63" s="94">
        <f t="shared" si="269"/>
        <v>502338.17499999999</v>
      </c>
      <c r="H63" s="94">
        <f t="shared" si="269"/>
        <v>536615.61</v>
      </c>
      <c r="I63" s="94">
        <f t="shared" ref="I63:Q63" si="270">SUM(I61:I62)</f>
        <v>520336.03499999997</v>
      </c>
      <c r="J63" s="94">
        <f t="shared" si="270"/>
        <v>556638.00300000003</v>
      </c>
      <c r="K63" s="94">
        <f t="shared" si="270"/>
        <v>582621.32299999997</v>
      </c>
      <c r="L63" s="94">
        <f t="shared" si="270"/>
        <v>539488.72600000002</v>
      </c>
      <c r="M63" s="94">
        <f t="shared" si="270"/>
        <v>425681.52</v>
      </c>
      <c r="N63" s="107">
        <f t="shared" si="270"/>
        <v>414910.663</v>
      </c>
      <c r="O63" s="106">
        <f t="shared" si="270"/>
        <v>450032</v>
      </c>
      <c r="P63" s="94">
        <f t="shared" si="270"/>
        <v>379904</v>
      </c>
      <c r="Q63" s="94">
        <f t="shared" si="270"/>
        <v>409754</v>
      </c>
      <c r="R63" s="94">
        <f>SUM(R61:R62)</f>
        <v>420952</v>
      </c>
      <c r="S63" s="94">
        <f>SUM(S61:S62)</f>
        <v>517030</v>
      </c>
      <c r="T63" s="94">
        <f>SUM(T61:T62)</f>
        <v>577789</v>
      </c>
      <c r="U63" s="198">
        <f>34097+561294</f>
        <v>595391</v>
      </c>
      <c r="V63" s="198">
        <f>33060+532900</f>
        <v>565960</v>
      </c>
      <c r="W63" s="95">
        <f>544883+33967</f>
        <v>578850</v>
      </c>
      <c r="X63" s="95">
        <f>28011+525162</f>
        <v>553173</v>
      </c>
      <c r="Y63" s="95">
        <f>22652+381252</f>
        <v>403904</v>
      </c>
      <c r="Z63" s="107">
        <f>27319+430225</f>
        <v>457544</v>
      </c>
      <c r="AA63" s="95">
        <f t="shared" ref="AA63:AF63" si="271">SUM(AA61:AA62)</f>
        <v>444492</v>
      </c>
      <c r="AB63" s="95">
        <f t="shared" si="271"/>
        <v>387100</v>
      </c>
      <c r="AC63" s="95">
        <f t="shared" si="271"/>
        <v>477594</v>
      </c>
      <c r="AD63" s="95">
        <f t="shared" si="271"/>
        <v>461315</v>
      </c>
      <c r="AE63" s="95">
        <f t="shared" si="271"/>
        <v>469205</v>
      </c>
      <c r="AF63" s="95">
        <f t="shared" si="271"/>
        <v>601192</v>
      </c>
      <c r="AG63" s="95">
        <f t="shared" ref="AG63:AL63" si="272">SUM(AG61:AG62)</f>
        <v>598450</v>
      </c>
      <c r="AH63" s="95">
        <f t="shared" si="272"/>
        <v>632627</v>
      </c>
      <c r="AI63" s="95">
        <f t="shared" si="272"/>
        <v>622544</v>
      </c>
      <c r="AJ63" s="95">
        <f t="shared" si="272"/>
        <v>570840</v>
      </c>
      <c r="AK63" s="95">
        <f t="shared" si="272"/>
        <v>504036</v>
      </c>
      <c r="AL63" s="95">
        <f t="shared" si="272"/>
        <v>455808</v>
      </c>
      <c r="AM63" s="189">
        <f t="shared" ref="AM63:AR63" si="273">SUM(AM61:AM62)</f>
        <v>487911</v>
      </c>
      <c r="AN63" s="95">
        <f t="shared" si="273"/>
        <v>392318</v>
      </c>
      <c r="AO63" s="95">
        <f t="shared" si="273"/>
        <v>453925</v>
      </c>
      <c r="AP63" s="95">
        <f t="shared" si="273"/>
        <v>459013</v>
      </c>
      <c r="AQ63" s="95">
        <f t="shared" si="273"/>
        <v>504391</v>
      </c>
      <c r="AR63" s="95">
        <f t="shared" si="273"/>
        <v>626741</v>
      </c>
      <c r="AS63" s="95">
        <f t="shared" ref="AS63:AX63" si="274">SUM(AS61:AS62)</f>
        <v>610969</v>
      </c>
      <c r="AT63" s="95">
        <f t="shared" si="274"/>
        <v>693152</v>
      </c>
      <c r="AU63" s="95">
        <f t="shared" si="274"/>
        <v>694567</v>
      </c>
      <c r="AV63" s="95">
        <f t="shared" si="274"/>
        <v>604872</v>
      </c>
      <c r="AW63" s="95">
        <f t="shared" si="274"/>
        <v>488780</v>
      </c>
      <c r="AX63" s="95">
        <f t="shared" si="274"/>
        <v>474132</v>
      </c>
      <c r="AY63" s="189">
        <f t="shared" ref="AY63:BJ63" si="275">SUM(AY61:AY62)</f>
        <v>480552</v>
      </c>
      <c r="AZ63" s="95">
        <f t="shared" si="275"/>
        <v>429464</v>
      </c>
      <c r="BA63" s="95">
        <f t="shared" si="275"/>
        <v>536123</v>
      </c>
      <c r="BB63" s="95">
        <f t="shared" si="275"/>
        <v>473519</v>
      </c>
      <c r="BC63" s="95">
        <f t="shared" si="275"/>
        <v>622486</v>
      </c>
      <c r="BD63" s="95">
        <f t="shared" si="275"/>
        <v>649573</v>
      </c>
      <c r="BE63" s="95">
        <f t="shared" si="275"/>
        <v>622553</v>
      </c>
      <c r="BF63" s="95">
        <f t="shared" si="275"/>
        <v>702339</v>
      </c>
      <c r="BG63" s="95">
        <f t="shared" si="275"/>
        <v>659788</v>
      </c>
      <c r="BH63" s="95">
        <f t="shared" si="275"/>
        <v>847699</v>
      </c>
      <c r="BI63" s="95">
        <f t="shared" si="275"/>
        <v>688198</v>
      </c>
      <c r="BJ63" s="107">
        <f t="shared" si="275"/>
        <v>631820</v>
      </c>
      <c r="BK63" s="95">
        <f t="shared" ref="BK63:BV63" si="276">SUM(BK61:BK62)</f>
        <v>518120</v>
      </c>
      <c r="BL63" s="95">
        <f t="shared" si="276"/>
        <v>452752</v>
      </c>
      <c r="BM63" s="95">
        <f t="shared" si="276"/>
        <v>513581</v>
      </c>
      <c r="BN63" s="95">
        <f t="shared" si="276"/>
        <v>490901</v>
      </c>
      <c r="BO63" s="95">
        <f t="shared" si="276"/>
        <v>594122</v>
      </c>
      <c r="BP63" s="95">
        <f t="shared" si="276"/>
        <v>622851</v>
      </c>
      <c r="BQ63" s="95">
        <f t="shared" si="276"/>
        <v>642785</v>
      </c>
      <c r="BR63" s="95">
        <f t="shared" si="276"/>
        <v>679756</v>
      </c>
      <c r="BS63" s="95">
        <f t="shared" si="276"/>
        <v>618842</v>
      </c>
      <c r="BT63" s="95">
        <f t="shared" si="276"/>
        <v>642818</v>
      </c>
      <c r="BU63" s="95">
        <f t="shared" si="276"/>
        <v>559078</v>
      </c>
      <c r="BV63" s="107">
        <f t="shared" si="276"/>
        <v>546672</v>
      </c>
      <c r="BW63" s="95">
        <f t="shared" ref="BW63:CB63" si="277">SUM(BW61:BW62)</f>
        <v>528011</v>
      </c>
      <c r="BX63" s="95">
        <f t="shared" si="277"/>
        <v>487105</v>
      </c>
      <c r="BY63" s="95">
        <f t="shared" si="277"/>
        <v>504108</v>
      </c>
      <c r="BZ63" s="95">
        <f t="shared" si="277"/>
        <v>550272</v>
      </c>
      <c r="CA63" s="95">
        <f t="shared" si="277"/>
        <v>577398</v>
      </c>
      <c r="CB63" s="95">
        <f t="shared" si="277"/>
        <v>681385</v>
      </c>
      <c r="CC63" s="95">
        <f t="shared" ref="CC63:CN63" si="278">SUM(CC61:CC62)</f>
        <v>671866</v>
      </c>
      <c r="CD63" s="95">
        <f t="shared" si="278"/>
        <v>637738</v>
      </c>
      <c r="CE63" s="95">
        <f t="shared" si="278"/>
        <v>670059</v>
      </c>
      <c r="CF63" s="95">
        <f t="shared" si="278"/>
        <v>594296.62</v>
      </c>
      <c r="CG63" s="95">
        <f t="shared" si="278"/>
        <v>531217.42999999993</v>
      </c>
      <c r="CH63" s="107">
        <f t="shared" si="278"/>
        <v>521881.44999999995</v>
      </c>
      <c r="CI63" s="106">
        <f t="shared" si="278"/>
        <v>523156</v>
      </c>
      <c r="CJ63" s="94">
        <f t="shared" si="278"/>
        <v>473716</v>
      </c>
      <c r="CK63" s="94">
        <f t="shared" si="278"/>
        <v>491277</v>
      </c>
      <c r="CL63" s="94">
        <f t="shared" si="278"/>
        <v>520455</v>
      </c>
      <c r="CM63" s="94">
        <f t="shared" si="278"/>
        <v>591902</v>
      </c>
      <c r="CN63" s="94">
        <f t="shared" si="278"/>
        <v>638065</v>
      </c>
      <c r="CO63" s="94">
        <f t="shared" ref="CO63:CT63" si="279">SUM(CO61:CO62)</f>
        <v>690681</v>
      </c>
      <c r="CP63" s="94">
        <f t="shared" si="279"/>
        <v>693556</v>
      </c>
      <c r="CQ63" s="94">
        <f t="shared" si="279"/>
        <v>682968</v>
      </c>
      <c r="CR63" s="94">
        <f t="shared" si="279"/>
        <v>618173</v>
      </c>
      <c r="CS63" s="94">
        <f t="shared" si="279"/>
        <v>534737</v>
      </c>
      <c r="CT63" s="96">
        <f t="shared" si="279"/>
        <v>518946</v>
      </c>
      <c r="CU63" s="94">
        <f t="shared" ref="CU63:DK63" si="280">SUM(CU61:CU62)</f>
        <v>480853</v>
      </c>
      <c r="CV63" s="94">
        <f t="shared" si="280"/>
        <v>479365</v>
      </c>
      <c r="CW63" s="94">
        <f t="shared" si="280"/>
        <v>470647</v>
      </c>
      <c r="CX63" s="94">
        <f t="shared" si="280"/>
        <v>504419</v>
      </c>
      <c r="CY63" s="94">
        <f t="shared" si="280"/>
        <v>557223</v>
      </c>
      <c r="CZ63" s="94">
        <f t="shared" si="280"/>
        <v>647757</v>
      </c>
      <c r="DA63" s="94">
        <f t="shared" si="280"/>
        <v>671815</v>
      </c>
      <c r="DB63" s="94">
        <f t="shared" si="280"/>
        <v>632462</v>
      </c>
      <c r="DC63" s="94">
        <f t="shared" si="280"/>
        <v>710077</v>
      </c>
      <c r="DD63" s="94">
        <f t="shared" si="280"/>
        <v>568663</v>
      </c>
      <c r="DE63" s="94">
        <f t="shared" si="280"/>
        <v>524919</v>
      </c>
      <c r="DF63" s="107">
        <f t="shared" si="280"/>
        <v>527978</v>
      </c>
      <c r="DG63" s="94">
        <f t="shared" si="280"/>
        <v>472342</v>
      </c>
      <c r="DH63" s="94">
        <f t="shared" si="280"/>
        <v>504122</v>
      </c>
      <c r="DI63" s="94">
        <f t="shared" si="280"/>
        <v>500406</v>
      </c>
      <c r="DJ63" s="319">
        <f t="shared" si="280"/>
        <v>523545</v>
      </c>
      <c r="DK63" s="94">
        <f t="shared" si="280"/>
        <v>560251</v>
      </c>
      <c r="DL63" s="94">
        <f t="shared" ref="DL63:FK63" si="281">SUM(DL61:DL62)</f>
        <v>672482</v>
      </c>
      <c r="DM63" s="94">
        <f t="shared" si="281"/>
        <v>654050</v>
      </c>
      <c r="DN63" s="94">
        <f t="shared" si="281"/>
        <v>712098</v>
      </c>
      <c r="DO63" s="94">
        <f t="shared" si="281"/>
        <v>707060</v>
      </c>
      <c r="DP63" s="94">
        <f t="shared" si="281"/>
        <v>584028</v>
      </c>
      <c r="DQ63" s="94">
        <f t="shared" si="281"/>
        <v>510732</v>
      </c>
      <c r="DR63" s="94">
        <f t="shared" si="281"/>
        <v>474662</v>
      </c>
      <c r="DS63" s="94">
        <f t="shared" si="281"/>
        <v>484744</v>
      </c>
      <c r="DT63" s="94">
        <f t="shared" si="281"/>
        <v>472495</v>
      </c>
      <c r="DU63" s="94">
        <f t="shared" si="281"/>
        <v>504336</v>
      </c>
      <c r="DV63" s="358">
        <f t="shared" si="281"/>
        <v>581683</v>
      </c>
      <c r="DW63" s="358">
        <f t="shared" si="281"/>
        <v>608643</v>
      </c>
      <c r="DX63" s="358">
        <f t="shared" si="281"/>
        <v>683207</v>
      </c>
      <c r="DY63" s="358">
        <f t="shared" si="281"/>
        <v>703473</v>
      </c>
      <c r="DZ63" s="358">
        <f t="shared" si="281"/>
        <v>724029</v>
      </c>
      <c r="EA63" s="358">
        <f t="shared" si="281"/>
        <v>751727</v>
      </c>
      <c r="EB63" s="358">
        <f t="shared" si="281"/>
        <v>654921</v>
      </c>
      <c r="EC63" s="358">
        <f t="shared" si="281"/>
        <v>597368</v>
      </c>
      <c r="ED63" s="358">
        <f t="shared" si="281"/>
        <v>568327</v>
      </c>
      <c r="EE63" s="358">
        <f t="shared" si="281"/>
        <v>560143</v>
      </c>
      <c r="EF63" s="358">
        <f t="shared" si="281"/>
        <v>514431</v>
      </c>
      <c r="EG63" s="358">
        <f t="shared" si="281"/>
        <v>508223</v>
      </c>
      <c r="EH63" s="358">
        <f t="shared" si="281"/>
        <v>558125</v>
      </c>
      <c r="EI63" s="358">
        <f t="shared" si="281"/>
        <v>558441</v>
      </c>
      <c r="EJ63" s="358">
        <f t="shared" si="281"/>
        <v>686821</v>
      </c>
      <c r="EK63" s="358">
        <f t="shared" si="281"/>
        <v>720038</v>
      </c>
      <c r="EL63" s="358">
        <f t="shared" si="281"/>
        <v>719493</v>
      </c>
      <c r="EM63" s="358">
        <f t="shared" si="281"/>
        <v>736421</v>
      </c>
      <c r="EN63" s="358">
        <f t="shared" si="281"/>
        <v>664088</v>
      </c>
      <c r="EO63" s="358">
        <f t="shared" si="281"/>
        <v>590346</v>
      </c>
      <c r="EP63" s="358">
        <f t="shared" si="281"/>
        <v>582331</v>
      </c>
      <c r="EQ63" s="358">
        <f t="shared" si="281"/>
        <v>519939</v>
      </c>
      <c r="ER63" s="358">
        <f t="shared" si="281"/>
        <v>551905</v>
      </c>
      <c r="ES63" s="358">
        <f t="shared" si="281"/>
        <v>534594</v>
      </c>
      <c r="ET63" s="358">
        <f t="shared" si="281"/>
        <v>541613</v>
      </c>
      <c r="EU63" s="358">
        <f t="shared" si="281"/>
        <v>607032</v>
      </c>
      <c r="EV63" s="358">
        <f t="shared" si="281"/>
        <v>684426</v>
      </c>
      <c r="EW63" s="358">
        <f t="shared" si="281"/>
        <v>736647</v>
      </c>
      <c r="EX63" s="358">
        <f t="shared" si="281"/>
        <v>747863</v>
      </c>
      <c r="EY63" s="358">
        <f t="shared" si="281"/>
        <v>784586</v>
      </c>
      <c r="EZ63" s="358">
        <f t="shared" si="281"/>
        <v>684897</v>
      </c>
      <c r="FA63" s="358">
        <f t="shared" si="281"/>
        <v>606393</v>
      </c>
      <c r="FB63" s="358">
        <f t="shared" si="281"/>
        <v>577054</v>
      </c>
      <c r="FC63" s="358">
        <f t="shared" si="281"/>
        <v>595789</v>
      </c>
      <c r="FD63" s="358">
        <f t="shared" si="281"/>
        <v>543989</v>
      </c>
      <c r="FE63" s="358">
        <f t="shared" si="281"/>
        <v>538980</v>
      </c>
      <c r="FF63" s="358">
        <f t="shared" si="281"/>
        <v>577966</v>
      </c>
      <c r="FG63" s="358">
        <f t="shared" si="281"/>
        <v>606130</v>
      </c>
      <c r="FH63" s="358">
        <f t="shared" si="281"/>
        <v>693926</v>
      </c>
      <c r="FI63" s="358">
        <f t="shared" si="281"/>
        <v>727027</v>
      </c>
      <c r="FJ63" s="358">
        <f t="shared" si="281"/>
        <v>754586</v>
      </c>
      <c r="FK63" s="358">
        <f t="shared" si="281"/>
        <v>776648</v>
      </c>
      <c r="FL63" s="358">
        <f t="shared" ref="FL63:FQ63" si="282">SUM(FL61:FL62)</f>
        <v>702101</v>
      </c>
      <c r="FM63" s="358">
        <f t="shared" si="282"/>
        <v>614994</v>
      </c>
      <c r="FN63" s="358">
        <f t="shared" si="282"/>
        <v>587167</v>
      </c>
      <c r="FO63" s="358">
        <f t="shared" si="282"/>
        <v>565601</v>
      </c>
      <c r="FP63" s="358">
        <f t="shared" si="282"/>
        <v>533972</v>
      </c>
      <c r="FQ63" s="358">
        <f t="shared" si="282"/>
        <v>548956</v>
      </c>
      <c r="FR63" s="358">
        <f t="shared" ref="FR63:FT63" si="283">SUM(FR61:FR62)</f>
        <v>579747</v>
      </c>
      <c r="FS63" s="358">
        <f t="shared" si="283"/>
        <v>626643</v>
      </c>
      <c r="FT63" s="358">
        <f t="shared" si="283"/>
        <v>697927</v>
      </c>
    </row>
    <row r="64" spans="2:176" x14ac:dyDescent="0.25">
      <c r="B64" s="3" t="s">
        <v>10</v>
      </c>
      <c r="C64" s="26">
        <f t="shared" ref="C64:H64" si="284">SUM(C61)/C63</f>
        <v>0.9132445906730372</v>
      </c>
      <c r="D64" s="14">
        <f t="shared" si="284"/>
        <v>0.82094047062000552</v>
      </c>
      <c r="E64" s="14">
        <f t="shared" si="284"/>
        <v>0.80931878954965175</v>
      </c>
      <c r="F64" s="14">
        <f t="shared" si="284"/>
        <v>0.76716373951851791</v>
      </c>
      <c r="G64" s="14">
        <f t="shared" si="284"/>
        <v>0.7235020432201873</v>
      </c>
      <c r="H64" s="14">
        <f t="shared" si="284"/>
        <v>0.66970475010967345</v>
      </c>
      <c r="I64" s="14">
        <f t="shared" ref="I64:Q64" si="285">SUM(I61)/I63</f>
        <v>0.66671119942711643</v>
      </c>
      <c r="J64" s="14">
        <f t="shared" si="285"/>
        <v>0.67487409227429274</v>
      </c>
      <c r="K64" s="14">
        <f t="shared" si="285"/>
        <v>0.60051175469937268</v>
      </c>
      <c r="L64" s="14">
        <f t="shared" si="285"/>
        <v>0.57196387084463374</v>
      </c>
      <c r="M64" s="14">
        <f t="shared" si="285"/>
        <v>0.55278402736393162</v>
      </c>
      <c r="N64" s="23">
        <f t="shared" si="285"/>
        <v>0.51952471513126663</v>
      </c>
      <c r="O64" s="36">
        <f t="shared" si="285"/>
        <v>0.52438937675543074</v>
      </c>
      <c r="P64" s="14">
        <f t="shared" si="285"/>
        <v>0.49788894036388143</v>
      </c>
      <c r="Q64" s="14">
        <f t="shared" si="285"/>
        <v>0.49506533188205604</v>
      </c>
      <c r="R64" s="14">
        <f t="shared" ref="R64:W64" si="286">SUM(R61)/R63</f>
        <v>0.51959605845797141</v>
      </c>
      <c r="S64" s="14">
        <f t="shared" si="286"/>
        <v>0.50728004177707287</v>
      </c>
      <c r="T64" s="14">
        <f t="shared" si="286"/>
        <v>0.49946779879852332</v>
      </c>
      <c r="U64" s="14">
        <f t="shared" si="286"/>
        <v>0.48756699379063506</v>
      </c>
      <c r="V64" s="14">
        <f t="shared" si="286"/>
        <v>0.46772033359248005</v>
      </c>
      <c r="W64" s="14">
        <f t="shared" si="286"/>
        <v>0.43996890386110393</v>
      </c>
      <c r="X64" s="14">
        <f t="shared" ref="X64:AC64" si="287">SUM(X61)/X63</f>
        <v>0.39991467407122183</v>
      </c>
      <c r="Y64" s="14">
        <f t="shared" si="287"/>
        <v>0.38173674932657264</v>
      </c>
      <c r="Z64" s="23">
        <f t="shared" si="287"/>
        <v>0.3733345864004336</v>
      </c>
      <c r="AA64" s="14">
        <f t="shared" si="287"/>
        <v>0.36975693600784715</v>
      </c>
      <c r="AB64" s="14">
        <f t="shared" si="287"/>
        <v>0.36111340738827175</v>
      </c>
      <c r="AC64" s="14">
        <f t="shared" si="287"/>
        <v>0.34222791743614872</v>
      </c>
      <c r="AD64" s="14">
        <f t="shared" ref="AD64:AI64" si="288">SUM(AD61)/AD63</f>
        <v>0.32642771208393395</v>
      </c>
      <c r="AE64" s="14">
        <f t="shared" si="288"/>
        <v>0.31135218081648747</v>
      </c>
      <c r="AF64" s="14">
        <f t="shared" si="288"/>
        <v>0.31947031896632022</v>
      </c>
      <c r="AG64" s="14">
        <f t="shared" si="288"/>
        <v>0.30292589188737573</v>
      </c>
      <c r="AH64" s="14">
        <f t="shared" si="288"/>
        <v>0.28545098454539564</v>
      </c>
      <c r="AI64" s="14">
        <f t="shared" si="288"/>
        <v>0.26524711506335297</v>
      </c>
      <c r="AJ64" s="14">
        <f t="shared" ref="AJ64:AO64" si="289">SUM(AJ61)/AJ63</f>
        <v>0.24256183869385467</v>
      </c>
      <c r="AK64" s="14">
        <f t="shared" si="289"/>
        <v>0.23378290439571778</v>
      </c>
      <c r="AL64" s="14">
        <f t="shared" si="289"/>
        <v>0.22656030609379388</v>
      </c>
      <c r="AM64" s="78">
        <f t="shared" si="289"/>
        <v>0.22260822158139495</v>
      </c>
      <c r="AN64" s="14">
        <f t="shared" si="289"/>
        <v>0.21756840114396994</v>
      </c>
      <c r="AO64" s="14">
        <f t="shared" si="289"/>
        <v>0.20851902847386683</v>
      </c>
      <c r="AP64" s="14">
        <f t="shared" ref="AP64:AU64" si="290">SUM(AP61)/AP63</f>
        <v>0.20200517196680703</v>
      </c>
      <c r="AQ64" s="14">
        <f t="shared" si="290"/>
        <v>0.19826483819100657</v>
      </c>
      <c r="AR64" s="14">
        <f t="shared" si="290"/>
        <v>0.20537351154623681</v>
      </c>
      <c r="AS64" s="14">
        <f t="shared" si="290"/>
        <v>0.2021902911604353</v>
      </c>
      <c r="AT64" s="14">
        <f t="shared" si="290"/>
        <v>0.19863608559161627</v>
      </c>
      <c r="AU64" s="14">
        <f t="shared" si="290"/>
        <v>0.18613467095327016</v>
      </c>
      <c r="AV64" s="14">
        <f t="shared" ref="AV64:BJ64" si="291">SUM(AV61)/AV63</f>
        <v>0.18223690301419143</v>
      </c>
      <c r="AW64" s="14">
        <f t="shared" si="291"/>
        <v>0.17426654118417284</v>
      </c>
      <c r="AX64" s="14">
        <f t="shared" si="291"/>
        <v>0.17743371044350517</v>
      </c>
      <c r="AY64" s="78">
        <f t="shared" si="291"/>
        <v>0.18281268208227205</v>
      </c>
      <c r="AZ64" s="14">
        <f t="shared" si="291"/>
        <v>0.17647812156548628</v>
      </c>
      <c r="BA64" s="14">
        <f t="shared" si="291"/>
        <v>0.17399178919762814</v>
      </c>
      <c r="BB64" s="14">
        <f t="shared" si="291"/>
        <v>0.16640937322472804</v>
      </c>
      <c r="BC64" s="14">
        <f t="shared" si="291"/>
        <v>0.17062713057000478</v>
      </c>
      <c r="BD64" s="14">
        <f t="shared" si="291"/>
        <v>0.17135872334595187</v>
      </c>
      <c r="BE64" s="14">
        <f t="shared" si="291"/>
        <v>0.17057664166745642</v>
      </c>
      <c r="BF64" s="14">
        <f t="shared" si="291"/>
        <v>0.16028584486978512</v>
      </c>
      <c r="BG64" s="14">
        <f t="shared" si="291"/>
        <v>0.15228982642909542</v>
      </c>
      <c r="BH64" s="14">
        <f t="shared" si="291"/>
        <v>0.1064387241225954</v>
      </c>
      <c r="BI64" s="14">
        <f t="shared" si="291"/>
        <v>0.10451933891118545</v>
      </c>
      <c r="BJ64" s="23">
        <f t="shared" si="291"/>
        <v>0.10391567218511602</v>
      </c>
      <c r="BK64" s="14">
        <f t="shared" ref="BK64:BV64" si="292">SUM(BK61)/BK63</f>
        <v>0.14583108160271752</v>
      </c>
      <c r="BL64" s="14">
        <f t="shared" si="292"/>
        <v>0.13937431529844152</v>
      </c>
      <c r="BM64" s="14">
        <f t="shared" si="292"/>
        <v>0.13164817234282422</v>
      </c>
      <c r="BN64" s="14">
        <f t="shared" si="292"/>
        <v>0.12399852516087766</v>
      </c>
      <c r="BO64" s="14">
        <f t="shared" si="292"/>
        <v>0.1284971773474135</v>
      </c>
      <c r="BP64" s="14">
        <f t="shared" si="292"/>
        <v>0.12554366935270234</v>
      </c>
      <c r="BQ64" s="14">
        <f t="shared" si="292"/>
        <v>0.12880201000334482</v>
      </c>
      <c r="BR64" s="14">
        <f t="shared" si="292"/>
        <v>0.12430342652363495</v>
      </c>
      <c r="BS64" s="14">
        <f t="shared" si="292"/>
        <v>0.11529437239230692</v>
      </c>
      <c r="BT64" s="14">
        <f t="shared" si="292"/>
        <v>0.11000936501466978</v>
      </c>
      <c r="BU64" s="14">
        <f t="shared" si="292"/>
        <v>0.1038298770475676</v>
      </c>
      <c r="BV64" s="23">
        <f t="shared" si="292"/>
        <v>0.10200815113998887</v>
      </c>
      <c r="BW64" s="14">
        <f t="shared" ref="BW64:CB64" si="293">SUM(BW61)/BW63</f>
        <v>0.10557355812662994</v>
      </c>
      <c r="BX64" s="14">
        <f t="shared" si="293"/>
        <v>0.10168033586187783</v>
      </c>
      <c r="BY64" s="14">
        <f t="shared" si="293"/>
        <v>9.5743372451934899E-2</v>
      </c>
      <c r="BZ64" s="14">
        <f t="shared" si="293"/>
        <v>9.499665619911607E-2</v>
      </c>
      <c r="CA64" s="14">
        <f t="shared" si="293"/>
        <v>9.4776912978569369E-2</v>
      </c>
      <c r="CB64" s="14">
        <f t="shared" si="293"/>
        <v>9.9184748710347312E-2</v>
      </c>
      <c r="CC64" s="14">
        <f t="shared" ref="CC64:DK64" si="294">SUM(CC61)/CC63</f>
        <v>9.885304510125531E-2</v>
      </c>
      <c r="CD64" s="14">
        <f t="shared" si="294"/>
        <v>9.679209957694225E-2</v>
      </c>
      <c r="CE64" s="14">
        <f t="shared" si="294"/>
        <v>9.4420043608100176E-2</v>
      </c>
      <c r="CF64" s="14">
        <f t="shared" si="294"/>
        <v>8.8245495994912437E-2</v>
      </c>
      <c r="CG64" s="14">
        <f t="shared" si="294"/>
        <v>8.3325579132446773E-2</v>
      </c>
      <c r="CH64" s="23">
        <f t="shared" si="294"/>
        <v>8.0688823103407872E-2</v>
      </c>
      <c r="CI64" s="239">
        <f t="shared" si="294"/>
        <v>8.0257131715970001E-2</v>
      </c>
      <c r="CJ64" s="240">
        <f t="shared" si="294"/>
        <v>7.5845021067475024E-2</v>
      </c>
      <c r="CK64" s="240">
        <f t="shared" si="294"/>
        <v>7.2920165202116125E-2</v>
      </c>
      <c r="CL64" s="240">
        <f t="shared" si="294"/>
        <v>7.1987011365055573E-2</v>
      </c>
      <c r="CM64" s="240">
        <f t="shared" si="294"/>
        <v>7.1589553676115303E-2</v>
      </c>
      <c r="CN64" s="240">
        <f t="shared" si="294"/>
        <v>7.1729369264886808E-2</v>
      </c>
      <c r="CO64" s="240">
        <f t="shared" si="294"/>
        <v>7.362443733069246E-2</v>
      </c>
      <c r="CP64" s="240">
        <f t="shared" si="294"/>
        <v>7.0765734850538387E-2</v>
      </c>
      <c r="CQ64" s="240">
        <f t="shared" si="294"/>
        <v>6.493862084314346E-2</v>
      </c>
      <c r="CR64" s="240">
        <f t="shared" si="294"/>
        <v>5.9308640137954907E-2</v>
      </c>
      <c r="CS64" s="240">
        <f t="shared" si="294"/>
        <v>5.5698408750469858E-2</v>
      </c>
      <c r="CT64" s="241">
        <f t="shared" si="294"/>
        <v>5.5161808743106222E-2</v>
      </c>
      <c r="CU64" s="240">
        <f t="shared" si="294"/>
        <v>6.0529933264428008E-2</v>
      </c>
      <c r="CV64" s="240">
        <f t="shared" si="294"/>
        <v>5.5727890021173843E-2</v>
      </c>
      <c r="CW64" s="240">
        <f t="shared" si="294"/>
        <v>5.3906643407904437E-2</v>
      </c>
      <c r="CX64" s="240">
        <f t="shared" si="294"/>
        <v>4.9558006339967368E-2</v>
      </c>
      <c r="CY64" s="240">
        <f t="shared" si="294"/>
        <v>4.9418275986454256E-2</v>
      </c>
      <c r="CZ64" s="240">
        <f t="shared" si="294"/>
        <v>5.0897172859575429E-2</v>
      </c>
      <c r="DA64" s="240">
        <f t="shared" si="294"/>
        <v>5.2008365398212304E-2</v>
      </c>
      <c r="DB64" s="240">
        <f t="shared" si="294"/>
        <v>5.3913120472059983E-2</v>
      </c>
      <c r="DC64" s="240">
        <f t="shared" si="294"/>
        <v>4.9352394176969537E-2</v>
      </c>
      <c r="DD64" s="240">
        <f t="shared" si="294"/>
        <v>4.6531953019626739E-2</v>
      </c>
      <c r="DE64" s="240">
        <f t="shared" si="294"/>
        <v>4.37762778638228E-2</v>
      </c>
      <c r="DF64" s="241">
        <f t="shared" si="294"/>
        <v>4.3973423135054868E-2</v>
      </c>
      <c r="DG64" s="240">
        <f t="shared" si="294"/>
        <v>4.4626562956501858E-2</v>
      </c>
      <c r="DH64" s="240">
        <f t="shared" si="294"/>
        <v>4.5689337104907149E-2</v>
      </c>
      <c r="DI64" s="240">
        <f t="shared" si="294"/>
        <v>4.1562251451821124E-2</v>
      </c>
      <c r="DJ64" s="240">
        <f t="shared" si="294"/>
        <v>4.1320230352691743E-2</v>
      </c>
      <c r="DK64" s="240">
        <f t="shared" si="294"/>
        <v>4.1085156474508749E-2</v>
      </c>
      <c r="DL64" s="240">
        <f t="shared" ref="DL64:FK64" si="295">SUM(DL61)/DL63</f>
        <v>4.2859139724185924E-2</v>
      </c>
      <c r="DM64" s="240">
        <f t="shared" si="295"/>
        <v>4.3557831970032872E-2</v>
      </c>
      <c r="DN64" s="240">
        <f t="shared" si="295"/>
        <v>4.225682420116332E-2</v>
      </c>
      <c r="DO64" s="240">
        <f t="shared" si="295"/>
        <v>4.0863575934149861E-2</v>
      </c>
      <c r="DP64" s="240">
        <f t="shared" si="295"/>
        <v>3.9607690042258246E-2</v>
      </c>
      <c r="DQ64" s="240">
        <f t="shared" si="295"/>
        <v>3.739730426133471E-2</v>
      </c>
      <c r="DR64" s="240">
        <f t="shared" si="295"/>
        <v>3.6792496555443664E-2</v>
      </c>
      <c r="DS64" s="240">
        <f t="shared" si="295"/>
        <v>3.8216048058356579E-2</v>
      </c>
      <c r="DT64" s="240">
        <f t="shared" si="295"/>
        <v>3.616122921935682E-2</v>
      </c>
      <c r="DU64" s="240">
        <f t="shared" si="295"/>
        <v>3.5478331905713652E-2</v>
      </c>
      <c r="DV64" s="356">
        <f t="shared" si="295"/>
        <v>3.5232248492735735E-2</v>
      </c>
      <c r="DW64" s="356">
        <f t="shared" si="295"/>
        <v>3.5915963873732221E-2</v>
      </c>
      <c r="DX64" s="356">
        <f t="shared" si="295"/>
        <v>3.6390142372663047E-2</v>
      </c>
      <c r="DY64" s="356">
        <f t="shared" si="295"/>
        <v>3.8048368594103828E-2</v>
      </c>
      <c r="DZ64" s="356">
        <f t="shared" si="295"/>
        <v>3.8356198439565267E-2</v>
      </c>
      <c r="EA64" s="356">
        <f t="shared" si="295"/>
        <v>3.5872065257733191E-2</v>
      </c>
      <c r="EB64" s="356">
        <f t="shared" si="295"/>
        <v>3.4320169913623168E-2</v>
      </c>
      <c r="EC64" s="356">
        <f t="shared" si="295"/>
        <v>3.3046631222295134E-2</v>
      </c>
      <c r="ED64" s="356">
        <f t="shared" si="295"/>
        <v>3.2173379058183051E-2</v>
      </c>
      <c r="EE64" s="356">
        <f t="shared" si="295"/>
        <v>3.3000501657612431E-2</v>
      </c>
      <c r="EF64" s="356">
        <f t="shared" si="295"/>
        <v>3.0647453205580533E-2</v>
      </c>
      <c r="EG64" s="356">
        <f t="shared" si="295"/>
        <v>2.9447703075224853E-2</v>
      </c>
      <c r="EH64" s="356">
        <f t="shared" si="295"/>
        <v>2.9434266517357224E-2</v>
      </c>
      <c r="EI64" s="356">
        <f t="shared" si="295"/>
        <v>2.9317331642913037E-2</v>
      </c>
      <c r="EJ64" s="356">
        <f t="shared" si="295"/>
        <v>2.9544815898174343E-2</v>
      </c>
      <c r="EK64" s="356">
        <f t="shared" si="295"/>
        <v>3.051227851863374E-2</v>
      </c>
      <c r="EL64" s="356">
        <f t="shared" si="295"/>
        <v>3.0458948176007271E-2</v>
      </c>
      <c r="EM64" s="356">
        <f t="shared" si="295"/>
        <v>2.8931820249558336E-2</v>
      </c>
      <c r="EN64" s="356">
        <f t="shared" si="295"/>
        <v>2.7455698642348605E-2</v>
      </c>
      <c r="EO64" s="356">
        <f t="shared" si="295"/>
        <v>2.7385634864977488E-2</v>
      </c>
      <c r="EP64" s="356">
        <f t="shared" si="295"/>
        <v>2.6794039815843565E-2</v>
      </c>
      <c r="EQ64" s="356">
        <f t="shared" si="295"/>
        <v>2.9738103892956672E-2</v>
      </c>
      <c r="ER64" s="356">
        <f t="shared" si="295"/>
        <v>2.6256330346708219E-2</v>
      </c>
      <c r="ES64" s="356">
        <f t="shared" si="295"/>
        <v>2.5376266849235121E-2</v>
      </c>
      <c r="ET64" s="356">
        <f t="shared" si="295"/>
        <v>2.3775278658377846E-2</v>
      </c>
      <c r="EU64" s="356">
        <f t="shared" si="295"/>
        <v>2.3532532057618051E-2</v>
      </c>
      <c r="EV64" s="356">
        <f t="shared" si="295"/>
        <v>2.4269972210290081E-2</v>
      </c>
      <c r="EW64" s="356">
        <f t="shared" si="295"/>
        <v>2.5139585174445835E-2</v>
      </c>
      <c r="EX64" s="356">
        <f t="shared" si="295"/>
        <v>2.4979173993097667E-2</v>
      </c>
      <c r="EY64" s="356">
        <f t="shared" si="295"/>
        <v>2.4061097190110452E-2</v>
      </c>
      <c r="EZ64" s="356">
        <f t="shared" si="295"/>
        <v>2.3235610610062536E-2</v>
      </c>
      <c r="FA64" s="356">
        <f t="shared" si="295"/>
        <v>2.2533241643620555E-2</v>
      </c>
      <c r="FB64" s="356">
        <f t="shared" si="295"/>
        <v>2.215737175377001E-2</v>
      </c>
      <c r="FC64" s="356">
        <f t="shared" si="295"/>
        <v>2.4542245660796019E-2</v>
      </c>
      <c r="FD64" s="356">
        <f t="shared" si="295"/>
        <v>2.3430620839759629E-2</v>
      </c>
      <c r="FE64" s="356">
        <f t="shared" si="295"/>
        <v>2.2909940999666034E-2</v>
      </c>
      <c r="FF64" s="356">
        <f t="shared" si="295"/>
        <v>2.0293581283328085E-2</v>
      </c>
      <c r="FG64" s="356">
        <f t="shared" si="295"/>
        <v>2.012769537887912E-2</v>
      </c>
      <c r="FH64" s="356">
        <f t="shared" si="295"/>
        <v>2.0232704928191191E-2</v>
      </c>
      <c r="FI64" s="356">
        <f t="shared" si="295"/>
        <v>2.0568699649394038E-2</v>
      </c>
      <c r="FJ64" s="356">
        <f t="shared" si="295"/>
        <v>2.0643107611325946E-2</v>
      </c>
      <c r="FK64" s="356">
        <f t="shared" si="295"/>
        <v>1.9414200512973701E-2</v>
      </c>
      <c r="FL64" s="356">
        <f t="shared" ref="FL64:FQ64" si="296">SUM(FL61)/FL63</f>
        <v>1.858137219573822E-2</v>
      </c>
      <c r="FM64" s="356">
        <f t="shared" si="296"/>
        <v>1.7149760810674576E-2</v>
      </c>
      <c r="FN64" s="356">
        <f t="shared" si="296"/>
        <v>1.682315252730484E-2</v>
      </c>
      <c r="FO64" s="356">
        <f t="shared" si="296"/>
        <v>1.795258494946084E-2</v>
      </c>
      <c r="FP64" s="356">
        <f t="shared" si="296"/>
        <v>1.616189612938506E-2</v>
      </c>
      <c r="FQ64" s="356">
        <f t="shared" si="296"/>
        <v>1.4817216680389685E-2</v>
      </c>
      <c r="FR64" s="356">
        <f t="shared" ref="FR64:FT64" si="297">SUM(FR61)/FR63</f>
        <v>1.4566698922116027E-2</v>
      </c>
      <c r="FS64" s="356">
        <f t="shared" si="297"/>
        <v>1.4742046109188165E-2</v>
      </c>
      <c r="FT64" s="356">
        <f t="shared" si="297"/>
        <v>1.500443456120769E-2</v>
      </c>
    </row>
    <row r="65" spans="2:176" ht="13.8" thickBot="1" x14ac:dyDescent="0.3">
      <c r="B65" s="4" t="s">
        <v>11</v>
      </c>
      <c r="C65" s="27">
        <f t="shared" ref="C65:H65" si="298">SUM(C62/C63)</f>
        <v>8.6755409326962726E-2</v>
      </c>
      <c r="D65" s="15">
        <f t="shared" si="298"/>
        <v>0.17905952937999453</v>
      </c>
      <c r="E65" s="15">
        <f t="shared" si="298"/>
        <v>0.1906812104503483</v>
      </c>
      <c r="F65" s="15">
        <f t="shared" si="298"/>
        <v>0.23283626048148212</v>
      </c>
      <c r="G65" s="15">
        <f t="shared" si="298"/>
        <v>0.2764979567798127</v>
      </c>
      <c r="H65" s="15">
        <f t="shared" si="298"/>
        <v>0.33029524989032655</v>
      </c>
      <c r="I65" s="15">
        <f t="shared" ref="I65:Q65" si="299">SUM(I62/I63)</f>
        <v>0.33328880057288357</v>
      </c>
      <c r="J65" s="15">
        <f t="shared" si="299"/>
        <v>0.32512590772570726</v>
      </c>
      <c r="K65" s="15">
        <f t="shared" si="299"/>
        <v>0.39948824530062726</v>
      </c>
      <c r="L65" s="15">
        <f t="shared" si="299"/>
        <v>0.42803612915536626</v>
      </c>
      <c r="M65" s="15">
        <f t="shared" si="299"/>
        <v>0.44721597263606833</v>
      </c>
      <c r="N65" s="24">
        <f t="shared" si="299"/>
        <v>0.48047528486873337</v>
      </c>
      <c r="O65" s="37">
        <f t="shared" si="299"/>
        <v>0.47561062324456926</v>
      </c>
      <c r="P65" s="15">
        <f t="shared" si="299"/>
        <v>0.50211105963611857</v>
      </c>
      <c r="Q65" s="15">
        <f t="shared" si="299"/>
        <v>0.50493466811794396</v>
      </c>
      <c r="R65" s="15">
        <f t="shared" ref="R65:W65" si="300">SUM(R62/R63)</f>
        <v>0.48040394154202853</v>
      </c>
      <c r="S65" s="15">
        <f t="shared" si="300"/>
        <v>0.49271995822292708</v>
      </c>
      <c r="T65" s="15">
        <f t="shared" si="300"/>
        <v>0.50053220120147668</v>
      </c>
      <c r="U65" s="15">
        <f t="shared" si="300"/>
        <v>0.51243300620936494</v>
      </c>
      <c r="V65" s="15">
        <f t="shared" si="300"/>
        <v>0.53227966640752</v>
      </c>
      <c r="W65" s="15">
        <f t="shared" si="300"/>
        <v>0.56003109613889612</v>
      </c>
      <c r="X65" s="15">
        <f t="shared" ref="X65:AC65" si="301">SUM(X62/X63)</f>
        <v>0.60008532592877817</v>
      </c>
      <c r="Y65" s="15">
        <f t="shared" si="301"/>
        <v>0.61826325067342736</v>
      </c>
      <c r="Z65" s="24">
        <f t="shared" si="301"/>
        <v>0.6266654135995664</v>
      </c>
      <c r="AA65" s="15">
        <f t="shared" si="301"/>
        <v>0.6302430639921528</v>
      </c>
      <c r="AB65" s="15">
        <f t="shared" si="301"/>
        <v>0.6388865926117282</v>
      </c>
      <c r="AC65" s="15">
        <f t="shared" si="301"/>
        <v>0.65777208256385133</v>
      </c>
      <c r="AD65" s="15">
        <f t="shared" ref="AD65:AI65" si="302">SUM(AD62/AD63)</f>
        <v>0.67357228791606605</v>
      </c>
      <c r="AE65" s="15">
        <f t="shared" si="302"/>
        <v>0.68864781918351259</v>
      </c>
      <c r="AF65" s="15">
        <f t="shared" si="302"/>
        <v>0.68052968103367972</v>
      </c>
      <c r="AG65" s="15">
        <f t="shared" si="302"/>
        <v>0.69707410811262427</v>
      </c>
      <c r="AH65" s="15">
        <f t="shared" si="302"/>
        <v>0.71454901545460436</v>
      </c>
      <c r="AI65" s="15">
        <f t="shared" si="302"/>
        <v>0.73475288493664703</v>
      </c>
      <c r="AJ65" s="15">
        <f t="shared" ref="AJ65:AO65" si="303">SUM(AJ62/AJ63)</f>
        <v>0.75743816130614527</v>
      </c>
      <c r="AK65" s="15">
        <f t="shared" si="303"/>
        <v>0.76621709560428219</v>
      </c>
      <c r="AL65" s="15">
        <f t="shared" si="303"/>
        <v>0.77343969390620615</v>
      </c>
      <c r="AM65" s="79">
        <f t="shared" si="303"/>
        <v>0.77739177841860507</v>
      </c>
      <c r="AN65" s="15">
        <f t="shared" si="303"/>
        <v>0.78243159885603009</v>
      </c>
      <c r="AO65" s="15">
        <f t="shared" si="303"/>
        <v>0.79148097152613317</v>
      </c>
      <c r="AP65" s="15">
        <f t="shared" ref="AP65:AU65" si="304">SUM(AP62/AP63)</f>
        <v>0.79799482803319299</v>
      </c>
      <c r="AQ65" s="15">
        <f t="shared" si="304"/>
        <v>0.8017351618089934</v>
      </c>
      <c r="AR65" s="15">
        <f t="shared" si="304"/>
        <v>0.79462648845376316</v>
      </c>
      <c r="AS65" s="15">
        <f t="shared" si="304"/>
        <v>0.7978097088395647</v>
      </c>
      <c r="AT65" s="15">
        <f t="shared" si="304"/>
        <v>0.80136391440838373</v>
      </c>
      <c r="AU65" s="15">
        <f t="shared" si="304"/>
        <v>0.81386532904672981</v>
      </c>
      <c r="AV65" s="15">
        <f>SUM(AV62/AV63)</f>
        <v>0.81776309698580851</v>
      </c>
      <c r="AW65" s="15">
        <f>SUM(AW62/AW63)</f>
        <v>0.82573345881582716</v>
      </c>
      <c r="AX65" s="15">
        <f>SUM(AX62/AX63)</f>
        <v>0.8225662895564948</v>
      </c>
      <c r="AY65" s="79">
        <f t="shared" ref="AY65:BG65" si="305">SUM(AY62/AY63)</f>
        <v>0.81718731791772792</v>
      </c>
      <c r="AZ65" s="15">
        <f t="shared" si="305"/>
        <v>0.82352187843451374</v>
      </c>
      <c r="BA65" s="15">
        <f t="shared" si="305"/>
        <v>0.82600821080237186</v>
      </c>
      <c r="BB65" s="15">
        <f t="shared" si="305"/>
        <v>0.83359062677527196</v>
      </c>
      <c r="BC65" s="15">
        <f t="shared" si="305"/>
        <v>0.82937286942999522</v>
      </c>
      <c r="BD65" s="15">
        <f t="shared" si="305"/>
        <v>0.82864127665404808</v>
      </c>
      <c r="BE65" s="15">
        <f t="shared" si="305"/>
        <v>0.82942335833254355</v>
      </c>
      <c r="BF65" s="15">
        <f t="shared" si="305"/>
        <v>0.83971415513021486</v>
      </c>
      <c r="BG65" s="15">
        <f t="shared" si="305"/>
        <v>0.84771017357090461</v>
      </c>
      <c r="BH65" s="15">
        <f>SUM(BH62/BH63)</f>
        <v>0.89356127587740464</v>
      </c>
      <c r="BI65" s="15">
        <f>SUM(BI62/BI63)</f>
        <v>0.89548066108881452</v>
      </c>
      <c r="BJ65" s="24">
        <f>SUM(BJ62/BJ63)</f>
        <v>0.89608432781488401</v>
      </c>
      <c r="BK65" s="15">
        <f t="shared" ref="BK65:BS65" si="306">SUM(BK62/BK63)</f>
        <v>0.85416891839728248</v>
      </c>
      <c r="BL65" s="15">
        <f t="shared" si="306"/>
        <v>0.86062568470155842</v>
      </c>
      <c r="BM65" s="15">
        <f t="shared" si="306"/>
        <v>0.86835182765717578</v>
      </c>
      <c r="BN65" s="15">
        <f t="shared" si="306"/>
        <v>0.87600147483912238</v>
      </c>
      <c r="BO65" s="15">
        <f t="shared" si="306"/>
        <v>0.8715028226525865</v>
      </c>
      <c r="BP65" s="15">
        <f t="shared" si="306"/>
        <v>0.87445633064729766</v>
      </c>
      <c r="BQ65" s="15">
        <f t="shared" si="306"/>
        <v>0.87119798999665521</v>
      </c>
      <c r="BR65" s="15">
        <f t="shared" si="306"/>
        <v>0.87569657347636509</v>
      </c>
      <c r="BS65" s="15">
        <f t="shared" si="306"/>
        <v>0.88470562760769311</v>
      </c>
      <c r="BT65" s="15">
        <f>SUM(BT62/BT63)</f>
        <v>0.88999063498533026</v>
      </c>
      <c r="BU65" s="15">
        <f>SUM(BU62/BU63)</f>
        <v>0.89617012295243237</v>
      </c>
      <c r="BV65" s="24">
        <f>SUM(BV62/BV63)</f>
        <v>0.89799184886001115</v>
      </c>
      <c r="BW65" s="15">
        <f t="shared" ref="BW65:CB65" si="307">SUM(BW62/BW63)</f>
        <v>0.89442644187337006</v>
      </c>
      <c r="BX65" s="15">
        <f t="shared" si="307"/>
        <v>0.89831966413812214</v>
      </c>
      <c r="BY65" s="15">
        <f t="shared" si="307"/>
        <v>0.90425662754806513</v>
      </c>
      <c r="BZ65" s="15">
        <f t="shared" si="307"/>
        <v>0.90500334380088387</v>
      </c>
      <c r="CA65" s="15">
        <f t="shared" si="307"/>
        <v>0.90522308702143062</v>
      </c>
      <c r="CB65" s="15">
        <f t="shared" si="307"/>
        <v>0.90081525128965267</v>
      </c>
      <c r="CC65" s="15">
        <f t="shared" ref="CC65:DK65" si="308">SUM(CC62/CC63)</f>
        <v>0.90114695489874475</v>
      </c>
      <c r="CD65" s="15">
        <f t="shared" si="308"/>
        <v>0.90320790042305776</v>
      </c>
      <c r="CE65" s="15">
        <f t="shared" si="308"/>
        <v>0.90557995639189981</v>
      </c>
      <c r="CF65" s="15">
        <f t="shared" si="308"/>
        <v>0.91175450400508751</v>
      </c>
      <c r="CG65" s="15">
        <f t="shared" si="308"/>
        <v>0.91667442086755335</v>
      </c>
      <c r="CH65" s="24">
        <f t="shared" si="308"/>
        <v>0.91931117689659214</v>
      </c>
      <c r="CI65" s="244">
        <f t="shared" si="308"/>
        <v>0.91974286828402996</v>
      </c>
      <c r="CJ65" s="245">
        <f t="shared" si="308"/>
        <v>0.92415497893252496</v>
      </c>
      <c r="CK65" s="245">
        <f t="shared" si="308"/>
        <v>0.92707983479788392</v>
      </c>
      <c r="CL65" s="245">
        <f t="shared" si="308"/>
        <v>0.92801298863494441</v>
      </c>
      <c r="CM65" s="245">
        <f t="shared" si="308"/>
        <v>0.9284104463238847</v>
      </c>
      <c r="CN65" s="245">
        <f t="shared" si="308"/>
        <v>0.92827063073511318</v>
      </c>
      <c r="CO65" s="245">
        <f t="shared" si="308"/>
        <v>0.92637556266930754</v>
      </c>
      <c r="CP65" s="245">
        <f t="shared" si="308"/>
        <v>0.92923426514946161</v>
      </c>
      <c r="CQ65" s="245">
        <f t="shared" si="308"/>
        <v>0.9350613791568565</v>
      </c>
      <c r="CR65" s="245">
        <f t="shared" si="308"/>
        <v>0.94069135986204511</v>
      </c>
      <c r="CS65" s="245">
        <f t="shared" si="308"/>
        <v>0.94430159124953017</v>
      </c>
      <c r="CT65" s="246">
        <f t="shared" si="308"/>
        <v>0.94483819125689383</v>
      </c>
      <c r="CU65" s="245">
        <f t="shared" si="308"/>
        <v>0.93947006673557198</v>
      </c>
      <c r="CV65" s="245">
        <f t="shared" si="308"/>
        <v>0.94427210997882616</v>
      </c>
      <c r="CW65" s="245">
        <f t="shared" si="308"/>
        <v>0.94609335659209559</v>
      </c>
      <c r="CX65" s="245">
        <f t="shared" si="308"/>
        <v>0.95044199366003268</v>
      </c>
      <c r="CY65" s="245">
        <f t="shared" si="308"/>
        <v>0.95058172401354579</v>
      </c>
      <c r="CZ65" s="245">
        <f t="shared" si="308"/>
        <v>0.9491028271404246</v>
      </c>
      <c r="DA65" s="245">
        <f t="shared" si="308"/>
        <v>0.9479916346017877</v>
      </c>
      <c r="DB65" s="245">
        <f t="shared" si="308"/>
        <v>0.94608687952794002</v>
      </c>
      <c r="DC65" s="245">
        <f t="shared" si="308"/>
        <v>0.95064760582303043</v>
      </c>
      <c r="DD65" s="245">
        <f t="shared" si="308"/>
        <v>0.95346804698037324</v>
      </c>
      <c r="DE65" s="245">
        <f t="shared" si="308"/>
        <v>0.95622372213617723</v>
      </c>
      <c r="DF65" s="246">
        <f t="shared" si="308"/>
        <v>0.95602657686494508</v>
      </c>
      <c r="DG65" s="245">
        <f t="shared" si="308"/>
        <v>0.9553734370434982</v>
      </c>
      <c r="DH65" s="245">
        <f t="shared" si="308"/>
        <v>0.95431066289509281</v>
      </c>
      <c r="DI65" s="245">
        <f t="shared" si="308"/>
        <v>0.95843774854817887</v>
      </c>
      <c r="DJ65" s="245">
        <f t="shared" si="308"/>
        <v>0.95867976964730828</v>
      </c>
      <c r="DK65" s="245">
        <f t="shared" si="308"/>
        <v>0.95891484352549128</v>
      </c>
      <c r="DL65" s="245">
        <f t="shared" ref="DL65:DU65" si="309">SUM(DL62/DL63)</f>
        <v>0.95714086027581402</v>
      </c>
      <c r="DM65" s="245">
        <f t="shared" si="309"/>
        <v>0.95644216802996718</v>
      </c>
      <c r="DN65" s="245">
        <f t="shared" si="309"/>
        <v>0.95774317579883672</v>
      </c>
      <c r="DO65" s="245">
        <f t="shared" si="309"/>
        <v>0.95913642406585009</v>
      </c>
      <c r="DP65" s="245">
        <f t="shared" si="309"/>
        <v>0.96039230995774172</v>
      </c>
      <c r="DQ65" s="245">
        <f t="shared" si="309"/>
        <v>0.9626026957386653</v>
      </c>
      <c r="DR65" s="245">
        <f t="shared" si="309"/>
        <v>0.9632075034445563</v>
      </c>
      <c r="DS65" s="245">
        <f t="shared" si="309"/>
        <v>0.96178395194164346</v>
      </c>
      <c r="DT65" s="245">
        <f t="shared" si="309"/>
        <v>0.96383877078064317</v>
      </c>
      <c r="DU65" s="245">
        <f t="shared" si="309"/>
        <v>0.9645216680942863</v>
      </c>
      <c r="DV65" s="357">
        <f t="shared" ref="DV65:FK65" si="310">SUM(DV62/DV63)</f>
        <v>0.96476775150726424</v>
      </c>
      <c r="DW65" s="357">
        <f t="shared" si="310"/>
        <v>0.96408403612626781</v>
      </c>
      <c r="DX65" s="357">
        <f t="shared" si="310"/>
        <v>0.96360985762733697</v>
      </c>
      <c r="DY65" s="357">
        <f t="shared" si="310"/>
        <v>0.96195163140589612</v>
      </c>
      <c r="DZ65" s="357">
        <f t="shared" si="310"/>
        <v>0.96164380156043472</v>
      </c>
      <c r="EA65" s="357">
        <f t="shared" si="310"/>
        <v>0.96412793474226677</v>
      </c>
      <c r="EB65" s="357">
        <f t="shared" si="310"/>
        <v>0.96567983008637681</v>
      </c>
      <c r="EC65" s="357">
        <f t="shared" si="310"/>
        <v>0.96695336877770488</v>
      </c>
      <c r="ED65" s="357">
        <f t="shared" si="310"/>
        <v>0.96782662094181693</v>
      </c>
      <c r="EE65" s="357">
        <f t="shared" si="310"/>
        <v>0.96699949834238752</v>
      </c>
      <c r="EF65" s="357">
        <f t="shared" si="310"/>
        <v>0.96935254679441951</v>
      </c>
      <c r="EG65" s="357">
        <f t="shared" si="310"/>
        <v>0.97055229692477518</v>
      </c>
      <c r="EH65" s="357">
        <f t="shared" si="310"/>
        <v>0.97056573348264275</v>
      </c>
      <c r="EI65" s="357">
        <f t="shared" si="310"/>
        <v>0.97068266835708694</v>
      </c>
      <c r="EJ65" s="357">
        <f t="shared" si="310"/>
        <v>0.97045518410182563</v>
      </c>
      <c r="EK65" s="357">
        <f t="shared" si="310"/>
        <v>0.9694877214813663</v>
      </c>
      <c r="EL65" s="357">
        <f t="shared" si="310"/>
        <v>0.96954105182399275</v>
      </c>
      <c r="EM65" s="357">
        <f t="shared" si="310"/>
        <v>0.97106817975044168</v>
      </c>
      <c r="EN65" s="357">
        <f t="shared" si="310"/>
        <v>0.97254430135765135</v>
      </c>
      <c r="EO65" s="357">
        <f t="shared" si="310"/>
        <v>0.97261436513502253</v>
      </c>
      <c r="EP65" s="357">
        <f t="shared" si="310"/>
        <v>0.97320596018415639</v>
      </c>
      <c r="EQ65" s="357">
        <f t="shared" si="310"/>
        <v>0.97026189610704328</v>
      </c>
      <c r="ER65" s="357">
        <f t="shared" si="310"/>
        <v>0.97374366965329173</v>
      </c>
      <c r="ES65" s="357">
        <f t="shared" si="310"/>
        <v>0.97462373315076489</v>
      </c>
      <c r="ET65" s="357">
        <f t="shared" si="310"/>
        <v>0.97622472134162219</v>
      </c>
      <c r="EU65" s="357">
        <f t="shared" si="310"/>
        <v>0.97646746794238193</v>
      </c>
      <c r="EV65" s="357">
        <f t="shared" si="310"/>
        <v>0.97573002778970996</v>
      </c>
      <c r="EW65" s="357">
        <f t="shared" si="310"/>
        <v>0.97486041482555419</v>
      </c>
      <c r="EX65" s="357">
        <f t="shared" si="310"/>
        <v>0.97502082600690232</v>
      </c>
      <c r="EY65" s="357">
        <f t="shared" si="310"/>
        <v>0.9759389028098896</v>
      </c>
      <c r="EZ65" s="357">
        <f t="shared" si="310"/>
        <v>0.97676438938993748</v>
      </c>
      <c r="FA65" s="357">
        <f t="shared" si="310"/>
        <v>0.97746675835637942</v>
      </c>
      <c r="FB65" s="357">
        <f t="shared" si="310"/>
        <v>0.97784262824623003</v>
      </c>
      <c r="FC65" s="357">
        <f t="shared" si="310"/>
        <v>0.97545775433920401</v>
      </c>
      <c r="FD65" s="357">
        <f t="shared" si="310"/>
        <v>0.97656937916024034</v>
      </c>
      <c r="FE65" s="357">
        <f t="shared" si="310"/>
        <v>0.97709005900033397</v>
      </c>
      <c r="FF65" s="357">
        <f t="shared" si="310"/>
        <v>0.97970641871667197</v>
      </c>
      <c r="FG65" s="357">
        <f t="shared" si="310"/>
        <v>0.97987230462112085</v>
      </c>
      <c r="FH65" s="357">
        <f t="shared" si="310"/>
        <v>0.97976729507180882</v>
      </c>
      <c r="FI65" s="357">
        <f t="shared" si="310"/>
        <v>0.97943130035060599</v>
      </c>
      <c r="FJ65" s="357">
        <f t="shared" si="310"/>
        <v>0.97935689238867407</v>
      </c>
      <c r="FK65" s="357">
        <f t="shared" si="310"/>
        <v>0.98058579948702629</v>
      </c>
      <c r="FL65" s="357">
        <f t="shared" ref="FL65:FQ65" si="311">SUM(FL62/FL63)</f>
        <v>0.98141862780426181</v>
      </c>
      <c r="FM65" s="357">
        <f t="shared" si="311"/>
        <v>0.98285023918932546</v>
      </c>
      <c r="FN65" s="357">
        <f t="shared" si="311"/>
        <v>0.98317684747269518</v>
      </c>
      <c r="FO65" s="357">
        <f t="shared" si="311"/>
        <v>0.98204741505053916</v>
      </c>
      <c r="FP65" s="357">
        <f t="shared" si="311"/>
        <v>0.98383810387061499</v>
      </c>
      <c r="FQ65" s="357">
        <f t="shared" si="311"/>
        <v>0.98518278331961029</v>
      </c>
      <c r="FR65" s="357">
        <f t="shared" ref="FR65:FT65" si="312">SUM(FR62/FR63)</f>
        <v>0.98543330107788396</v>
      </c>
      <c r="FS65" s="357">
        <f t="shared" si="312"/>
        <v>0.98525795389081183</v>
      </c>
      <c r="FT65" s="357">
        <f t="shared" si="312"/>
        <v>0.9849955654387923</v>
      </c>
    </row>
    <row r="66" spans="2:176" x14ac:dyDescent="0.25">
      <c r="B66" s="3"/>
      <c r="C66" s="56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20"/>
      <c r="O66" s="42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20"/>
      <c r="AM66" s="74"/>
      <c r="AY66" s="74"/>
      <c r="BJ66" s="20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20"/>
      <c r="CI66" s="7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  <c r="EE66" s="302"/>
      <c r="EF66" s="302"/>
      <c r="EG66" s="302"/>
      <c r="EH66" s="302"/>
      <c r="EI66" s="302"/>
      <c r="EJ66" s="302"/>
      <c r="EK66" s="302"/>
      <c r="EL66" s="302"/>
      <c r="EM66" s="302"/>
      <c r="EN66" s="302"/>
      <c r="EO66" s="302"/>
      <c r="EP66" s="302"/>
    </row>
    <row r="67" spans="2:176" x14ac:dyDescent="0.25">
      <c r="B67" s="3" t="s">
        <v>22</v>
      </c>
      <c r="C67" s="69">
        <f t="shared" ref="C67:BJ67" si="313">SUM(1000*(C63))/C18</f>
        <v>3637.9873325730641</v>
      </c>
      <c r="D67" s="69">
        <f t="shared" si="313"/>
        <v>3961.5486691765532</v>
      </c>
      <c r="E67" s="69">
        <f t="shared" si="313"/>
        <v>4385.8582397146311</v>
      </c>
      <c r="F67" s="69">
        <f t="shared" si="313"/>
        <v>4999.3968166254926</v>
      </c>
      <c r="G67" s="69">
        <f t="shared" si="313"/>
        <v>5390.5308029917696</v>
      </c>
      <c r="H67" s="69">
        <f t="shared" si="313"/>
        <v>5709.1018480099583</v>
      </c>
      <c r="I67" s="69">
        <f t="shared" si="313"/>
        <v>5460.6096716305137</v>
      </c>
      <c r="J67" s="69">
        <f t="shared" si="313"/>
        <v>5782.8914872839096</v>
      </c>
      <c r="K67" s="69">
        <f t="shared" si="313"/>
        <v>6070.1735030891532</v>
      </c>
      <c r="L67" s="69">
        <f t="shared" si="313"/>
        <v>5519.7438662546811</v>
      </c>
      <c r="M67" s="69">
        <f t="shared" si="313"/>
        <v>4382.8664387792924</v>
      </c>
      <c r="N67" s="69">
        <f t="shared" si="313"/>
        <v>4244.9577765955273</v>
      </c>
      <c r="O67" s="69">
        <f t="shared" si="313"/>
        <v>4251.3201772202119</v>
      </c>
      <c r="P67" s="69">
        <f t="shared" si="313"/>
        <v>3993.1888414723876</v>
      </c>
      <c r="Q67" s="69">
        <f t="shared" si="313"/>
        <v>4012.5933977692257</v>
      </c>
      <c r="R67" s="69">
        <f t="shared" si="313"/>
        <v>4235.1852224480353</v>
      </c>
      <c r="S67" s="69">
        <f t="shared" si="313"/>
        <v>5192.1589893451428</v>
      </c>
      <c r="T67" s="69">
        <f t="shared" si="313"/>
        <v>5813.468426771844</v>
      </c>
      <c r="U67" s="69">
        <f t="shared" si="313"/>
        <v>5682.6758802363202</v>
      </c>
      <c r="V67" s="69">
        <f t="shared" si="313"/>
        <v>5671.7375182891392</v>
      </c>
      <c r="W67" s="69">
        <f t="shared" si="313"/>
        <v>5793.7143429086182</v>
      </c>
      <c r="X67" s="69">
        <f t="shared" si="313"/>
        <v>5057.6741974710394</v>
      </c>
      <c r="Y67" s="69">
        <f t="shared" si="313"/>
        <v>4687.5645563743983</v>
      </c>
      <c r="Z67" s="89">
        <f t="shared" si="313"/>
        <v>4551.7707918822125</v>
      </c>
      <c r="AA67" s="69">
        <f t="shared" si="313"/>
        <v>4336.5496248743893</v>
      </c>
      <c r="AB67" s="69">
        <f t="shared" si="313"/>
        <v>3955.9743285778522</v>
      </c>
      <c r="AC67" s="69">
        <f t="shared" si="313"/>
        <v>4214.1886526074295</v>
      </c>
      <c r="AD67" s="69">
        <f t="shared" si="313"/>
        <v>4522.1640591302985</v>
      </c>
      <c r="AE67" s="69">
        <f t="shared" si="313"/>
        <v>4822.944719692453</v>
      </c>
      <c r="AF67" s="69">
        <f t="shared" si="313"/>
        <v>5638.5361370073715</v>
      </c>
      <c r="AG67" s="69">
        <f t="shared" si="313"/>
        <v>5829.7776998460849</v>
      </c>
      <c r="AH67" s="69">
        <f t="shared" si="313"/>
        <v>5879.3238043902529</v>
      </c>
      <c r="AI67" s="69">
        <f t="shared" si="313"/>
        <v>5990.0317521408642</v>
      </c>
      <c r="AJ67" s="69">
        <f t="shared" si="313"/>
        <v>5608.347087950955</v>
      </c>
      <c r="AK67" s="69">
        <f t="shared" si="313"/>
        <v>5110.0094285105997</v>
      </c>
      <c r="AL67" s="69">
        <f t="shared" si="313"/>
        <v>4783.0256986054128</v>
      </c>
      <c r="AM67" s="88">
        <f t="shared" si="313"/>
        <v>4650.2702032958132</v>
      </c>
      <c r="AN67" s="69">
        <f t="shared" si="313"/>
        <v>4145.5471490764612</v>
      </c>
      <c r="AO67" s="69">
        <f t="shared" si="313"/>
        <v>4364.83133966691</v>
      </c>
      <c r="AP67" s="69">
        <f t="shared" si="313"/>
        <v>4662.7286856353421</v>
      </c>
      <c r="AQ67" s="69">
        <f t="shared" si="313"/>
        <v>5046.3322394749475</v>
      </c>
      <c r="AR67" s="69">
        <f t="shared" si="313"/>
        <v>5980.2959895420845</v>
      </c>
      <c r="AS67" s="69">
        <f t="shared" si="313"/>
        <v>6122.9768597857346</v>
      </c>
      <c r="AT67" s="69">
        <f t="shared" si="313"/>
        <v>6095.4658974990325</v>
      </c>
      <c r="AU67" s="69">
        <f t="shared" si="313"/>
        <v>6528.1921142910851</v>
      </c>
      <c r="AV67" s="69">
        <f t="shared" si="313"/>
        <v>5724.9186037707277</v>
      </c>
      <c r="AW67" s="69">
        <f t="shared" si="313"/>
        <v>4878.1899657674385</v>
      </c>
      <c r="AX67" s="69">
        <f>SUM(1000*(AX63))/AX18</f>
        <v>4746.8263185294945</v>
      </c>
      <c r="AY67" s="88">
        <f t="shared" si="313"/>
        <v>4568.6362123876979</v>
      </c>
      <c r="AZ67" s="69">
        <f t="shared" si="313"/>
        <v>4288.507434368853</v>
      </c>
      <c r="BA67" s="69">
        <f t="shared" si="313"/>
        <v>4606.3030011427199</v>
      </c>
      <c r="BB67" s="69">
        <f t="shared" si="313"/>
        <v>4766.5059440524246</v>
      </c>
      <c r="BC67" s="69">
        <f t="shared" si="313"/>
        <v>5604.6999504794494</v>
      </c>
      <c r="BD67" s="69">
        <f t="shared" si="313"/>
        <v>5895.1872725457633</v>
      </c>
      <c r="BE67" s="69">
        <f t="shared" si="313"/>
        <v>6129.9638633700606</v>
      </c>
      <c r="BF67" s="69">
        <f t="shared" si="313"/>
        <v>6111.5471632439958</v>
      </c>
      <c r="BG67" s="69">
        <f t="shared" si="313"/>
        <v>6478.5451974627367</v>
      </c>
      <c r="BH67" s="69">
        <f t="shared" si="313"/>
        <v>7624.0837507982051</v>
      </c>
      <c r="BI67" s="69">
        <f t="shared" si="313"/>
        <v>6764.9464268160818</v>
      </c>
      <c r="BJ67" s="89">
        <f t="shared" si="313"/>
        <v>6605.8863505672016</v>
      </c>
      <c r="BK67" s="69">
        <f t="shared" ref="BK67:BV67" si="314">SUM(1000*(BK63))/BK18</f>
        <v>4807.7351347338727</v>
      </c>
      <c r="BL67" s="69">
        <f t="shared" si="314"/>
        <v>4500.9643105676505</v>
      </c>
      <c r="BM67" s="69">
        <f t="shared" si="314"/>
        <v>4556.1735952165509</v>
      </c>
      <c r="BN67" s="69">
        <f t="shared" si="314"/>
        <v>4844.0034733871444</v>
      </c>
      <c r="BO67" s="69">
        <f t="shared" si="314"/>
        <v>5257.9494667905656</v>
      </c>
      <c r="BP67" s="69">
        <f t="shared" si="314"/>
        <v>5766.8185100827732</v>
      </c>
      <c r="BQ67" s="69">
        <f t="shared" si="314"/>
        <v>5937.5837128315025</v>
      </c>
      <c r="BR67" s="69">
        <f t="shared" si="314"/>
        <v>5825.0653412742622</v>
      </c>
      <c r="BS67" s="69">
        <f t="shared" si="314"/>
        <v>6260.1614502195152</v>
      </c>
      <c r="BT67" s="69">
        <f t="shared" si="314"/>
        <v>5889.7399717798835</v>
      </c>
      <c r="BU67" s="69">
        <f t="shared" si="314"/>
        <v>5129.6736367890335</v>
      </c>
      <c r="BV67" s="89">
        <f t="shared" si="314"/>
        <v>5012.3963911098072</v>
      </c>
      <c r="BW67" s="69">
        <f t="shared" ref="BW67:CB67" si="315">SUM(1000*(BW63))/BW18</f>
        <v>4840.8067843227136</v>
      </c>
      <c r="BX67" s="69">
        <f t="shared" si="315"/>
        <v>4472.422943083011</v>
      </c>
      <c r="BY67" s="69">
        <f t="shared" si="315"/>
        <v>4611.5593611065369</v>
      </c>
      <c r="BZ67" s="69">
        <f t="shared" si="315"/>
        <v>5036.8607492974761</v>
      </c>
      <c r="CA67" s="69">
        <f t="shared" si="315"/>
        <v>5270.2976532763769</v>
      </c>
      <c r="CB67" s="69">
        <f t="shared" si="315"/>
        <v>6224.7974201328307</v>
      </c>
      <c r="CC67" s="69">
        <f t="shared" ref="CC67:CK67" si="316">SUM(1000*(CC63))/CC18</f>
        <v>6130.2760999288312</v>
      </c>
      <c r="CD67" s="69">
        <f t="shared" si="316"/>
        <v>5813.6320956817417</v>
      </c>
      <c r="CE67" s="69">
        <f t="shared" si="316"/>
        <v>6121.9438658041881</v>
      </c>
      <c r="CF67" s="69">
        <f t="shared" si="316"/>
        <v>5420.7822462214845</v>
      </c>
      <c r="CG67" s="69">
        <f t="shared" si="316"/>
        <v>4807.5715863017658</v>
      </c>
      <c r="CH67" s="89">
        <f t="shared" si="316"/>
        <v>4659.6558035714279</v>
      </c>
      <c r="CI67" s="254">
        <f t="shared" si="316"/>
        <v>4802.9010787238922</v>
      </c>
      <c r="CJ67" s="230">
        <f t="shared" si="316"/>
        <v>4346.8957037200171</v>
      </c>
      <c r="CK67" s="230">
        <f t="shared" si="316"/>
        <v>4512.2616554612587</v>
      </c>
      <c r="CL67" s="230">
        <f t="shared" ref="CL67:CQ67" si="317">SUM(1000*(CL63))/CL18</f>
        <v>4773.1087042250938</v>
      </c>
      <c r="CM67" s="230">
        <f t="shared" si="317"/>
        <v>5424.0236057401535</v>
      </c>
      <c r="CN67" s="230">
        <f t="shared" si="317"/>
        <v>5830.2722953216371</v>
      </c>
      <c r="CO67" s="230">
        <f t="shared" si="317"/>
        <v>6321.0392890808753</v>
      </c>
      <c r="CP67" s="230">
        <f t="shared" si="317"/>
        <v>6329.7983024550513</v>
      </c>
      <c r="CQ67" s="230">
        <f t="shared" si="317"/>
        <v>6231.0050361287495</v>
      </c>
      <c r="CR67" s="230">
        <f t="shared" ref="CR67:DC67" si="318">SUM(1000*(CR63))/CR18</f>
        <v>5636.2533963055494</v>
      </c>
      <c r="CS67" s="230">
        <f t="shared" si="318"/>
        <v>4870.9430593636425</v>
      </c>
      <c r="CT67" s="231">
        <f t="shared" si="318"/>
        <v>4729.5577995698295</v>
      </c>
      <c r="CU67" s="230">
        <f t="shared" si="318"/>
        <v>4786.1309073535849</v>
      </c>
      <c r="CV67" s="230">
        <f t="shared" si="318"/>
        <v>4376.5235412805505</v>
      </c>
      <c r="CW67" s="230">
        <f t="shared" si="318"/>
        <v>4293.9110283920882</v>
      </c>
      <c r="CX67" s="230">
        <f t="shared" si="318"/>
        <v>4599.3416733532713</v>
      </c>
      <c r="CY67" s="230">
        <f t="shared" si="318"/>
        <v>5082.2038999653414</v>
      </c>
      <c r="CZ67" s="230">
        <f t="shared" si="318"/>
        <v>5897.3852400808464</v>
      </c>
      <c r="DA67" s="230">
        <f t="shared" si="318"/>
        <v>6121.6000728962599</v>
      </c>
      <c r="DB67" s="230">
        <f t="shared" si="318"/>
        <v>6032.7552986512528</v>
      </c>
      <c r="DC67" s="230">
        <f t="shared" si="318"/>
        <v>6455.773654208072</v>
      </c>
      <c r="DD67" s="230">
        <f t="shared" ref="DD67:DI67" si="319">SUM(1000*(DD63))/DD18</f>
        <v>5489.7139602459765</v>
      </c>
      <c r="DE67" s="230">
        <f t="shared" si="319"/>
        <v>4977.045170098987</v>
      </c>
      <c r="DF67" s="231">
        <f t="shared" si="319"/>
        <v>4869.7023639331865</v>
      </c>
      <c r="DG67" s="230">
        <f t="shared" si="319"/>
        <v>4718.7955803312752</v>
      </c>
      <c r="DH67" s="230">
        <f t="shared" si="319"/>
        <v>4602.2147363039649</v>
      </c>
      <c r="DI67" s="230">
        <f t="shared" si="319"/>
        <v>4564.8318768130484</v>
      </c>
      <c r="DJ67" s="230">
        <f>SUM(1000*(DJ63))/DJ18</f>
        <v>4960.2550498351457</v>
      </c>
      <c r="DK67" s="230">
        <f>SUM(1000*(DK63))/DK18</f>
        <v>5561.1903556574653</v>
      </c>
      <c r="DL67" s="230">
        <f t="shared" ref="DL67:FQ67" si="320">SUM(1000*(DL63))/DL18</f>
        <v>6104.9258311091744</v>
      </c>
      <c r="DM67" s="230">
        <f t="shared" si="320"/>
        <v>6141.8912573950602</v>
      </c>
      <c r="DN67" s="230">
        <f t="shared" si="320"/>
        <v>6431.1724436898294</v>
      </c>
      <c r="DO67" s="230">
        <f t="shared" si="320"/>
        <v>6695.1367320657528</v>
      </c>
      <c r="DP67" s="230">
        <f t="shared" si="320"/>
        <v>5742.0338016537053</v>
      </c>
      <c r="DQ67" s="230">
        <f t="shared" si="320"/>
        <v>4785.0470792148781</v>
      </c>
      <c r="DR67" s="230">
        <f t="shared" si="320"/>
        <v>4826.4003985886711</v>
      </c>
      <c r="DS67" s="230">
        <f t="shared" si="320"/>
        <v>4717.5654238805682</v>
      </c>
      <c r="DT67" s="230">
        <f t="shared" si="320"/>
        <v>4376.4125078729949</v>
      </c>
      <c r="DU67" s="230">
        <f t="shared" si="320"/>
        <v>4468.172193527239</v>
      </c>
      <c r="DV67" s="360">
        <f t="shared" si="320"/>
        <v>5123.5158369446499</v>
      </c>
      <c r="DW67" s="360">
        <f t="shared" si="320"/>
        <v>5361.1235895674236</v>
      </c>
      <c r="DX67" s="360">
        <f t="shared" si="320"/>
        <v>6018.9146330719759</v>
      </c>
      <c r="DY67" s="360">
        <f t="shared" si="320"/>
        <v>6165.6777247030986</v>
      </c>
      <c r="DZ67" s="360">
        <f t="shared" si="320"/>
        <v>6320.4165720970022</v>
      </c>
      <c r="EA67" s="360">
        <f t="shared" si="320"/>
        <v>6561.2327726911699</v>
      </c>
      <c r="EB67" s="360">
        <f t="shared" si="320"/>
        <v>5717.9364053851123</v>
      </c>
      <c r="EC67" s="360">
        <f t="shared" si="320"/>
        <v>5190.7128705988671</v>
      </c>
      <c r="ED67" s="360">
        <f t="shared" si="320"/>
        <v>4942.7475604877282</v>
      </c>
      <c r="EE67" s="360">
        <f t="shared" si="320"/>
        <v>4858.7252571864756</v>
      </c>
      <c r="EF67" s="360">
        <f t="shared" si="320"/>
        <v>4465.1980314037964</v>
      </c>
      <c r="EG67" s="360">
        <f t="shared" si="320"/>
        <v>4402.7531121949532</v>
      </c>
      <c r="EH67" s="360">
        <f t="shared" si="320"/>
        <v>4865.7001377434481</v>
      </c>
      <c r="EI67" s="360">
        <f t="shared" si="320"/>
        <v>4895.170056100982</v>
      </c>
      <c r="EJ67" s="360">
        <f t="shared" si="320"/>
        <v>5815.5392418353786</v>
      </c>
      <c r="EK67" s="360">
        <f t="shared" si="320"/>
        <v>6161.7546381871707</v>
      </c>
      <c r="EL67" s="360">
        <f t="shared" si="320"/>
        <v>6165.4269996058201</v>
      </c>
      <c r="EM67" s="360">
        <f t="shared" si="320"/>
        <v>6312.8653968145109</v>
      </c>
      <c r="EN67" s="360">
        <f t="shared" si="320"/>
        <v>5677.1303515250993</v>
      </c>
      <c r="EO67" s="360">
        <f t="shared" si="320"/>
        <v>5027.0021714139739</v>
      </c>
      <c r="EP67" s="360">
        <f t="shared" si="320"/>
        <v>4979.9972634135493</v>
      </c>
      <c r="EQ67" s="360">
        <f t="shared" si="320"/>
        <v>4681.6466922986883</v>
      </c>
      <c r="ER67" s="360">
        <f t="shared" si="320"/>
        <v>4782.9949128599783</v>
      </c>
      <c r="ES67" s="360">
        <f t="shared" si="320"/>
        <v>4602.8550764568126</v>
      </c>
      <c r="ET67" s="360">
        <f t="shared" si="320"/>
        <v>4614.7351021590584</v>
      </c>
      <c r="EU67" s="360">
        <f t="shared" si="320"/>
        <v>5156.1807201284309</v>
      </c>
      <c r="EV67" s="360">
        <f t="shared" si="320"/>
        <v>5826.4393159046213</v>
      </c>
      <c r="EW67" s="360">
        <f t="shared" si="320"/>
        <v>6203.9178365996004</v>
      </c>
      <c r="EX67" s="360">
        <f t="shared" si="320"/>
        <v>6295.6730364508794</v>
      </c>
      <c r="EY67" s="360">
        <f t="shared" si="320"/>
        <v>6633.0134843809446</v>
      </c>
      <c r="EZ67" s="360">
        <f t="shared" si="320"/>
        <v>5807.0661850740198</v>
      </c>
      <c r="FA67" s="360">
        <f t="shared" si="320"/>
        <v>5087.9152228086223</v>
      </c>
      <c r="FB67" s="360">
        <f t="shared" si="320"/>
        <v>4826.6822801221197</v>
      </c>
      <c r="FC67" s="360">
        <f t="shared" si="320"/>
        <v>5025.5075788887671</v>
      </c>
      <c r="FD67" s="360">
        <f t="shared" si="320"/>
        <v>4560.872955320986</v>
      </c>
      <c r="FE67" s="360">
        <f t="shared" si="320"/>
        <v>4523.0482616248328</v>
      </c>
      <c r="FF67" s="360">
        <f t="shared" si="320"/>
        <v>4836.1713343764904</v>
      </c>
      <c r="FG67" s="360">
        <f t="shared" si="320"/>
        <v>5098.1563099283385</v>
      </c>
      <c r="FH67" s="360">
        <f t="shared" si="320"/>
        <v>5785.1753661973007</v>
      </c>
      <c r="FI67" s="360">
        <f t="shared" si="320"/>
        <v>6056.3376761853988</v>
      </c>
      <c r="FJ67" s="360">
        <f t="shared" si="320"/>
        <v>6288.0594651800375</v>
      </c>
      <c r="FK67" s="360">
        <f t="shared" si="320"/>
        <v>6463.9866833125261</v>
      </c>
      <c r="FL67" s="360">
        <f t="shared" si="320"/>
        <v>5846.7489424069818</v>
      </c>
      <c r="FM67" s="360">
        <f t="shared" si="320"/>
        <v>5115.145970223738</v>
      </c>
      <c r="FN67" s="360">
        <f t="shared" si="320"/>
        <v>4915.4646597406509</v>
      </c>
      <c r="FO67" s="360">
        <f t="shared" si="320"/>
        <v>4723.5760815099384</v>
      </c>
      <c r="FP67" s="360">
        <f t="shared" si="320"/>
        <v>4412.1895192609609</v>
      </c>
      <c r="FQ67" s="360">
        <f t="shared" si="320"/>
        <v>4555.9161113093705</v>
      </c>
      <c r="FR67" s="360">
        <f t="shared" ref="FR67:FT67" si="321">SUM(1000*(FR63))/FR18</f>
        <v>4831.8692492332311</v>
      </c>
      <c r="FS67" s="360">
        <f t="shared" si="321"/>
        <v>5218.0245145388535</v>
      </c>
      <c r="FT67" s="360">
        <f t="shared" si="321"/>
        <v>5779.6944225911966</v>
      </c>
    </row>
    <row r="68" spans="2:176" x14ac:dyDescent="0.25">
      <c r="B68" s="3"/>
      <c r="C68" s="18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42"/>
      <c r="P68" s="18"/>
      <c r="Q68" s="18"/>
      <c r="R68" s="18"/>
      <c r="S68" s="18"/>
      <c r="T68" s="18"/>
      <c r="U68" s="18"/>
      <c r="V68" s="18"/>
      <c r="W68" s="18"/>
      <c r="Z68" s="20"/>
      <c r="AM68" s="74"/>
      <c r="AY68" s="74"/>
      <c r="BJ68" s="20"/>
      <c r="BV68" s="20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20"/>
      <c r="CI68" s="7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02"/>
      <c r="DW68" s="302"/>
      <c r="DX68" s="302"/>
      <c r="EE68" s="302"/>
      <c r="EF68" s="302"/>
      <c r="EG68" s="302"/>
      <c r="EH68" s="302"/>
      <c r="EI68" s="302"/>
      <c r="EJ68" s="302"/>
      <c r="EK68" s="302"/>
      <c r="EL68" s="302"/>
      <c r="EM68" s="302"/>
      <c r="EN68" s="302"/>
      <c r="EO68" s="302"/>
      <c r="EP68" s="302"/>
    </row>
    <row r="69" spans="2:176" s="345" customFormat="1" hidden="1" x14ac:dyDescent="0.25">
      <c r="B69" s="428" t="s">
        <v>54</v>
      </c>
      <c r="C69" s="429"/>
      <c r="D69" s="430"/>
      <c r="E69" s="430"/>
      <c r="F69" s="430"/>
      <c r="G69" s="430"/>
      <c r="H69" s="431"/>
      <c r="I69" s="430"/>
      <c r="J69" s="430"/>
      <c r="K69" s="430"/>
      <c r="L69" s="430"/>
      <c r="M69" s="430"/>
      <c r="N69" s="433"/>
      <c r="O69" s="432"/>
      <c r="P69" s="430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0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0"/>
      <c r="AM69" s="434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0"/>
      <c r="AY69" s="434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342"/>
      <c r="BX69" s="342"/>
      <c r="BY69" s="342"/>
      <c r="BZ69" s="342"/>
      <c r="CA69" s="342"/>
      <c r="CB69" s="342"/>
      <c r="CC69" s="342"/>
      <c r="CD69" s="342"/>
      <c r="CE69" s="342"/>
      <c r="CF69" s="342"/>
      <c r="CG69" s="342"/>
      <c r="CH69" s="344"/>
      <c r="CI69" s="34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V69" s="364"/>
      <c r="DW69" s="364"/>
      <c r="DX69" s="364"/>
      <c r="DZ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</row>
    <row r="70" spans="2:176" s="345" customFormat="1" hidden="1" x14ac:dyDescent="0.25">
      <c r="B70" s="340" t="s">
        <v>50</v>
      </c>
      <c r="C70" s="436"/>
      <c r="D70" s="342"/>
      <c r="E70" s="342"/>
      <c r="F70" s="342"/>
      <c r="G70" s="342"/>
      <c r="H70" s="343"/>
      <c r="I70" s="342"/>
      <c r="J70" s="342"/>
      <c r="K70" s="342"/>
      <c r="L70" s="342"/>
      <c r="M70" s="342"/>
      <c r="N70" s="344"/>
      <c r="O70" s="341"/>
      <c r="P70" s="342"/>
      <c r="Q70" s="342"/>
      <c r="R70" s="342"/>
      <c r="S70" s="342"/>
      <c r="T70" s="342"/>
      <c r="Z70" s="344"/>
      <c r="AM70" s="455"/>
      <c r="AY70" s="455"/>
      <c r="BJ70" s="344"/>
      <c r="BV70" s="344"/>
      <c r="BW70" s="342"/>
      <c r="BX70" s="342"/>
      <c r="BY70" s="342"/>
      <c r="BZ70" s="342"/>
      <c r="CA70" s="342"/>
      <c r="CB70" s="342"/>
      <c r="CC70" s="342"/>
      <c r="CD70" s="342"/>
      <c r="CE70" s="342"/>
      <c r="CF70" s="342"/>
      <c r="CG70" s="342"/>
      <c r="CH70" s="344"/>
      <c r="CI70" s="34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V70" s="364"/>
      <c r="DW70" s="364"/>
      <c r="DX70" s="364"/>
      <c r="DZ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</row>
    <row r="71" spans="2:176" s="387" customFormat="1" hidden="1" x14ac:dyDescent="0.25">
      <c r="B71" s="390" t="s">
        <v>1</v>
      </c>
      <c r="C71" s="385">
        <f>D71</f>
        <v>126187.179</v>
      </c>
      <c r="D71" s="347">
        <v>126187.179</v>
      </c>
      <c r="E71" s="347">
        <v>260094.41699999999</v>
      </c>
      <c r="F71" s="347">
        <v>218615.94900000002</v>
      </c>
      <c r="G71" s="347">
        <v>217074.02500000002</v>
      </c>
      <c r="H71" s="347">
        <v>69268.65400000001</v>
      </c>
      <c r="I71" s="347">
        <v>134307.44399999999</v>
      </c>
      <c r="J71" s="347">
        <v>134012.41399999999</v>
      </c>
      <c r="K71" s="347">
        <v>121945.86699999998</v>
      </c>
      <c r="L71" s="347">
        <v>120420.659</v>
      </c>
      <c r="M71" s="347">
        <v>108944.38499999999</v>
      </c>
      <c r="N71" s="348">
        <v>113198.43700000001</v>
      </c>
      <c r="O71" s="346">
        <f>29907+100073</f>
        <v>129980</v>
      </c>
      <c r="P71" s="347">
        <f>23354+125993</f>
        <v>149347</v>
      </c>
      <c r="Q71" s="347">
        <f>25061+122371</f>
        <v>147432</v>
      </c>
      <c r="R71" s="347">
        <f>165040+28082</f>
        <v>193122</v>
      </c>
      <c r="S71" s="347">
        <f>151577+31472</f>
        <v>183049</v>
      </c>
      <c r="T71" s="347">
        <f>133617+29343</f>
        <v>162960</v>
      </c>
      <c r="U71" s="387">
        <f>28308+160999</f>
        <v>189307</v>
      </c>
      <c r="V71" s="387">
        <f>22583+149944</f>
        <v>172527</v>
      </c>
      <c r="W71" s="387">
        <f>22164+156397</f>
        <v>178561</v>
      </c>
      <c r="X71" s="387">
        <f>21642+145853</f>
        <v>167495</v>
      </c>
      <c r="Y71" s="387">
        <f>14401+147914</f>
        <v>162315</v>
      </c>
      <c r="Z71" s="348">
        <f>17891+21325</f>
        <v>39216</v>
      </c>
      <c r="AA71" s="387">
        <f>17946+160672</f>
        <v>178618</v>
      </c>
      <c r="AB71" s="387">
        <f>13294+20930</f>
        <v>34224</v>
      </c>
      <c r="AC71" s="387">
        <f>14028+24932</f>
        <v>38960</v>
      </c>
      <c r="AD71" s="387">
        <f>13315+46145</f>
        <v>59460</v>
      </c>
      <c r="AE71" s="387">
        <f>15505+3824</f>
        <v>19329</v>
      </c>
      <c r="AF71" s="387">
        <f>16233+20343</f>
        <v>36576</v>
      </c>
      <c r="AG71" s="387">
        <f>11937+46296</f>
        <v>58233</v>
      </c>
      <c r="AH71" s="387">
        <f>11838+19420</f>
        <v>31258</v>
      </c>
      <c r="AI71" s="387">
        <f>13039+21227</f>
        <v>34266</v>
      </c>
      <c r="AJ71" s="387">
        <f>10697+21055</f>
        <v>31752</v>
      </c>
      <c r="AK71" s="387">
        <f>11577+19682</f>
        <v>31259</v>
      </c>
      <c r="AL71" s="387">
        <f>8510+1363</f>
        <v>9873</v>
      </c>
      <c r="AM71" s="456">
        <f>10711+40434</f>
        <v>51145</v>
      </c>
      <c r="AN71" s="387">
        <f>7167</f>
        <v>7167</v>
      </c>
      <c r="AO71" s="387">
        <f>7677+6970</f>
        <v>14647</v>
      </c>
      <c r="AP71" s="387">
        <f>7718+13641</f>
        <v>21359</v>
      </c>
      <c r="AQ71" s="387">
        <f>7400+108</f>
        <v>7508</v>
      </c>
      <c r="AR71" s="387">
        <f>9267+76</f>
        <v>9343</v>
      </c>
      <c r="AS71" s="387">
        <f>6409+33</f>
        <v>6442</v>
      </c>
      <c r="AT71" s="387">
        <f>9166+44</f>
        <v>9210</v>
      </c>
      <c r="AU71" s="387">
        <f>6476+358</f>
        <v>6834</v>
      </c>
      <c r="AV71" s="387">
        <f>7045+589</f>
        <v>7634</v>
      </c>
      <c r="AW71" s="387">
        <f>5538+461</f>
        <v>5999</v>
      </c>
      <c r="AX71" s="387">
        <f>5738+216</f>
        <v>5954</v>
      </c>
      <c r="AY71" s="456">
        <f>5676+488</f>
        <v>6164</v>
      </c>
      <c r="AZ71" s="387">
        <f>4258+0</f>
        <v>4258</v>
      </c>
      <c r="BA71" s="387">
        <f>5307+219</f>
        <v>5526</v>
      </c>
      <c r="BB71" s="387">
        <f>4262+505</f>
        <v>4767</v>
      </c>
      <c r="BC71" s="387">
        <f>5155+1175</f>
        <v>6330</v>
      </c>
      <c r="BD71" s="387">
        <f>5645+1</f>
        <v>5646</v>
      </c>
      <c r="BE71" s="387">
        <f>4424+226</f>
        <v>4650</v>
      </c>
      <c r="BF71" s="387">
        <f>5457+142</f>
        <v>5599</v>
      </c>
      <c r="BG71" s="387">
        <f>4110+414</f>
        <v>4524</v>
      </c>
      <c r="BH71" s="387">
        <f>4343+666</f>
        <v>5009</v>
      </c>
      <c r="BI71" s="387">
        <f>3813+243</f>
        <v>4056</v>
      </c>
      <c r="BJ71" s="348">
        <v>2399</v>
      </c>
      <c r="BK71" s="387">
        <f>4259+1076</f>
        <v>5335</v>
      </c>
      <c r="BL71" s="387">
        <f>2434+762</f>
        <v>3196</v>
      </c>
      <c r="BM71" s="387">
        <f>4279+88</f>
        <v>4367</v>
      </c>
      <c r="BN71" s="387">
        <f>3563</f>
        <v>3563</v>
      </c>
      <c r="BO71" s="387">
        <f>7324+14390</f>
        <v>21714</v>
      </c>
      <c r="BP71" s="387">
        <f>6350+83</f>
        <v>6433</v>
      </c>
      <c r="BQ71" s="387">
        <f>9711+783</f>
        <v>10494</v>
      </c>
      <c r="BR71" s="387">
        <f>9300+130</f>
        <v>9430</v>
      </c>
      <c r="BS71" s="387">
        <f>6995+76</f>
        <v>7071</v>
      </c>
      <c r="BT71" s="387">
        <f>8476+158</f>
        <v>8634</v>
      </c>
      <c r="BU71" s="387">
        <f>7298+93</f>
        <v>7391</v>
      </c>
      <c r="BV71" s="348">
        <f>6560+79</f>
        <v>6639</v>
      </c>
      <c r="BW71" s="347">
        <f>6780+132</f>
        <v>6912</v>
      </c>
      <c r="BX71" s="347">
        <f>6128+25</f>
        <v>6153</v>
      </c>
      <c r="BY71" s="347">
        <f>6548+87</f>
        <v>6635</v>
      </c>
      <c r="BZ71" s="347">
        <v>6407</v>
      </c>
      <c r="CA71" s="347">
        <v>6582</v>
      </c>
      <c r="CB71" s="347">
        <v>4560</v>
      </c>
      <c r="CC71" s="347">
        <f>2217</f>
        <v>2217</v>
      </c>
      <c r="CD71" s="347">
        <v>1893</v>
      </c>
      <c r="CE71" s="347">
        <v>1900</v>
      </c>
      <c r="CF71" s="347">
        <f>1808</f>
        <v>1808</v>
      </c>
      <c r="CG71" s="347">
        <v>1714</v>
      </c>
      <c r="CH71" s="348">
        <v>1648</v>
      </c>
      <c r="CI71" s="346">
        <f>2254</f>
        <v>2254</v>
      </c>
      <c r="CJ71" s="347">
        <v>2600</v>
      </c>
      <c r="CK71" s="347">
        <v>2780</v>
      </c>
      <c r="CL71" s="347">
        <v>1914</v>
      </c>
      <c r="CM71" s="347">
        <v>1977</v>
      </c>
      <c r="CN71" s="347">
        <v>1988</v>
      </c>
      <c r="CO71" s="347">
        <v>1859</v>
      </c>
      <c r="CP71" s="347">
        <v>1022</v>
      </c>
      <c r="CQ71" s="347">
        <v>913</v>
      </c>
      <c r="CR71" s="347">
        <v>897</v>
      </c>
      <c r="CS71" s="347">
        <v>818</v>
      </c>
      <c r="CT71" s="348">
        <v>764</v>
      </c>
      <c r="CU71" s="347">
        <v>793</v>
      </c>
      <c r="CV71" s="347">
        <v>731</v>
      </c>
      <c r="CW71" s="347">
        <v>724</v>
      </c>
      <c r="CX71" s="347">
        <v>786</v>
      </c>
      <c r="CY71" s="347">
        <v>847</v>
      </c>
      <c r="CZ71" s="347">
        <v>947</v>
      </c>
      <c r="DA71" s="347">
        <v>1001</v>
      </c>
      <c r="DB71" s="347">
        <v>855</v>
      </c>
      <c r="DC71" s="347">
        <v>909</v>
      </c>
      <c r="DD71" s="347">
        <v>828</v>
      </c>
      <c r="DE71" s="347">
        <v>704</v>
      </c>
      <c r="DF71" s="348">
        <v>795</v>
      </c>
      <c r="DG71" s="387">
        <v>663</v>
      </c>
      <c r="DH71" s="387">
        <v>512</v>
      </c>
      <c r="DI71" s="387">
        <v>517</v>
      </c>
      <c r="DJ71" s="387">
        <v>539</v>
      </c>
      <c r="DK71" s="387">
        <v>225</v>
      </c>
      <c r="DL71" s="387">
        <v>627</v>
      </c>
      <c r="DM71" s="387">
        <v>603</v>
      </c>
      <c r="DN71" s="387">
        <v>605</v>
      </c>
      <c r="DO71" s="387">
        <v>626</v>
      </c>
      <c r="DP71" s="387">
        <v>580</v>
      </c>
      <c r="DQ71" s="387">
        <v>503</v>
      </c>
      <c r="DR71" s="387">
        <v>583</v>
      </c>
      <c r="DS71" s="387">
        <v>529</v>
      </c>
      <c r="DT71" s="387">
        <v>543</v>
      </c>
      <c r="DU71" s="387">
        <v>599</v>
      </c>
      <c r="DV71" s="389">
        <v>662</v>
      </c>
      <c r="DW71" s="389">
        <v>704</v>
      </c>
      <c r="DX71" s="389">
        <v>347</v>
      </c>
      <c r="DY71" s="387">
        <v>328</v>
      </c>
      <c r="DZ71" s="388">
        <v>338</v>
      </c>
      <c r="EA71" s="387">
        <v>362</v>
      </c>
      <c r="EB71" s="387">
        <v>337</v>
      </c>
      <c r="EC71" s="387">
        <v>174</v>
      </c>
      <c r="ED71" s="387">
        <v>289</v>
      </c>
      <c r="EE71" s="387">
        <v>148</v>
      </c>
      <c r="EF71" s="387">
        <v>195</v>
      </c>
      <c r="EG71" s="387">
        <v>132</v>
      </c>
      <c r="EH71" s="388">
        <v>152</v>
      </c>
      <c r="EI71" s="388">
        <v>150</v>
      </c>
      <c r="EJ71" s="388">
        <v>180</v>
      </c>
      <c r="EK71" s="388">
        <v>198</v>
      </c>
      <c r="EL71" s="388">
        <v>193</v>
      </c>
      <c r="EM71" s="388">
        <v>313</v>
      </c>
      <c r="EN71" s="388">
        <v>288</v>
      </c>
      <c r="EO71" s="388">
        <v>251</v>
      </c>
      <c r="EP71" s="388">
        <v>225</v>
      </c>
      <c r="EQ71" s="387">
        <v>213</v>
      </c>
      <c r="ER71" s="387">
        <v>145</v>
      </c>
      <c r="ES71" s="387">
        <v>119</v>
      </c>
      <c r="ET71" s="387">
        <v>132</v>
      </c>
      <c r="EU71" s="387">
        <v>159</v>
      </c>
      <c r="EV71" s="387">
        <v>186</v>
      </c>
      <c r="EW71" s="387">
        <v>225</v>
      </c>
      <c r="EX71" s="387">
        <v>100</v>
      </c>
      <c r="EY71" s="387">
        <v>112</v>
      </c>
      <c r="EZ71" s="387">
        <v>112</v>
      </c>
      <c r="FA71" s="387">
        <v>76</v>
      </c>
      <c r="FB71" s="387">
        <v>73</v>
      </c>
      <c r="FC71" s="387">
        <v>82</v>
      </c>
      <c r="FD71" s="387">
        <v>72</v>
      </c>
      <c r="FE71" s="387">
        <v>76</v>
      </c>
      <c r="FF71" s="387">
        <v>70</v>
      </c>
      <c r="FG71" s="387">
        <v>82</v>
      </c>
      <c r="FH71" s="387">
        <v>90</v>
      </c>
      <c r="FI71" s="387">
        <v>92</v>
      </c>
      <c r="FJ71" s="387">
        <v>86</v>
      </c>
      <c r="FK71" s="387">
        <v>90</v>
      </c>
      <c r="FL71" s="387">
        <v>94</v>
      </c>
      <c r="FM71" s="387">
        <v>72</v>
      </c>
      <c r="FN71" s="387">
        <v>68</v>
      </c>
      <c r="FO71" s="387">
        <v>69</v>
      </c>
      <c r="FP71" s="387">
        <v>62</v>
      </c>
      <c r="FQ71" s="387">
        <v>64</v>
      </c>
      <c r="FR71" s="387">
        <v>74</v>
      </c>
      <c r="FS71" s="387">
        <v>88</v>
      </c>
      <c r="FT71" s="387">
        <v>126</v>
      </c>
    </row>
    <row r="72" spans="2:176" s="387" customFormat="1" ht="13.8" hidden="1" thickBot="1" x14ac:dyDescent="0.3">
      <c r="B72" s="391" t="s">
        <v>8</v>
      </c>
      <c r="C72" s="392">
        <v>38990.355999999992</v>
      </c>
      <c r="D72" s="393">
        <v>203479.38199999998</v>
      </c>
      <c r="E72" s="393">
        <v>463335.72499999998</v>
      </c>
      <c r="F72" s="393">
        <v>327785.83100000001</v>
      </c>
      <c r="G72" s="393">
        <v>371466.38399999996</v>
      </c>
      <c r="H72" s="393">
        <v>407220.64599999995</v>
      </c>
      <c r="I72" s="393">
        <v>811358.47600000002</v>
      </c>
      <c r="J72" s="393">
        <v>139489.28700000001</v>
      </c>
      <c r="K72" s="393">
        <v>578162.098</v>
      </c>
      <c r="L72" s="393">
        <v>436730.55500000005</v>
      </c>
      <c r="M72" s="393">
        <v>432142.94900000002</v>
      </c>
      <c r="N72" s="394">
        <v>216487.09200000006</v>
      </c>
      <c r="O72" s="439">
        <f>163682+213789</f>
        <v>377471</v>
      </c>
      <c r="P72" s="393">
        <f>141339+184203</f>
        <v>325542</v>
      </c>
      <c r="Q72" s="393">
        <f>154335+129131</f>
        <v>283466</v>
      </c>
      <c r="R72" s="393">
        <f>156227+152553</f>
        <v>308780</v>
      </c>
      <c r="S72" s="393">
        <f>182844+176918</f>
        <v>359762</v>
      </c>
      <c r="T72" s="393">
        <f>189518+151994</f>
        <v>341512</v>
      </c>
      <c r="U72" s="387">
        <f t="shared" ref="U72:Z72" si="322">U73-U71</f>
        <v>359995</v>
      </c>
      <c r="V72" s="387">
        <f t="shared" si="322"/>
        <v>328718</v>
      </c>
      <c r="W72" s="387">
        <f t="shared" si="322"/>
        <v>326906</v>
      </c>
      <c r="X72" s="387">
        <f t="shared" si="322"/>
        <v>392809</v>
      </c>
      <c r="Y72" s="387">
        <f t="shared" si="322"/>
        <v>354401</v>
      </c>
      <c r="Z72" s="348">
        <f t="shared" si="322"/>
        <v>386926</v>
      </c>
      <c r="AA72" s="387">
        <f>179345+261072</f>
        <v>440417</v>
      </c>
      <c r="AB72" s="387">
        <f>159306+251035</f>
        <v>410341</v>
      </c>
      <c r="AC72" s="387">
        <f>198325+300793</f>
        <v>499118</v>
      </c>
      <c r="AD72" s="387">
        <f>190963+260474</f>
        <v>451437</v>
      </c>
      <c r="AE72" s="387">
        <f>202191+194977</f>
        <v>397168</v>
      </c>
      <c r="AF72" s="387">
        <f>212919+401318</f>
        <v>614237</v>
      </c>
      <c r="AG72" s="387">
        <f>254086+267056</f>
        <v>521142</v>
      </c>
      <c r="AH72" s="387">
        <f>233477+282021</f>
        <v>515498</v>
      </c>
      <c r="AI72" s="387">
        <f>213670+259289</f>
        <v>472959</v>
      </c>
      <c r="AJ72" s="387">
        <f>232029+407282</f>
        <v>639311</v>
      </c>
      <c r="AK72" s="387">
        <f>191579+186300</f>
        <v>377879</v>
      </c>
      <c r="AL72" s="387">
        <f>191612+397354</f>
        <v>588966</v>
      </c>
      <c r="AM72" s="456">
        <f>207232+208346</f>
        <v>415578</v>
      </c>
      <c r="AN72" s="387">
        <f>167914+251376</f>
        <v>419290</v>
      </c>
      <c r="AO72" s="387">
        <f>200335+440004</f>
        <v>640339</v>
      </c>
      <c r="AP72" s="387">
        <f>194336+296115</f>
        <v>490451</v>
      </c>
      <c r="AQ72" s="387">
        <f>183383+233922</f>
        <v>417305</v>
      </c>
      <c r="AR72" s="387">
        <f>236278+303604</f>
        <v>539882</v>
      </c>
      <c r="AS72" s="387">
        <f>244587+256868</f>
        <v>501455</v>
      </c>
      <c r="AT72" s="387">
        <f>240797+366311</f>
        <v>607108</v>
      </c>
      <c r="AU72" s="387">
        <f>261276+286838</f>
        <v>548114</v>
      </c>
      <c r="AV72" s="387">
        <f>216065+364046</f>
        <v>580111</v>
      </c>
      <c r="AW72" s="387">
        <f>220768+345131</f>
        <v>565899</v>
      </c>
      <c r="AX72" s="387">
        <f>199138+345616</f>
        <v>544754</v>
      </c>
      <c r="AY72" s="456">
        <f>191473+298911</f>
        <v>490384</v>
      </c>
      <c r="AZ72" s="387">
        <f>176105+244912</f>
        <v>421017</v>
      </c>
      <c r="BA72" s="387">
        <f>232713+439794</f>
        <v>672507</v>
      </c>
      <c r="BB72" s="387">
        <f>187238+252583</f>
        <v>439821</v>
      </c>
      <c r="BC72" s="387">
        <f>247312+276607</f>
        <v>523919</v>
      </c>
      <c r="BD72" s="387">
        <f>257087+415518</f>
        <v>672605</v>
      </c>
      <c r="BE72" s="387">
        <f>235905+308019</f>
        <v>543924</v>
      </c>
      <c r="BF72" s="387">
        <f>255183+279843</f>
        <v>535026</v>
      </c>
      <c r="BG72" s="387">
        <f>238535+304052</f>
        <v>542587</v>
      </c>
      <c r="BH72" s="387">
        <f>243501+324982</f>
        <v>568483</v>
      </c>
      <c r="BI72" s="387">
        <f>194338+309692</f>
        <v>504030</v>
      </c>
      <c r="BJ72" s="348">
        <f>177449+287638</f>
        <v>465087</v>
      </c>
      <c r="BK72" s="387">
        <f>221628+359509</f>
        <v>581137</v>
      </c>
      <c r="BL72" s="387">
        <f>226101+176632</f>
        <v>402733</v>
      </c>
      <c r="BM72" s="387">
        <f>206846+290874</f>
        <v>497720</v>
      </c>
      <c r="BN72" s="387">
        <f>183926+256627</f>
        <v>440553</v>
      </c>
      <c r="BO72" s="387">
        <f>235200+362937</f>
        <v>598137</v>
      </c>
      <c r="BP72" s="387">
        <f>234977+490876</f>
        <v>725853</v>
      </c>
      <c r="BQ72" s="387">
        <f>231621+385912</f>
        <v>617533</v>
      </c>
      <c r="BR72" s="387">
        <f>248093+328223</f>
        <v>576316</v>
      </c>
      <c r="BS72" s="387">
        <f>220952+300948</f>
        <v>521900</v>
      </c>
      <c r="BT72" s="387">
        <f>229960+273867</f>
        <v>503827</v>
      </c>
      <c r="BU72" s="387">
        <f>209512+370044</f>
        <v>579556</v>
      </c>
      <c r="BV72" s="348">
        <f>317529+214357</f>
        <v>531886</v>
      </c>
      <c r="BW72" s="347">
        <f>201586+317136</f>
        <v>518722</v>
      </c>
      <c r="BX72" s="347">
        <f>188570+298758</f>
        <v>487328</v>
      </c>
      <c r="BY72" s="347">
        <f>192904+311054</f>
        <v>503958</v>
      </c>
      <c r="BZ72" s="347">
        <f>209838+328637</f>
        <v>538475</v>
      </c>
      <c r="CA72" s="347">
        <f>352880+210179</f>
        <v>563059</v>
      </c>
      <c r="CB72" s="347">
        <f>237549+359584</f>
        <v>597133</v>
      </c>
      <c r="CC72" s="347">
        <f>237619+364882</f>
        <v>602501</v>
      </c>
      <c r="CD72" s="347">
        <f>223711+876010</f>
        <v>1099721</v>
      </c>
      <c r="CE72" s="347">
        <f>234212+385563</f>
        <v>619775</v>
      </c>
      <c r="CF72" s="347">
        <f>212925.43+381135.5</f>
        <v>594060.92999999993</v>
      </c>
      <c r="CG72" s="347">
        <f>199398.53+419875.4</f>
        <v>619273.93000000005</v>
      </c>
      <c r="CH72" s="348">
        <f>198236.27+267882.2</f>
        <v>466118.47</v>
      </c>
      <c r="CI72" s="439">
        <f>191050+474338</f>
        <v>665388</v>
      </c>
      <c r="CJ72" s="393">
        <f>184487+349418</f>
        <v>533905</v>
      </c>
      <c r="CK72" s="393">
        <f>187912+288117</f>
        <v>476029</v>
      </c>
      <c r="CL72" s="393">
        <f>192104+313532</f>
        <v>505636</v>
      </c>
      <c r="CM72" s="393">
        <f>207463+260243</f>
        <v>467706</v>
      </c>
      <c r="CN72" s="393">
        <f>229274+341437</f>
        <v>570711</v>
      </c>
      <c r="CO72" s="393">
        <f>236836+464712</f>
        <v>701548</v>
      </c>
      <c r="CP72" s="393">
        <f>233009+443593</f>
        <v>676602</v>
      </c>
      <c r="CQ72" s="393">
        <f>233306+358337</f>
        <v>591643</v>
      </c>
      <c r="CR72" s="416">
        <f>216394+292418</f>
        <v>508812</v>
      </c>
      <c r="CS72" s="393">
        <f>196897+463132</f>
        <v>660029</v>
      </c>
      <c r="CT72" s="394">
        <f>189296+485973</f>
        <v>675269</v>
      </c>
      <c r="CU72" s="393">
        <f>173243+282698</f>
        <v>455941</v>
      </c>
      <c r="CV72" s="393">
        <f>171623+379361</f>
        <v>550984</v>
      </c>
      <c r="CW72" s="393">
        <f>167665+312244</f>
        <v>479909</v>
      </c>
      <c r="CX72" s="393">
        <f>181350+390500</f>
        <v>571850</v>
      </c>
      <c r="CY72" s="393">
        <f>196557+389525</f>
        <v>586082</v>
      </c>
      <c r="CZ72" s="393">
        <f>215471+390718</f>
        <v>606189</v>
      </c>
      <c r="DA72" s="393">
        <f>231477+340559</f>
        <v>572036</v>
      </c>
      <c r="DB72" s="393">
        <f>215186+385064</f>
        <v>600250</v>
      </c>
      <c r="DC72" s="393">
        <f>231865+382562</f>
        <v>614427</v>
      </c>
      <c r="DD72" s="393">
        <f>195292+353646</f>
        <v>548938</v>
      </c>
      <c r="DE72" s="393">
        <f>187465+350589</f>
        <v>538054</v>
      </c>
      <c r="DF72" s="394">
        <f>188879+304440</f>
        <v>493319</v>
      </c>
      <c r="DG72" s="387">
        <f>161135+144390</f>
        <v>305525</v>
      </c>
      <c r="DH72" s="387">
        <f>162855+385491</f>
        <v>548346</v>
      </c>
      <c r="DI72" s="387">
        <f>167802+178750</f>
        <v>346552</v>
      </c>
      <c r="DJ72" s="387">
        <f>174143+167508</f>
        <v>341651</v>
      </c>
      <c r="DK72" s="387">
        <f>192242+194996</f>
        <v>387238</v>
      </c>
      <c r="DL72" s="387">
        <f>217848+219714</f>
        <v>437562</v>
      </c>
      <c r="DM72" s="387">
        <f>206547+151878</f>
        <v>358425</v>
      </c>
      <c r="DN72" s="387">
        <f>219420+148145</f>
        <v>367565</v>
      </c>
      <c r="DO72" s="387">
        <f>211163+164178</f>
        <v>375341</v>
      </c>
      <c r="DP72" s="387">
        <f>175504+195137</f>
        <v>370641</v>
      </c>
      <c r="DQ72" s="387">
        <f>160208+192674</f>
        <v>352882</v>
      </c>
      <c r="DR72" s="387">
        <f>146445+90864</f>
        <v>237309</v>
      </c>
      <c r="DS72" s="387">
        <f>148154+175380</f>
        <v>323534</v>
      </c>
      <c r="DT72" s="387">
        <f>167865+393483</f>
        <v>561348</v>
      </c>
      <c r="DU72" s="387">
        <f>175358+379355</f>
        <v>554713</v>
      </c>
      <c r="DV72" s="389">
        <f>192309+497301</f>
        <v>689610</v>
      </c>
      <c r="DW72" s="389">
        <f>203990+369428</f>
        <v>573418</v>
      </c>
      <c r="DX72" s="389">
        <f>218250+392625</f>
        <v>610875</v>
      </c>
      <c r="DY72" s="389">
        <f>218370+394933</f>
        <v>613303</v>
      </c>
      <c r="DZ72" s="389">
        <f>220057+365272</f>
        <v>585329</v>
      </c>
      <c r="EA72" s="389">
        <f>230761+349066</f>
        <v>579827</v>
      </c>
      <c r="EB72" s="389">
        <f>209728+375481</f>
        <v>585209</v>
      </c>
      <c r="EC72" s="376">
        <f>196176+371664</f>
        <v>567840</v>
      </c>
      <c r="ED72" s="376">
        <f>199952+400425</f>
        <v>600377</v>
      </c>
      <c r="EE72" s="376">
        <f>189068+374557</f>
        <v>563625</v>
      </c>
      <c r="EF72" s="376">
        <f>177376+365342</f>
        <v>542718</v>
      </c>
      <c r="EG72" s="376">
        <f>175358+337705</f>
        <v>513063</v>
      </c>
      <c r="EH72" s="376">
        <f>176577+423047</f>
        <v>599624</v>
      </c>
      <c r="EI72" s="376">
        <f>189214+457247</f>
        <v>646461</v>
      </c>
      <c r="EJ72" s="376">
        <f>215866+395295</f>
        <v>611161</v>
      </c>
      <c r="EK72" s="376">
        <f>225404+360034</f>
        <v>585438</v>
      </c>
      <c r="EL72" s="376">
        <f>215433+384104</f>
        <v>599537</v>
      </c>
      <c r="EM72" s="376">
        <f>222435+386553</f>
        <v>608988</v>
      </c>
      <c r="EN72" s="487">
        <f>210169+365354</f>
        <v>575523</v>
      </c>
      <c r="EO72" s="487">
        <f>196314+437003</f>
        <v>633317</v>
      </c>
      <c r="EP72" s="487">
        <f>188193+398301</f>
        <v>586494</v>
      </c>
      <c r="EQ72" s="487">
        <f>181591+387029</f>
        <v>568620</v>
      </c>
      <c r="ER72" s="487">
        <f>160438+326999</f>
        <v>487437</v>
      </c>
      <c r="ES72" s="487">
        <f>173948+334059</f>
        <v>508007</v>
      </c>
      <c r="ET72" s="487">
        <f>183440+430282</f>
        <v>613722</v>
      </c>
      <c r="EU72" s="487">
        <f>201658+464861</f>
        <v>666519</v>
      </c>
      <c r="EV72" s="487">
        <f>215555+441266</f>
        <v>656821</v>
      </c>
      <c r="EW72" s="487">
        <f>227770+412182</f>
        <v>639952</v>
      </c>
      <c r="EX72" s="487">
        <f>223971+413797</f>
        <v>637768</v>
      </c>
      <c r="EY72" s="487">
        <f>236086+439894</f>
        <v>675980</v>
      </c>
      <c r="EZ72" s="387">
        <f>216383+463259</f>
        <v>679642</v>
      </c>
      <c r="FA72" s="387">
        <f>199905+363096</f>
        <v>563001</v>
      </c>
      <c r="FB72" s="387">
        <f>384739+387174</f>
        <v>771913</v>
      </c>
      <c r="FC72" s="387">
        <f>185197+403378</f>
        <v>588575</v>
      </c>
      <c r="FD72" s="387">
        <f>190527+395950</f>
        <v>586477</v>
      </c>
      <c r="FE72" s="387">
        <f>179337+390351</f>
        <v>569688</v>
      </c>
      <c r="FF72" s="387">
        <f>196830+433998</f>
        <v>630828</v>
      </c>
      <c r="FG72" s="387">
        <f>201313+383148</f>
        <v>584461</v>
      </c>
      <c r="FH72" s="387">
        <f>219376+428150</f>
        <v>647526</v>
      </c>
      <c r="FI72" s="387">
        <f>227238+408074</f>
        <v>635312</v>
      </c>
      <c r="FJ72" s="387">
        <f>232211+417066</f>
        <v>649277</v>
      </c>
      <c r="FK72" s="387">
        <f>237097+406197</f>
        <v>643294</v>
      </c>
      <c r="FL72" s="387">
        <f>207045+429609</f>
        <v>636654</v>
      </c>
      <c r="FM72" s="387">
        <f>207045+429609</f>
        <v>636654</v>
      </c>
      <c r="FN72" s="387">
        <f>207433+402242</f>
        <v>609675</v>
      </c>
      <c r="FO72" s="387">
        <f>190747+534359</f>
        <v>725106</v>
      </c>
      <c r="FP72" s="387">
        <f>198924+425636</f>
        <v>624560</v>
      </c>
      <c r="FQ72" s="387">
        <f>192756+401267</f>
        <v>594023</v>
      </c>
      <c r="FR72" s="387">
        <f>199505+416258</f>
        <v>615763</v>
      </c>
      <c r="FS72" s="387">
        <f>210850+383216</f>
        <v>594066</v>
      </c>
      <c r="FT72" s="387">
        <f>237444+368921</f>
        <v>606365</v>
      </c>
    </row>
    <row r="73" spans="2:176" s="387" customFormat="1" ht="13.8" hidden="1" thickTop="1" x14ac:dyDescent="0.25">
      <c r="B73" s="390" t="s">
        <v>9</v>
      </c>
      <c r="C73" s="397">
        <f t="shared" ref="C73:Q73" si="323">SUM(C71:C72)</f>
        <v>165177.535</v>
      </c>
      <c r="D73" s="398">
        <f t="shared" si="323"/>
        <v>329666.56099999999</v>
      </c>
      <c r="E73" s="398">
        <f t="shared" si="323"/>
        <v>723430.14199999999</v>
      </c>
      <c r="F73" s="398">
        <f t="shared" si="323"/>
        <v>546401.78</v>
      </c>
      <c r="G73" s="398">
        <f t="shared" si="323"/>
        <v>588540.40899999999</v>
      </c>
      <c r="H73" s="398">
        <f t="shared" si="323"/>
        <v>476489.29999999993</v>
      </c>
      <c r="I73" s="398">
        <f t="shared" si="323"/>
        <v>945665.92</v>
      </c>
      <c r="J73" s="398">
        <f t="shared" si="323"/>
        <v>273501.701</v>
      </c>
      <c r="K73" s="398">
        <f t="shared" si="323"/>
        <v>700107.96499999997</v>
      </c>
      <c r="L73" s="398">
        <f t="shared" si="323"/>
        <v>557151.21400000004</v>
      </c>
      <c r="M73" s="398">
        <f t="shared" si="323"/>
        <v>541087.33400000003</v>
      </c>
      <c r="N73" s="399">
        <f t="shared" si="323"/>
        <v>329685.5290000001</v>
      </c>
      <c r="O73" s="441">
        <f t="shared" si="323"/>
        <v>507451</v>
      </c>
      <c r="P73" s="398">
        <f t="shared" si="323"/>
        <v>474889</v>
      </c>
      <c r="Q73" s="398">
        <f t="shared" si="323"/>
        <v>430898</v>
      </c>
      <c r="R73" s="398">
        <f>SUM(R71:R72)</f>
        <v>501902</v>
      </c>
      <c r="S73" s="398">
        <f>SUM(S71:S72)</f>
        <v>542811</v>
      </c>
      <c r="T73" s="398">
        <f>SUM(T71:T72)</f>
        <v>504472</v>
      </c>
      <c r="U73" s="441">
        <f>223298+326004</f>
        <v>549302</v>
      </c>
      <c r="V73" s="457">
        <f>207456+293789</f>
        <v>501245</v>
      </c>
      <c r="W73" s="400">
        <f>213798+291669</f>
        <v>505467</v>
      </c>
      <c r="X73" s="400">
        <f>224014+336290</f>
        <v>560304</v>
      </c>
      <c r="Y73" s="400">
        <f>164257+352459</f>
        <v>516716</v>
      </c>
      <c r="Z73" s="399">
        <f>231316+194826</f>
        <v>426142</v>
      </c>
      <c r="AA73" s="400">
        <f t="shared" ref="AA73:AF73" si="324">SUM(AA71:AA72)</f>
        <v>619035</v>
      </c>
      <c r="AB73" s="400">
        <f t="shared" si="324"/>
        <v>444565</v>
      </c>
      <c r="AC73" s="400">
        <f t="shared" si="324"/>
        <v>538078</v>
      </c>
      <c r="AD73" s="400">
        <f t="shared" si="324"/>
        <v>510897</v>
      </c>
      <c r="AE73" s="400">
        <f t="shared" si="324"/>
        <v>416497</v>
      </c>
      <c r="AF73" s="400">
        <f t="shared" si="324"/>
        <v>650813</v>
      </c>
      <c r="AG73" s="400">
        <f t="shared" ref="AG73:AL73" si="325">SUM(AG71:AG72)</f>
        <v>579375</v>
      </c>
      <c r="AH73" s="400">
        <f t="shared" si="325"/>
        <v>546756</v>
      </c>
      <c r="AI73" s="400">
        <f t="shared" si="325"/>
        <v>507225</v>
      </c>
      <c r="AJ73" s="400">
        <f t="shared" si="325"/>
        <v>671063</v>
      </c>
      <c r="AK73" s="400">
        <f t="shared" si="325"/>
        <v>409138</v>
      </c>
      <c r="AL73" s="400">
        <f t="shared" si="325"/>
        <v>598839</v>
      </c>
      <c r="AM73" s="458">
        <f t="shared" ref="AM73:AR73" si="326">SUM(AM71:AM72)</f>
        <v>466723</v>
      </c>
      <c r="AN73" s="400">
        <f t="shared" si="326"/>
        <v>426457</v>
      </c>
      <c r="AO73" s="400">
        <f t="shared" si="326"/>
        <v>654986</v>
      </c>
      <c r="AP73" s="400">
        <f t="shared" si="326"/>
        <v>511810</v>
      </c>
      <c r="AQ73" s="400">
        <f t="shared" si="326"/>
        <v>424813</v>
      </c>
      <c r="AR73" s="400">
        <f t="shared" si="326"/>
        <v>549225</v>
      </c>
      <c r="AS73" s="400">
        <f t="shared" ref="AS73:AX73" si="327">SUM(AS71:AS72)</f>
        <v>507897</v>
      </c>
      <c r="AT73" s="400">
        <f t="shared" si="327"/>
        <v>616318</v>
      </c>
      <c r="AU73" s="400">
        <f t="shared" si="327"/>
        <v>554948</v>
      </c>
      <c r="AV73" s="400">
        <f t="shared" si="327"/>
        <v>587745</v>
      </c>
      <c r="AW73" s="400">
        <f t="shared" si="327"/>
        <v>571898</v>
      </c>
      <c r="AX73" s="400">
        <f t="shared" si="327"/>
        <v>550708</v>
      </c>
      <c r="AY73" s="458">
        <f t="shared" ref="AY73:BJ73" si="328">SUM(AY71:AY72)</f>
        <v>496548</v>
      </c>
      <c r="AZ73" s="400">
        <f t="shared" si="328"/>
        <v>425275</v>
      </c>
      <c r="BA73" s="400">
        <f t="shared" si="328"/>
        <v>678033</v>
      </c>
      <c r="BB73" s="400">
        <f t="shared" si="328"/>
        <v>444588</v>
      </c>
      <c r="BC73" s="400">
        <f t="shared" si="328"/>
        <v>530249</v>
      </c>
      <c r="BD73" s="400">
        <f t="shared" si="328"/>
        <v>678251</v>
      </c>
      <c r="BE73" s="400">
        <f t="shared" si="328"/>
        <v>548574</v>
      </c>
      <c r="BF73" s="400">
        <f t="shared" si="328"/>
        <v>540625</v>
      </c>
      <c r="BG73" s="400">
        <f t="shared" si="328"/>
        <v>547111</v>
      </c>
      <c r="BH73" s="400">
        <f t="shared" si="328"/>
        <v>573492</v>
      </c>
      <c r="BI73" s="400">
        <f t="shared" si="328"/>
        <v>508086</v>
      </c>
      <c r="BJ73" s="399">
        <f t="shared" si="328"/>
        <v>467486</v>
      </c>
      <c r="BK73" s="400">
        <f t="shared" ref="BK73:BV73" si="329">SUM(BK71:BK72)</f>
        <v>586472</v>
      </c>
      <c r="BL73" s="400">
        <f t="shared" si="329"/>
        <v>405929</v>
      </c>
      <c r="BM73" s="400">
        <f t="shared" si="329"/>
        <v>502087</v>
      </c>
      <c r="BN73" s="400">
        <f t="shared" si="329"/>
        <v>444116</v>
      </c>
      <c r="BO73" s="400">
        <f t="shared" si="329"/>
        <v>619851</v>
      </c>
      <c r="BP73" s="400">
        <f t="shared" si="329"/>
        <v>732286</v>
      </c>
      <c r="BQ73" s="400">
        <f t="shared" si="329"/>
        <v>628027</v>
      </c>
      <c r="BR73" s="400">
        <f t="shared" si="329"/>
        <v>585746</v>
      </c>
      <c r="BS73" s="400">
        <f t="shared" si="329"/>
        <v>528971</v>
      </c>
      <c r="BT73" s="400">
        <f t="shared" si="329"/>
        <v>512461</v>
      </c>
      <c r="BU73" s="400">
        <f t="shared" si="329"/>
        <v>586947</v>
      </c>
      <c r="BV73" s="399">
        <f t="shared" si="329"/>
        <v>538525</v>
      </c>
      <c r="BW73" s="400">
        <f t="shared" ref="BW73:CB73" si="330">SUM(BW71:BW72)</f>
        <v>525634</v>
      </c>
      <c r="BX73" s="400">
        <f t="shared" si="330"/>
        <v>493481</v>
      </c>
      <c r="BY73" s="400">
        <f t="shared" si="330"/>
        <v>510593</v>
      </c>
      <c r="BZ73" s="400">
        <f t="shared" si="330"/>
        <v>544882</v>
      </c>
      <c r="CA73" s="400">
        <f t="shared" si="330"/>
        <v>569641</v>
      </c>
      <c r="CB73" s="400">
        <f t="shared" si="330"/>
        <v>601693</v>
      </c>
      <c r="CC73" s="400">
        <f t="shared" ref="CC73:DK73" si="331">SUM(CC71:CC72)</f>
        <v>604718</v>
      </c>
      <c r="CD73" s="400">
        <f t="shared" si="331"/>
        <v>1101614</v>
      </c>
      <c r="CE73" s="400">
        <f t="shared" si="331"/>
        <v>621675</v>
      </c>
      <c r="CF73" s="400">
        <f t="shared" si="331"/>
        <v>595868.92999999993</v>
      </c>
      <c r="CG73" s="400">
        <f t="shared" si="331"/>
        <v>620987.93000000005</v>
      </c>
      <c r="CH73" s="399">
        <f t="shared" si="331"/>
        <v>467766.47</v>
      </c>
      <c r="CI73" s="441">
        <f t="shared" si="331"/>
        <v>667642</v>
      </c>
      <c r="CJ73" s="398">
        <f t="shared" si="331"/>
        <v>536505</v>
      </c>
      <c r="CK73" s="398">
        <f t="shared" si="331"/>
        <v>478809</v>
      </c>
      <c r="CL73" s="398">
        <f t="shared" si="331"/>
        <v>507550</v>
      </c>
      <c r="CM73" s="398">
        <f t="shared" si="331"/>
        <v>469683</v>
      </c>
      <c r="CN73" s="398">
        <f t="shared" si="331"/>
        <v>572699</v>
      </c>
      <c r="CO73" s="398">
        <f t="shared" si="331"/>
        <v>703407</v>
      </c>
      <c r="CP73" s="398">
        <f t="shared" si="331"/>
        <v>677624</v>
      </c>
      <c r="CQ73" s="398">
        <f t="shared" si="331"/>
        <v>592556</v>
      </c>
      <c r="CR73" s="398">
        <f t="shared" si="331"/>
        <v>509709</v>
      </c>
      <c r="CS73" s="398">
        <f t="shared" si="331"/>
        <v>660847</v>
      </c>
      <c r="CT73" s="399">
        <f t="shared" si="331"/>
        <v>676033</v>
      </c>
      <c r="CU73" s="400">
        <f t="shared" si="331"/>
        <v>456734</v>
      </c>
      <c r="CV73" s="400">
        <f t="shared" si="331"/>
        <v>551715</v>
      </c>
      <c r="CW73" s="400">
        <f t="shared" si="331"/>
        <v>480633</v>
      </c>
      <c r="CX73" s="400">
        <f t="shared" si="331"/>
        <v>572636</v>
      </c>
      <c r="CY73" s="400">
        <f t="shared" si="331"/>
        <v>586929</v>
      </c>
      <c r="CZ73" s="400">
        <f t="shared" si="331"/>
        <v>607136</v>
      </c>
      <c r="DA73" s="400">
        <f t="shared" si="331"/>
        <v>573037</v>
      </c>
      <c r="DB73" s="400">
        <f t="shared" si="331"/>
        <v>601105</v>
      </c>
      <c r="DC73" s="400">
        <f t="shared" si="331"/>
        <v>615336</v>
      </c>
      <c r="DD73" s="400">
        <f t="shared" si="331"/>
        <v>549766</v>
      </c>
      <c r="DE73" s="400">
        <f t="shared" si="331"/>
        <v>538758</v>
      </c>
      <c r="DF73" s="399">
        <f t="shared" si="331"/>
        <v>494114</v>
      </c>
      <c r="DG73" s="400">
        <f t="shared" si="331"/>
        <v>306188</v>
      </c>
      <c r="DH73" s="400">
        <f t="shared" si="331"/>
        <v>548858</v>
      </c>
      <c r="DI73" s="400">
        <f t="shared" si="331"/>
        <v>347069</v>
      </c>
      <c r="DJ73" s="400">
        <f t="shared" si="331"/>
        <v>342190</v>
      </c>
      <c r="DK73" s="400">
        <f t="shared" si="331"/>
        <v>387463</v>
      </c>
      <c r="DL73" s="400">
        <f t="shared" ref="DL73:FK73" si="332">SUM(DL71:DL72)</f>
        <v>438189</v>
      </c>
      <c r="DM73" s="400">
        <f t="shared" si="332"/>
        <v>359028</v>
      </c>
      <c r="DN73" s="400">
        <f t="shared" si="332"/>
        <v>368170</v>
      </c>
      <c r="DO73" s="400">
        <f t="shared" si="332"/>
        <v>375967</v>
      </c>
      <c r="DP73" s="400">
        <f t="shared" si="332"/>
        <v>371221</v>
      </c>
      <c r="DQ73" s="400">
        <f t="shared" si="332"/>
        <v>353385</v>
      </c>
      <c r="DR73" s="400">
        <f t="shared" si="332"/>
        <v>237892</v>
      </c>
      <c r="DS73" s="400">
        <f t="shared" si="332"/>
        <v>324063</v>
      </c>
      <c r="DT73" s="400">
        <f t="shared" si="332"/>
        <v>561891</v>
      </c>
      <c r="DU73" s="400">
        <f t="shared" si="332"/>
        <v>555312</v>
      </c>
      <c r="DV73" s="402">
        <f t="shared" si="332"/>
        <v>690272</v>
      </c>
      <c r="DW73" s="402">
        <f t="shared" si="332"/>
        <v>574122</v>
      </c>
      <c r="DX73" s="402">
        <f t="shared" si="332"/>
        <v>611222</v>
      </c>
      <c r="DY73" s="402">
        <f t="shared" si="332"/>
        <v>613631</v>
      </c>
      <c r="DZ73" s="402">
        <f t="shared" si="332"/>
        <v>585667</v>
      </c>
      <c r="EA73" s="402">
        <f t="shared" si="332"/>
        <v>580189</v>
      </c>
      <c r="EB73" s="402">
        <f t="shared" si="332"/>
        <v>585546</v>
      </c>
      <c r="EC73" s="489">
        <f t="shared" si="332"/>
        <v>568014</v>
      </c>
      <c r="ED73" s="489">
        <f t="shared" si="332"/>
        <v>600666</v>
      </c>
      <c r="EE73" s="489">
        <f t="shared" si="332"/>
        <v>563773</v>
      </c>
      <c r="EF73" s="489">
        <f t="shared" si="332"/>
        <v>542913</v>
      </c>
      <c r="EG73" s="489">
        <f t="shared" si="332"/>
        <v>513195</v>
      </c>
      <c r="EH73" s="489">
        <f t="shared" si="332"/>
        <v>599776</v>
      </c>
      <c r="EI73" s="489">
        <f t="shared" si="332"/>
        <v>646611</v>
      </c>
      <c r="EJ73" s="489">
        <f t="shared" si="332"/>
        <v>611341</v>
      </c>
      <c r="EK73" s="489">
        <f t="shared" si="332"/>
        <v>585636</v>
      </c>
      <c r="EL73" s="489">
        <f t="shared" si="332"/>
        <v>599730</v>
      </c>
      <c r="EM73" s="489">
        <f t="shared" si="332"/>
        <v>609301</v>
      </c>
      <c r="EN73" s="489">
        <f t="shared" si="332"/>
        <v>575811</v>
      </c>
      <c r="EO73" s="489">
        <f t="shared" si="332"/>
        <v>633568</v>
      </c>
      <c r="EP73" s="489">
        <f t="shared" si="332"/>
        <v>586719</v>
      </c>
      <c r="EQ73" s="489">
        <f t="shared" si="332"/>
        <v>568833</v>
      </c>
      <c r="ER73" s="489">
        <f t="shared" si="332"/>
        <v>487582</v>
      </c>
      <c r="ES73" s="489">
        <f t="shared" si="332"/>
        <v>508126</v>
      </c>
      <c r="ET73" s="489">
        <f t="shared" si="332"/>
        <v>613854</v>
      </c>
      <c r="EU73" s="489">
        <f t="shared" si="332"/>
        <v>666678</v>
      </c>
      <c r="EV73" s="489">
        <f t="shared" si="332"/>
        <v>657007</v>
      </c>
      <c r="EW73" s="489">
        <f t="shared" si="332"/>
        <v>640177</v>
      </c>
      <c r="EX73" s="489">
        <f t="shared" si="332"/>
        <v>637868</v>
      </c>
      <c r="EY73" s="489">
        <f t="shared" si="332"/>
        <v>676092</v>
      </c>
      <c r="EZ73" s="489">
        <f t="shared" si="332"/>
        <v>679754</v>
      </c>
      <c r="FA73" s="489">
        <f t="shared" si="332"/>
        <v>563077</v>
      </c>
      <c r="FB73" s="489">
        <f t="shared" si="332"/>
        <v>771986</v>
      </c>
      <c r="FC73" s="489">
        <f t="shared" si="332"/>
        <v>588657</v>
      </c>
      <c r="FD73" s="489">
        <f t="shared" si="332"/>
        <v>586549</v>
      </c>
      <c r="FE73" s="489">
        <f t="shared" si="332"/>
        <v>569764</v>
      </c>
      <c r="FF73" s="489">
        <f t="shared" si="332"/>
        <v>630898</v>
      </c>
      <c r="FG73" s="489">
        <f t="shared" si="332"/>
        <v>584543</v>
      </c>
      <c r="FH73" s="489">
        <f t="shared" si="332"/>
        <v>647616</v>
      </c>
      <c r="FI73" s="489">
        <f t="shared" si="332"/>
        <v>635404</v>
      </c>
      <c r="FJ73" s="489">
        <f t="shared" si="332"/>
        <v>649363</v>
      </c>
      <c r="FK73" s="489">
        <f t="shared" si="332"/>
        <v>643384</v>
      </c>
      <c r="FL73" s="489">
        <f t="shared" ref="FL73:FQ73" si="333">SUM(FL71:FL72)</f>
        <v>636748</v>
      </c>
      <c r="FM73" s="489">
        <f t="shared" si="333"/>
        <v>636726</v>
      </c>
      <c r="FN73" s="489">
        <f t="shared" si="333"/>
        <v>609743</v>
      </c>
      <c r="FO73" s="489">
        <f t="shared" si="333"/>
        <v>725175</v>
      </c>
      <c r="FP73" s="489">
        <f t="shared" si="333"/>
        <v>624622</v>
      </c>
      <c r="FQ73" s="489">
        <f t="shared" si="333"/>
        <v>594087</v>
      </c>
      <c r="FR73" s="489">
        <f t="shared" ref="FR73:FT73" si="334">SUM(FR71:FR72)</f>
        <v>615837</v>
      </c>
      <c r="FS73" s="489">
        <f t="shared" si="334"/>
        <v>594154</v>
      </c>
      <c r="FT73" s="489">
        <f t="shared" si="334"/>
        <v>606491</v>
      </c>
    </row>
    <row r="74" spans="2:176" s="345" customFormat="1" hidden="1" x14ac:dyDescent="0.25">
      <c r="B74" s="443" t="s">
        <v>10</v>
      </c>
      <c r="C74" s="444">
        <f t="shared" ref="C74:Q74" si="335">SUM(C71)/C73</f>
        <v>0.7639487960635809</v>
      </c>
      <c r="D74" s="445">
        <f t="shared" si="335"/>
        <v>0.38277215201089204</v>
      </c>
      <c r="E74" s="445">
        <f t="shared" si="335"/>
        <v>0.35952941673254196</v>
      </c>
      <c r="F74" s="445">
        <f t="shared" si="335"/>
        <v>0.40010109227682239</v>
      </c>
      <c r="G74" s="445">
        <f t="shared" si="335"/>
        <v>0.36883452976293429</v>
      </c>
      <c r="H74" s="445">
        <f t="shared" si="335"/>
        <v>0.14537294751424643</v>
      </c>
      <c r="I74" s="445">
        <f t="shared" si="335"/>
        <v>0.14202419814388573</v>
      </c>
      <c r="J74" s="445">
        <f t="shared" si="335"/>
        <v>0.48998749737209124</v>
      </c>
      <c r="K74" s="445">
        <f t="shared" si="335"/>
        <v>0.17418151641797133</v>
      </c>
      <c r="L74" s="445">
        <f t="shared" si="335"/>
        <v>0.21613640242377716</v>
      </c>
      <c r="M74" s="445">
        <f t="shared" si="335"/>
        <v>0.20134343968953447</v>
      </c>
      <c r="N74" s="447">
        <f t="shared" si="335"/>
        <v>0.34335276208013354</v>
      </c>
      <c r="O74" s="446">
        <f t="shared" si="335"/>
        <v>0.25614295764517164</v>
      </c>
      <c r="P74" s="445">
        <f t="shared" si="335"/>
        <v>0.31448822777533275</v>
      </c>
      <c r="Q74" s="445">
        <f t="shared" si="335"/>
        <v>0.34215057855919501</v>
      </c>
      <c r="R74" s="445">
        <f t="shared" ref="R74:W74" si="336">SUM(R71)/R73</f>
        <v>0.38478029575494815</v>
      </c>
      <c r="S74" s="445">
        <f t="shared" si="336"/>
        <v>0.3372241903719711</v>
      </c>
      <c r="T74" s="445">
        <f t="shared" si="336"/>
        <v>0.32303081241377124</v>
      </c>
      <c r="U74" s="445">
        <f t="shared" si="336"/>
        <v>0.34463191468445409</v>
      </c>
      <c r="V74" s="445">
        <f t="shared" si="336"/>
        <v>0.34419694959550717</v>
      </c>
      <c r="W74" s="445">
        <f t="shared" si="336"/>
        <v>0.35325946105284817</v>
      </c>
      <c r="X74" s="445">
        <f t="shared" ref="X74:AC74" si="337">SUM(X71)/X73</f>
        <v>0.29893593477826325</v>
      </c>
      <c r="Y74" s="445">
        <f t="shared" si="337"/>
        <v>0.31412807035199219</v>
      </c>
      <c r="Z74" s="447">
        <f t="shared" si="337"/>
        <v>9.2025662807233274E-2</v>
      </c>
      <c r="AA74" s="445">
        <f t="shared" si="337"/>
        <v>0.28854265106173316</v>
      </c>
      <c r="AB74" s="445">
        <f t="shared" si="337"/>
        <v>7.6983118329153222E-2</v>
      </c>
      <c r="AC74" s="445">
        <f t="shared" si="337"/>
        <v>7.240585937354807E-2</v>
      </c>
      <c r="AD74" s="445">
        <f t="shared" ref="AD74:AI74" si="338">SUM(AD71)/AD73</f>
        <v>0.11638353719047088</v>
      </c>
      <c r="AE74" s="445">
        <f t="shared" si="338"/>
        <v>4.6408497540198372E-2</v>
      </c>
      <c r="AF74" s="445">
        <f t="shared" si="338"/>
        <v>5.6200475405377578E-2</v>
      </c>
      <c r="AG74" s="445">
        <f t="shared" si="338"/>
        <v>0.10051003236245955</v>
      </c>
      <c r="AH74" s="445">
        <f t="shared" si="338"/>
        <v>5.7169925890159415E-2</v>
      </c>
      <c r="AI74" s="445">
        <f t="shared" si="338"/>
        <v>6.7555818423776434E-2</v>
      </c>
      <c r="AJ74" s="445">
        <f t="shared" ref="AJ74:AO74" si="339">SUM(AJ71)/AJ73</f>
        <v>4.7315974804154004E-2</v>
      </c>
      <c r="AK74" s="445">
        <f t="shared" si="339"/>
        <v>7.6402094158939032E-2</v>
      </c>
      <c r="AL74" s="445">
        <f t="shared" si="339"/>
        <v>1.6486902155671224E-2</v>
      </c>
      <c r="AM74" s="459">
        <f t="shared" si="339"/>
        <v>0.10958320031367642</v>
      </c>
      <c r="AN74" s="445">
        <f t="shared" si="339"/>
        <v>1.6805914781560627E-2</v>
      </c>
      <c r="AO74" s="445">
        <f t="shared" si="339"/>
        <v>2.2362310034107599E-2</v>
      </c>
      <c r="AP74" s="445">
        <f t="shared" ref="AP74:AU74" si="340">SUM(AP71)/AP73</f>
        <v>4.1732283464566929E-2</v>
      </c>
      <c r="AQ74" s="445">
        <f t="shared" si="340"/>
        <v>1.7673658762796807E-2</v>
      </c>
      <c r="AR74" s="445">
        <f t="shared" si="340"/>
        <v>1.7011243115298832E-2</v>
      </c>
      <c r="AS74" s="445">
        <f t="shared" si="340"/>
        <v>1.2683674052022359E-2</v>
      </c>
      <c r="AT74" s="445">
        <f t="shared" si="340"/>
        <v>1.4943584318484937E-2</v>
      </c>
      <c r="AU74" s="445">
        <f t="shared" si="340"/>
        <v>1.231466732018135E-2</v>
      </c>
      <c r="AV74" s="445">
        <f t="shared" ref="AV74:BJ74" si="341">SUM(AV71)/AV73</f>
        <v>1.2988626019787492E-2</v>
      </c>
      <c r="AW74" s="445">
        <f t="shared" si="341"/>
        <v>1.0489632766682171E-2</v>
      </c>
      <c r="AX74" s="445">
        <f t="shared" si="341"/>
        <v>1.081153714854333E-2</v>
      </c>
      <c r="AY74" s="459">
        <f t="shared" si="341"/>
        <v>1.2413704213892715E-2</v>
      </c>
      <c r="AZ74" s="445">
        <f t="shared" si="341"/>
        <v>1.0012344953265534E-2</v>
      </c>
      <c r="BA74" s="445">
        <f t="shared" si="341"/>
        <v>8.1500457942312535E-3</v>
      </c>
      <c r="BB74" s="445">
        <f t="shared" si="341"/>
        <v>1.072228670139545E-2</v>
      </c>
      <c r="BC74" s="445">
        <f t="shared" si="341"/>
        <v>1.1937787718600129E-2</v>
      </c>
      <c r="BD74" s="445">
        <f t="shared" si="341"/>
        <v>8.3243518992231497E-3</v>
      </c>
      <c r="BE74" s="445">
        <f t="shared" si="341"/>
        <v>8.4765227662995327E-3</v>
      </c>
      <c r="BF74" s="445">
        <f t="shared" si="341"/>
        <v>1.0356531791907514E-2</v>
      </c>
      <c r="BG74" s="445">
        <f t="shared" si="341"/>
        <v>8.2688887629749717E-3</v>
      </c>
      <c r="BH74" s="445">
        <f t="shared" si="341"/>
        <v>8.734210764927846E-3</v>
      </c>
      <c r="BI74" s="445">
        <f t="shared" si="341"/>
        <v>7.9829005325870034E-3</v>
      </c>
      <c r="BJ74" s="447">
        <f t="shared" si="341"/>
        <v>5.1317044788507038E-3</v>
      </c>
      <c r="BK74" s="445">
        <f t="shared" ref="BK74:BV74" si="342">SUM(BK71)/BK73</f>
        <v>9.0967684731751899E-3</v>
      </c>
      <c r="BL74" s="445">
        <f t="shared" si="342"/>
        <v>7.87329803980499E-3</v>
      </c>
      <c r="BM74" s="445">
        <f t="shared" si="342"/>
        <v>8.6976958176571001E-3</v>
      </c>
      <c r="BN74" s="445">
        <f t="shared" si="342"/>
        <v>8.0226787596033473E-3</v>
      </c>
      <c r="BO74" s="445">
        <f t="shared" si="342"/>
        <v>3.5030999385336152E-2</v>
      </c>
      <c r="BP74" s="445">
        <f t="shared" si="342"/>
        <v>8.7848190461103995E-3</v>
      </c>
      <c r="BQ74" s="445">
        <f t="shared" si="342"/>
        <v>1.6709472681906989E-2</v>
      </c>
      <c r="BR74" s="445">
        <f t="shared" si="342"/>
        <v>1.6099128291102285E-2</v>
      </c>
      <c r="BS74" s="445">
        <f t="shared" si="342"/>
        <v>1.3367462488491808E-2</v>
      </c>
      <c r="BT74" s="445">
        <f t="shared" si="342"/>
        <v>1.6848111368474868E-2</v>
      </c>
      <c r="BU74" s="445">
        <f t="shared" si="342"/>
        <v>1.2592278348811733E-2</v>
      </c>
      <c r="BV74" s="447">
        <f t="shared" si="342"/>
        <v>1.2328118471751543E-2</v>
      </c>
      <c r="BW74" s="445">
        <f t="shared" ref="BW74:CB74" si="343">SUM(BW71)/BW73</f>
        <v>1.3149834295346191E-2</v>
      </c>
      <c r="BX74" s="445">
        <f t="shared" si="343"/>
        <v>1.2468565152457744E-2</v>
      </c>
      <c r="BY74" s="445">
        <f t="shared" si="343"/>
        <v>1.2994694404349453E-2</v>
      </c>
      <c r="BZ74" s="445">
        <f t="shared" si="343"/>
        <v>1.1758509181804501E-2</v>
      </c>
      <c r="CA74" s="445">
        <f t="shared" si="343"/>
        <v>1.1554645820788884E-2</v>
      </c>
      <c r="CB74" s="445">
        <f t="shared" si="343"/>
        <v>7.578615672776649E-3</v>
      </c>
      <c r="CC74" s="445">
        <f t="shared" ref="CC74:DK74" si="344">SUM(CC71)/CC73</f>
        <v>3.6661716701007741E-3</v>
      </c>
      <c r="CD74" s="445">
        <f t="shared" si="344"/>
        <v>1.7183877474324038E-3</v>
      </c>
      <c r="CE74" s="445">
        <f t="shared" si="344"/>
        <v>3.0562592994731975E-3</v>
      </c>
      <c r="CF74" s="445">
        <f t="shared" si="344"/>
        <v>3.0342243217816377E-3</v>
      </c>
      <c r="CG74" s="445">
        <f t="shared" si="344"/>
        <v>2.76011805897741E-3</v>
      </c>
      <c r="CH74" s="447">
        <f t="shared" si="344"/>
        <v>3.523125545958863E-3</v>
      </c>
      <c r="CI74" s="460">
        <f t="shared" si="344"/>
        <v>3.3760608230159277E-3</v>
      </c>
      <c r="CJ74" s="405">
        <f t="shared" si="344"/>
        <v>4.8461803711055814E-3</v>
      </c>
      <c r="CK74" s="405">
        <f t="shared" si="344"/>
        <v>5.8060729852613463E-3</v>
      </c>
      <c r="CL74" s="405">
        <f t="shared" si="344"/>
        <v>3.7710570387153976E-3</v>
      </c>
      <c r="CM74" s="405">
        <f t="shared" si="344"/>
        <v>4.2092219646016572E-3</v>
      </c>
      <c r="CN74" s="405">
        <f t="shared" si="344"/>
        <v>3.4712824712458028E-3</v>
      </c>
      <c r="CO74" s="405">
        <f t="shared" si="344"/>
        <v>2.6428511516092389E-3</v>
      </c>
      <c r="CP74" s="405">
        <f t="shared" si="344"/>
        <v>1.5082110432924453E-3</v>
      </c>
      <c r="CQ74" s="405">
        <f t="shared" si="344"/>
        <v>1.5407826433282254E-3</v>
      </c>
      <c r="CR74" s="405">
        <f t="shared" si="344"/>
        <v>1.7598276663743429E-3</v>
      </c>
      <c r="CS74" s="405">
        <f t="shared" si="344"/>
        <v>1.2378054224351477E-3</v>
      </c>
      <c r="CT74" s="406">
        <f t="shared" si="344"/>
        <v>1.1301223460984892E-3</v>
      </c>
      <c r="CU74" s="405">
        <f t="shared" si="344"/>
        <v>1.7362403499629983E-3</v>
      </c>
      <c r="CV74" s="405">
        <f t="shared" si="344"/>
        <v>1.3249594446408019E-3</v>
      </c>
      <c r="CW74" s="405">
        <f t="shared" si="344"/>
        <v>1.5063468384401404E-3</v>
      </c>
      <c r="CX74" s="405">
        <f t="shared" si="344"/>
        <v>1.3725996968405759E-3</v>
      </c>
      <c r="CY74" s="405">
        <f t="shared" si="344"/>
        <v>1.4431047026130929E-3</v>
      </c>
      <c r="CZ74" s="405">
        <f t="shared" si="344"/>
        <v>1.5597823222474041E-3</v>
      </c>
      <c r="DA74" s="405">
        <f t="shared" si="344"/>
        <v>1.7468331015274756E-3</v>
      </c>
      <c r="DB74" s="405">
        <f t="shared" si="344"/>
        <v>1.4223804493391338E-3</v>
      </c>
      <c r="DC74" s="405">
        <f t="shared" si="344"/>
        <v>1.4772417020944655E-3</v>
      </c>
      <c r="DD74" s="405">
        <f t="shared" si="344"/>
        <v>1.5060953205545632E-3</v>
      </c>
      <c r="DE74" s="405">
        <f t="shared" si="344"/>
        <v>1.3067091347135449E-3</v>
      </c>
      <c r="DF74" s="406">
        <f t="shared" si="344"/>
        <v>1.6089404469413942E-3</v>
      </c>
      <c r="DG74" s="405">
        <f t="shared" si="344"/>
        <v>2.1653363293140161E-3</v>
      </c>
      <c r="DH74" s="405">
        <f t="shared" si="344"/>
        <v>9.3284601846014821E-4</v>
      </c>
      <c r="DI74" s="405">
        <f t="shared" si="344"/>
        <v>1.4896173383390622E-3</v>
      </c>
      <c r="DJ74" s="405">
        <f t="shared" si="344"/>
        <v>1.5751483094187441E-3</v>
      </c>
      <c r="DK74" s="405">
        <f t="shared" si="344"/>
        <v>5.8070060883232718E-4</v>
      </c>
      <c r="DL74" s="405">
        <f t="shared" ref="DL74:FK74" si="345">SUM(DL71)/DL73</f>
        <v>1.4308894107337245E-3</v>
      </c>
      <c r="DM74" s="405">
        <f t="shared" si="345"/>
        <v>1.6795347438082824E-3</v>
      </c>
      <c r="DN74" s="405">
        <f t="shared" si="345"/>
        <v>1.6432626232446967E-3</v>
      </c>
      <c r="DO74" s="405">
        <f t="shared" si="345"/>
        <v>1.6650397508291951E-3</v>
      </c>
      <c r="DP74" s="405">
        <f t="shared" si="345"/>
        <v>1.5624116092570195E-3</v>
      </c>
      <c r="DQ74" s="405">
        <f t="shared" si="345"/>
        <v>1.4233767703779165E-3</v>
      </c>
      <c r="DR74" s="405">
        <f t="shared" si="345"/>
        <v>2.4506919106149008E-3</v>
      </c>
      <c r="DS74" s="405">
        <f t="shared" si="345"/>
        <v>1.632398638536334E-3</v>
      </c>
      <c r="DT74" s="405">
        <f t="shared" si="345"/>
        <v>9.663796003139399E-4</v>
      </c>
      <c r="DU74" s="405">
        <f t="shared" si="345"/>
        <v>1.0786728901950615E-3</v>
      </c>
      <c r="DV74" s="408">
        <f t="shared" si="345"/>
        <v>9.5904223262713827E-4</v>
      </c>
      <c r="DW74" s="408">
        <f t="shared" si="345"/>
        <v>1.2262202110352853E-3</v>
      </c>
      <c r="DX74" s="408">
        <f t="shared" si="345"/>
        <v>5.6771516732054804E-4</v>
      </c>
      <c r="DY74" s="408">
        <f t="shared" si="345"/>
        <v>5.3452319064714788E-4</v>
      </c>
      <c r="DZ74" s="408">
        <f t="shared" si="345"/>
        <v>5.7711976259546807E-4</v>
      </c>
      <c r="EA74" s="408">
        <f t="shared" si="345"/>
        <v>6.2393461441013185E-4</v>
      </c>
      <c r="EB74" s="408">
        <f t="shared" si="345"/>
        <v>5.7553121360234718E-4</v>
      </c>
      <c r="EC74" s="491">
        <f t="shared" si="345"/>
        <v>3.0633047776991413E-4</v>
      </c>
      <c r="ED74" s="491">
        <f t="shared" si="345"/>
        <v>4.8113260947015479E-4</v>
      </c>
      <c r="EE74" s="491">
        <f t="shared" si="345"/>
        <v>2.625170059580718E-4</v>
      </c>
      <c r="EF74" s="491">
        <f t="shared" si="345"/>
        <v>3.591735692459013E-4</v>
      </c>
      <c r="EG74" s="491">
        <f t="shared" si="345"/>
        <v>2.5721217081226433E-4</v>
      </c>
      <c r="EH74" s="491">
        <f t="shared" si="345"/>
        <v>2.534279464333351E-4</v>
      </c>
      <c r="EI74" s="491">
        <f t="shared" si="345"/>
        <v>2.3197873218983283E-4</v>
      </c>
      <c r="EJ74" s="491">
        <f t="shared" si="345"/>
        <v>2.9443469356709269E-4</v>
      </c>
      <c r="EK74" s="491">
        <f t="shared" si="345"/>
        <v>3.3809396963301437E-4</v>
      </c>
      <c r="EL74" s="491">
        <f t="shared" si="345"/>
        <v>3.2181148183349175E-4</v>
      </c>
      <c r="EM74" s="491">
        <f t="shared" si="345"/>
        <v>5.1370340767535258E-4</v>
      </c>
      <c r="EN74" s="491">
        <f t="shared" si="345"/>
        <v>5.0016411635067756E-4</v>
      </c>
      <c r="EO74" s="491">
        <f t="shared" si="345"/>
        <v>3.9616899843426438E-4</v>
      </c>
      <c r="EP74" s="491">
        <f t="shared" si="345"/>
        <v>3.8348851835376049E-4</v>
      </c>
      <c r="EQ74" s="491">
        <f t="shared" si="345"/>
        <v>3.744508493705534E-4</v>
      </c>
      <c r="ER74" s="491">
        <f t="shared" si="345"/>
        <v>2.9738587560656463E-4</v>
      </c>
      <c r="ES74" s="491">
        <f t="shared" si="345"/>
        <v>2.3419388104525257E-4</v>
      </c>
      <c r="ET74" s="491">
        <f t="shared" si="345"/>
        <v>2.1503484541926908E-4</v>
      </c>
      <c r="EU74" s="491">
        <f t="shared" si="345"/>
        <v>2.3849594556892532E-4</v>
      </c>
      <c r="EV74" s="491">
        <f t="shared" si="345"/>
        <v>2.8310200652352258E-4</v>
      </c>
      <c r="EW74" s="491">
        <f t="shared" si="345"/>
        <v>3.5146529787855545E-4</v>
      </c>
      <c r="EX74" s="491">
        <f t="shared" si="345"/>
        <v>1.5677224754964976E-4</v>
      </c>
      <c r="EY74" s="491">
        <f t="shared" si="345"/>
        <v>1.6565792821095354E-4</v>
      </c>
      <c r="EZ74" s="491">
        <f t="shared" si="345"/>
        <v>1.6476548869149722E-4</v>
      </c>
      <c r="FA74" s="491">
        <f t="shared" si="345"/>
        <v>1.3497265915674055E-4</v>
      </c>
      <c r="FB74" s="491">
        <f t="shared" si="345"/>
        <v>9.456130033446203E-5</v>
      </c>
      <c r="FC74" s="491">
        <f t="shared" si="345"/>
        <v>1.3930013573269323E-4</v>
      </c>
      <c r="FD74" s="491">
        <f t="shared" si="345"/>
        <v>1.2275189285123665E-4</v>
      </c>
      <c r="FE74" s="491">
        <f t="shared" si="345"/>
        <v>1.3338856087783714E-4</v>
      </c>
      <c r="FF74" s="491">
        <f t="shared" si="345"/>
        <v>1.109529591154196E-4</v>
      </c>
      <c r="FG74" s="491">
        <f t="shared" si="345"/>
        <v>1.4028052683891519E-4</v>
      </c>
      <c r="FH74" s="491">
        <f t="shared" si="345"/>
        <v>1.3897124221761044E-4</v>
      </c>
      <c r="FI74" s="491">
        <f t="shared" si="345"/>
        <v>1.4478977154692134E-4</v>
      </c>
      <c r="FJ74" s="491">
        <f t="shared" si="345"/>
        <v>1.3243748103911062E-4</v>
      </c>
      <c r="FK74" s="491">
        <f t="shared" si="345"/>
        <v>1.3988535617920247E-4</v>
      </c>
      <c r="FL74" s="491">
        <f t="shared" ref="FL74:FQ74" si="346">SUM(FL71)/FL73</f>
        <v>1.4762512014172011E-4</v>
      </c>
      <c r="FM74" s="491">
        <f t="shared" si="346"/>
        <v>1.1307846703291526E-4</v>
      </c>
      <c r="FN74" s="491">
        <f t="shared" si="346"/>
        <v>1.1152239550105536E-4</v>
      </c>
      <c r="FO74" s="491">
        <f t="shared" si="346"/>
        <v>9.5149446685282858E-5</v>
      </c>
      <c r="FP74" s="491">
        <f t="shared" si="346"/>
        <v>9.926003246763643E-5</v>
      </c>
      <c r="FQ74" s="491">
        <f t="shared" si="346"/>
        <v>1.0772832935243491E-4</v>
      </c>
      <c r="FR74" s="491">
        <f t="shared" ref="FR74:FT74" si="347">SUM(FR71)/FR73</f>
        <v>1.2016166615516768E-4</v>
      </c>
      <c r="FS74" s="491">
        <f t="shared" si="347"/>
        <v>1.4810974932424927E-4</v>
      </c>
      <c r="FT74" s="491">
        <f t="shared" si="347"/>
        <v>2.0775246458727334E-4</v>
      </c>
    </row>
    <row r="75" spans="2:176" s="345" customFormat="1" ht="13.8" hidden="1" thickBot="1" x14ac:dyDescent="0.3">
      <c r="B75" s="417" t="s">
        <v>11</v>
      </c>
      <c r="C75" s="448">
        <f t="shared" ref="C75:Q75" si="348">SUM(C72/C73)</f>
        <v>0.23605120393641904</v>
      </c>
      <c r="D75" s="449">
        <f t="shared" si="348"/>
        <v>0.61722784798910801</v>
      </c>
      <c r="E75" s="449">
        <f t="shared" si="348"/>
        <v>0.64047058326745798</v>
      </c>
      <c r="F75" s="449">
        <f t="shared" si="348"/>
        <v>0.59989890772317755</v>
      </c>
      <c r="G75" s="449">
        <f t="shared" si="348"/>
        <v>0.63116547023706571</v>
      </c>
      <c r="H75" s="449">
        <f t="shared" si="348"/>
        <v>0.85462705248575366</v>
      </c>
      <c r="I75" s="449">
        <f t="shared" si="348"/>
        <v>0.85797580185611422</v>
      </c>
      <c r="J75" s="449">
        <f t="shared" si="348"/>
        <v>0.51001250262790876</v>
      </c>
      <c r="K75" s="449">
        <f t="shared" si="348"/>
        <v>0.8258184835820287</v>
      </c>
      <c r="L75" s="449">
        <f t="shared" si="348"/>
        <v>0.78386359757622281</v>
      </c>
      <c r="M75" s="449">
        <f t="shared" si="348"/>
        <v>0.7986565603104655</v>
      </c>
      <c r="N75" s="451">
        <f t="shared" si="348"/>
        <v>0.65664723791986634</v>
      </c>
      <c r="O75" s="450">
        <f t="shared" si="348"/>
        <v>0.7438570423548283</v>
      </c>
      <c r="P75" s="449">
        <f t="shared" si="348"/>
        <v>0.68551177222466719</v>
      </c>
      <c r="Q75" s="449">
        <f t="shared" si="348"/>
        <v>0.65784942144080505</v>
      </c>
      <c r="R75" s="449">
        <f t="shared" ref="R75:W75" si="349">SUM(R72/R73)</f>
        <v>0.61521970424505179</v>
      </c>
      <c r="S75" s="449">
        <f t="shared" si="349"/>
        <v>0.66277580962802896</v>
      </c>
      <c r="T75" s="449">
        <f t="shared" si="349"/>
        <v>0.67696918758622882</v>
      </c>
      <c r="U75" s="449">
        <f t="shared" si="349"/>
        <v>0.65536808531554591</v>
      </c>
      <c r="V75" s="449">
        <f t="shared" si="349"/>
        <v>0.65580305040449283</v>
      </c>
      <c r="W75" s="449">
        <f t="shared" si="349"/>
        <v>0.64674053894715189</v>
      </c>
      <c r="X75" s="449">
        <f t="shared" ref="X75:AC75" si="350">SUM(X72/X73)</f>
        <v>0.70106406522173681</v>
      </c>
      <c r="Y75" s="449">
        <f t="shared" si="350"/>
        <v>0.68587192964800781</v>
      </c>
      <c r="Z75" s="451">
        <f t="shared" si="350"/>
        <v>0.90797433719276677</v>
      </c>
      <c r="AA75" s="449">
        <f t="shared" si="350"/>
        <v>0.71145734893826684</v>
      </c>
      <c r="AB75" s="449">
        <f t="shared" si="350"/>
        <v>0.92301688167084683</v>
      </c>
      <c r="AC75" s="449">
        <f t="shared" si="350"/>
        <v>0.92759414062645196</v>
      </c>
      <c r="AD75" s="449">
        <f t="shared" ref="AD75:AI75" si="351">SUM(AD72/AD73)</f>
        <v>0.8836164628095291</v>
      </c>
      <c r="AE75" s="449">
        <f t="shared" si="351"/>
        <v>0.95359150245980162</v>
      </c>
      <c r="AF75" s="449">
        <f t="shared" si="351"/>
        <v>0.94379952459462246</v>
      </c>
      <c r="AG75" s="449">
        <f t="shared" si="351"/>
        <v>0.89948996763754041</v>
      </c>
      <c r="AH75" s="449">
        <f t="shared" si="351"/>
        <v>0.94283007410984054</v>
      </c>
      <c r="AI75" s="449">
        <f t="shared" si="351"/>
        <v>0.93244418157622355</v>
      </c>
      <c r="AJ75" s="449">
        <f t="shared" ref="AJ75:AO75" si="352">SUM(AJ72/AJ73)</f>
        <v>0.95268402519584594</v>
      </c>
      <c r="AK75" s="449">
        <f t="shared" si="352"/>
        <v>0.92359790584106094</v>
      </c>
      <c r="AL75" s="449">
        <f t="shared" si="352"/>
        <v>0.98351309784432872</v>
      </c>
      <c r="AM75" s="461">
        <f t="shared" si="352"/>
        <v>0.89041679968632359</v>
      </c>
      <c r="AN75" s="449">
        <f t="shared" si="352"/>
        <v>0.98319408521843943</v>
      </c>
      <c r="AO75" s="449">
        <f t="shared" si="352"/>
        <v>0.9776376899658924</v>
      </c>
      <c r="AP75" s="449">
        <f t="shared" ref="AP75:AU75" si="353">SUM(AP72/AP73)</f>
        <v>0.95826771653543308</v>
      </c>
      <c r="AQ75" s="449">
        <f t="shared" si="353"/>
        <v>0.98232634123720319</v>
      </c>
      <c r="AR75" s="449">
        <f t="shared" si="353"/>
        <v>0.98298875688470122</v>
      </c>
      <c r="AS75" s="449">
        <f t="shared" si="353"/>
        <v>0.98731632594797769</v>
      </c>
      <c r="AT75" s="449">
        <f t="shared" si="353"/>
        <v>0.98505641568151503</v>
      </c>
      <c r="AU75" s="449">
        <f t="shared" si="353"/>
        <v>0.98768533267981862</v>
      </c>
      <c r="AV75" s="449">
        <f>SUM(AV72/AV73)</f>
        <v>0.98701137398021255</v>
      </c>
      <c r="AW75" s="449">
        <f>SUM(AW72/AW73)</f>
        <v>0.98951036723331787</v>
      </c>
      <c r="AX75" s="449">
        <f>SUM(AX72/AX73)</f>
        <v>0.98918846285145667</v>
      </c>
      <c r="AY75" s="461">
        <f t="shared" ref="AY75:BG75" si="354">SUM(AY72/AY73)</f>
        <v>0.98758629578610724</v>
      </c>
      <c r="AZ75" s="449">
        <f t="shared" si="354"/>
        <v>0.98998765504673447</v>
      </c>
      <c r="BA75" s="449">
        <f t="shared" si="354"/>
        <v>0.99184995420576871</v>
      </c>
      <c r="BB75" s="449">
        <f t="shared" si="354"/>
        <v>0.98927771329860459</v>
      </c>
      <c r="BC75" s="449">
        <f t="shared" si="354"/>
        <v>0.9880622122813999</v>
      </c>
      <c r="BD75" s="449">
        <f t="shared" si="354"/>
        <v>0.9916756481007768</v>
      </c>
      <c r="BE75" s="449">
        <f t="shared" si="354"/>
        <v>0.99152347723370049</v>
      </c>
      <c r="BF75" s="449">
        <f t="shared" si="354"/>
        <v>0.98964346820809246</v>
      </c>
      <c r="BG75" s="449">
        <f t="shared" si="354"/>
        <v>0.99173111123702506</v>
      </c>
      <c r="BH75" s="449">
        <f>SUM(BH72/BH73)</f>
        <v>0.99126578923507214</v>
      </c>
      <c r="BI75" s="449">
        <f>SUM(BI72/BI73)</f>
        <v>0.99201709946741301</v>
      </c>
      <c r="BJ75" s="451">
        <f>SUM(BJ72/BJ73)</f>
        <v>0.9948682955211493</v>
      </c>
      <c r="BK75" s="449">
        <f t="shared" ref="BK75:BS75" si="355">SUM(BK72/BK73)</f>
        <v>0.9909032315268248</v>
      </c>
      <c r="BL75" s="449">
        <f t="shared" si="355"/>
        <v>0.99212670196019503</v>
      </c>
      <c r="BM75" s="449">
        <f t="shared" si="355"/>
        <v>0.99130230418234289</v>
      </c>
      <c r="BN75" s="449">
        <f t="shared" si="355"/>
        <v>0.99197732124039661</v>
      </c>
      <c r="BO75" s="449">
        <f t="shared" si="355"/>
        <v>0.96496900061466384</v>
      </c>
      <c r="BP75" s="449">
        <f t="shared" si="355"/>
        <v>0.99121518095388961</v>
      </c>
      <c r="BQ75" s="449">
        <f t="shared" si="355"/>
        <v>0.98329052731809297</v>
      </c>
      <c r="BR75" s="449">
        <f t="shared" si="355"/>
        <v>0.98390087170889773</v>
      </c>
      <c r="BS75" s="449">
        <f t="shared" si="355"/>
        <v>0.98663253751150815</v>
      </c>
      <c r="BT75" s="449">
        <f>SUM(BT72/BT73)</f>
        <v>0.98315188863152514</v>
      </c>
      <c r="BU75" s="449">
        <f>SUM(BU72/BU73)</f>
        <v>0.98740772165118829</v>
      </c>
      <c r="BV75" s="451">
        <f>SUM(BV72/BV73)</f>
        <v>0.98767188152824847</v>
      </c>
      <c r="BW75" s="449">
        <f t="shared" ref="BW75:CB75" si="356">SUM(BW72/BW73)</f>
        <v>0.98685016570465378</v>
      </c>
      <c r="BX75" s="449">
        <f t="shared" si="356"/>
        <v>0.98753143484754224</v>
      </c>
      <c r="BY75" s="449">
        <f t="shared" si="356"/>
        <v>0.98700530559565058</v>
      </c>
      <c r="BZ75" s="449">
        <f t="shared" si="356"/>
        <v>0.98824149081819546</v>
      </c>
      <c r="CA75" s="449">
        <f t="shared" si="356"/>
        <v>0.98844535417921109</v>
      </c>
      <c r="CB75" s="449">
        <f t="shared" si="356"/>
        <v>0.99242138432722338</v>
      </c>
      <c r="CC75" s="449">
        <f t="shared" ref="CC75:DK75" si="357">SUM(CC72/CC73)</f>
        <v>0.99633382832989925</v>
      </c>
      <c r="CD75" s="449">
        <f t="shared" si="357"/>
        <v>0.99828161225256762</v>
      </c>
      <c r="CE75" s="449">
        <f t="shared" si="357"/>
        <v>0.99694374070052683</v>
      </c>
      <c r="CF75" s="449">
        <f t="shared" si="357"/>
        <v>0.99696577567821831</v>
      </c>
      <c r="CG75" s="449">
        <f t="shared" si="357"/>
        <v>0.99723988194102264</v>
      </c>
      <c r="CH75" s="451">
        <f t="shared" si="357"/>
        <v>0.99647687445404109</v>
      </c>
      <c r="CI75" s="462">
        <f t="shared" si="357"/>
        <v>0.99662393917698411</v>
      </c>
      <c r="CJ75" s="412">
        <f t="shared" si="357"/>
        <v>0.99515381962889438</v>
      </c>
      <c r="CK75" s="412">
        <f t="shared" si="357"/>
        <v>0.99419392701473863</v>
      </c>
      <c r="CL75" s="412">
        <f t="shared" si="357"/>
        <v>0.99622894296128461</v>
      </c>
      <c r="CM75" s="412">
        <f t="shared" si="357"/>
        <v>0.99579077803539839</v>
      </c>
      <c r="CN75" s="412">
        <f t="shared" si="357"/>
        <v>0.99652871752875416</v>
      </c>
      <c r="CO75" s="412">
        <f t="shared" si="357"/>
        <v>0.99735714884839077</v>
      </c>
      <c r="CP75" s="412">
        <f t="shared" si="357"/>
        <v>0.99849178895670754</v>
      </c>
      <c r="CQ75" s="412">
        <f t="shared" si="357"/>
        <v>0.99845921735667176</v>
      </c>
      <c r="CR75" s="412">
        <f t="shared" si="357"/>
        <v>0.99824017233362561</v>
      </c>
      <c r="CS75" s="412">
        <f t="shared" si="357"/>
        <v>0.99876219457756488</v>
      </c>
      <c r="CT75" s="413">
        <f t="shared" si="357"/>
        <v>0.99886987765390156</v>
      </c>
      <c r="CU75" s="412">
        <f t="shared" si="357"/>
        <v>0.998263759650037</v>
      </c>
      <c r="CV75" s="412">
        <f t="shared" si="357"/>
        <v>0.99867504055535916</v>
      </c>
      <c r="CW75" s="412">
        <f t="shared" si="357"/>
        <v>0.99849365316155991</v>
      </c>
      <c r="CX75" s="412">
        <f t="shared" si="357"/>
        <v>0.99862740030315944</v>
      </c>
      <c r="CY75" s="412">
        <f t="shared" si="357"/>
        <v>0.99855689529738689</v>
      </c>
      <c r="CZ75" s="412">
        <f t="shared" si="357"/>
        <v>0.9984402176777526</v>
      </c>
      <c r="DA75" s="412">
        <f t="shared" si="357"/>
        <v>0.99825316689847254</v>
      </c>
      <c r="DB75" s="412">
        <f t="shared" si="357"/>
        <v>0.99857761955066082</v>
      </c>
      <c r="DC75" s="412">
        <f t="shared" si="357"/>
        <v>0.99852275829790549</v>
      </c>
      <c r="DD75" s="412">
        <f t="shared" si="357"/>
        <v>0.99849390467944543</v>
      </c>
      <c r="DE75" s="412">
        <f t="shared" si="357"/>
        <v>0.99869329086528646</v>
      </c>
      <c r="DF75" s="413">
        <f t="shared" si="357"/>
        <v>0.99839105955305862</v>
      </c>
      <c r="DG75" s="412">
        <f t="shared" si="357"/>
        <v>0.99783466367068596</v>
      </c>
      <c r="DH75" s="412">
        <f t="shared" si="357"/>
        <v>0.99906715398153989</v>
      </c>
      <c r="DI75" s="412">
        <f t="shared" si="357"/>
        <v>0.99851038266166092</v>
      </c>
      <c r="DJ75" s="412">
        <f t="shared" si="357"/>
        <v>0.99842485169058126</v>
      </c>
      <c r="DK75" s="412">
        <f t="shared" si="357"/>
        <v>0.99941929939116769</v>
      </c>
      <c r="DL75" s="412">
        <f t="shared" ref="DL75:DU75" si="358">SUM(DL72/DL73)</f>
        <v>0.99856911058926623</v>
      </c>
      <c r="DM75" s="412">
        <f t="shared" si="358"/>
        <v>0.99832046525619167</v>
      </c>
      <c r="DN75" s="412">
        <f t="shared" si="358"/>
        <v>0.99835673737675534</v>
      </c>
      <c r="DO75" s="412">
        <f t="shared" si="358"/>
        <v>0.99833496024917079</v>
      </c>
      <c r="DP75" s="412">
        <f t="shared" si="358"/>
        <v>0.99843758839074304</v>
      </c>
      <c r="DQ75" s="412">
        <f t="shared" si="358"/>
        <v>0.99857662322962204</v>
      </c>
      <c r="DR75" s="412">
        <f t="shared" si="358"/>
        <v>0.99754930808938513</v>
      </c>
      <c r="DS75" s="412">
        <f t="shared" si="358"/>
        <v>0.99836760136146363</v>
      </c>
      <c r="DT75" s="412">
        <f t="shared" si="358"/>
        <v>0.99903362039968602</v>
      </c>
      <c r="DU75" s="412">
        <f t="shared" si="358"/>
        <v>0.99892132710980497</v>
      </c>
      <c r="DV75" s="415">
        <f t="shared" ref="DV75:FK75" si="359">SUM(DV72/DV73)</f>
        <v>0.99904095776737289</v>
      </c>
      <c r="DW75" s="415">
        <f t="shared" si="359"/>
        <v>0.99877377978896476</v>
      </c>
      <c r="DX75" s="415">
        <f t="shared" si="359"/>
        <v>0.99943228483267943</v>
      </c>
      <c r="DY75" s="415">
        <f t="shared" si="359"/>
        <v>0.99946547680935283</v>
      </c>
      <c r="DZ75" s="415">
        <f t="shared" si="359"/>
        <v>0.99942288023740455</v>
      </c>
      <c r="EA75" s="415">
        <f t="shared" si="359"/>
        <v>0.99937606538558987</v>
      </c>
      <c r="EB75" s="415">
        <f t="shared" si="359"/>
        <v>0.99942446878639768</v>
      </c>
      <c r="EC75" s="493">
        <f t="shared" si="359"/>
        <v>0.99969366952223004</v>
      </c>
      <c r="ED75" s="493">
        <f t="shared" si="359"/>
        <v>0.99951886739052986</v>
      </c>
      <c r="EE75" s="493">
        <f t="shared" si="359"/>
        <v>0.99973748299404197</v>
      </c>
      <c r="EF75" s="493">
        <f t="shared" si="359"/>
        <v>0.99964082643075414</v>
      </c>
      <c r="EG75" s="493">
        <f t="shared" si="359"/>
        <v>0.99974278782918768</v>
      </c>
      <c r="EH75" s="493">
        <f t="shared" si="359"/>
        <v>0.99974657205356665</v>
      </c>
      <c r="EI75" s="493">
        <f t="shared" si="359"/>
        <v>0.99976802126781017</v>
      </c>
      <c r="EJ75" s="493">
        <f t="shared" si="359"/>
        <v>0.99970556530643295</v>
      </c>
      <c r="EK75" s="493">
        <f t="shared" si="359"/>
        <v>0.99966190603036698</v>
      </c>
      <c r="EL75" s="493">
        <f t="shared" si="359"/>
        <v>0.99967818851816648</v>
      </c>
      <c r="EM75" s="493">
        <f t="shared" si="359"/>
        <v>0.99948629659232469</v>
      </c>
      <c r="EN75" s="493">
        <f t="shared" si="359"/>
        <v>0.99949983588364932</v>
      </c>
      <c r="EO75" s="493">
        <f t="shared" si="359"/>
        <v>0.99960383100156569</v>
      </c>
      <c r="EP75" s="493">
        <f t="shared" si="359"/>
        <v>0.99961651148164621</v>
      </c>
      <c r="EQ75" s="493">
        <f t="shared" si="359"/>
        <v>0.9996255491506294</v>
      </c>
      <c r="ER75" s="493">
        <f t="shared" si="359"/>
        <v>0.99970261412439343</v>
      </c>
      <c r="ES75" s="493">
        <f t="shared" si="359"/>
        <v>0.99976580611895471</v>
      </c>
      <c r="ET75" s="493">
        <f t="shared" si="359"/>
        <v>0.99978496515458071</v>
      </c>
      <c r="EU75" s="493">
        <f t="shared" si="359"/>
        <v>0.99976150405443109</v>
      </c>
      <c r="EV75" s="493">
        <f t="shared" si="359"/>
        <v>0.99971689799347652</v>
      </c>
      <c r="EW75" s="493">
        <f t="shared" si="359"/>
        <v>0.99964853470212145</v>
      </c>
      <c r="EX75" s="493">
        <f t="shared" si="359"/>
        <v>0.99984322775245038</v>
      </c>
      <c r="EY75" s="493">
        <f t="shared" si="359"/>
        <v>0.99983434207178901</v>
      </c>
      <c r="EZ75" s="493">
        <f t="shared" si="359"/>
        <v>0.99983523451130851</v>
      </c>
      <c r="FA75" s="493">
        <f t="shared" si="359"/>
        <v>0.99986502734084326</v>
      </c>
      <c r="FB75" s="493">
        <f t="shared" si="359"/>
        <v>0.99990543869966553</v>
      </c>
      <c r="FC75" s="493">
        <f t="shared" si="359"/>
        <v>0.99986069986426729</v>
      </c>
      <c r="FD75" s="493">
        <f t="shared" si="359"/>
        <v>0.99987724810714873</v>
      </c>
      <c r="FE75" s="493">
        <f t="shared" si="359"/>
        <v>0.99986661143912214</v>
      </c>
      <c r="FF75" s="493">
        <f t="shared" si="359"/>
        <v>0.99988904704088455</v>
      </c>
      <c r="FG75" s="493">
        <f t="shared" si="359"/>
        <v>0.9998597194731611</v>
      </c>
      <c r="FH75" s="493">
        <f t="shared" si="359"/>
        <v>0.99986102875778238</v>
      </c>
      <c r="FI75" s="493">
        <f t="shared" si="359"/>
        <v>0.99985521022845303</v>
      </c>
      <c r="FJ75" s="493">
        <f t="shared" si="359"/>
        <v>0.99986756251896092</v>
      </c>
      <c r="FK75" s="493">
        <f t="shared" si="359"/>
        <v>0.99986011464382085</v>
      </c>
      <c r="FL75" s="493">
        <f t="shared" ref="FL75:FQ75" si="360">SUM(FL72/FL73)</f>
        <v>0.99985237487985823</v>
      </c>
      <c r="FM75" s="493">
        <f t="shared" si="360"/>
        <v>0.9998869215329671</v>
      </c>
      <c r="FN75" s="493">
        <f t="shared" si="360"/>
        <v>0.99988847760449895</v>
      </c>
      <c r="FO75" s="493">
        <f t="shared" si="360"/>
        <v>0.99990485055331468</v>
      </c>
      <c r="FP75" s="493">
        <f t="shared" si="360"/>
        <v>0.99990073996753237</v>
      </c>
      <c r="FQ75" s="493">
        <f t="shared" si="360"/>
        <v>0.99989227167064754</v>
      </c>
      <c r="FR75" s="493">
        <f t="shared" ref="FR75:FT75" si="361">SUM(FR72/FR73)</f>
        <v>0.99987983833384486</v>
      </c>
      <c r="FS75" s="493">
        <f t="shared" si="361"/>
        <v>0.99985189025067578</v>
      </c>
      <c r="FT75" s="493">
        <f t="shared" si="361"/>
        <v>0.99979224753541274</v>
      </c>
    </row>
    <row r="76" spans="2:176" s="345" customFormat="1" hidden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341"/>
      <c r="P76" s="342"/>
      <c r="Q76" s="342"/>
      <c r="R76" s="342"/>
      <c r="S76" s="342"/>
      <c r="T76" s="342"/>
      <c r="Z76" s="344"/>
      <c r="AM76" s="455"/>
      <c r="AY76" s="455"/>
      <c r="BJ76" s="344"/>
      <c r="BV76" s="344"/>
      <c r="BW76" s="342"/>
      <c r="BX76" s="342"/>
      <c r="BY76" s="342"/>
      <c r="BZ76" s="342"/>
      <c r="CA76" s="342"/>
      <c r="CB76" s="342"/>
      <c r="CC76" s="342"/>
      <c r="CD76" s="342"/>
      <c r="CE76" s="342"/>
      <c r="CF76" s="342"/>
      <c r="CG76" s="342"/>
      <c r="CH76" s="344"/>
      <c r="CI76" s="34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364"/>
      <c r="DW76" s="364"/>
      <c r="DX76" s="364"/>
      <c r="DZ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</row>
    <row r="77" spans="2:176" s="345" customForma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341"/>
      <c r="P77" s="342"/>
      <c r="Q77" s="342"/>
      <c r="R77" s="342"/>
      <c r="S77" s="342"/>
      <c r="T77" s="342"/>
      <c r="Z77" s="344"/>
      <c r="AM77" s="455"/>
      <c r="AY77" s="455"/>
      <c r="BJ77" s="344"/>
      <c r="BV77" s="344"/>
      <c r="BW77" s="342"/>
      <c r="BX77" s="342"/>
      <c r="BY77" s="342"/>
      <c r="BZ77" s="342"/>
      <c r="CA77" s="342"/>
      <c r="CB77" s="342"/>
      <c r="CC77" s="342"/>
      <c r="CD77" s="342"/>
      <c r="CE77" s="342"/>
      <c r="CF77" s="342"/>
      <c r="CG77" s="342"/>
      <c r="CH77" s="344"/>
      <c r="CI77" s="34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364"/>
      <c r="DW77" s="364"/>
      <c r="DX77" s="364"/>
      <c r="DZ77" s="364"/>
      <c r="EE77" s="364"/>
      <c r="EF77" s="364"/>
      <c r="EG77" s="364"/>
      <c r="EH77" s="364"/>
      <c r="EI77" s="364"/>
      <c r="EJ77" s="364"/>
      <c r="EK77" s="364"/>
      <c r="EL77" s="364"/>
      <c r="EM77" s="364"/>
      <c r="EN77" s="364"/>
      <c r="EO77" s="364"/>
      <c r="EP77" s="364"/>
    </row>
    <row r="78" spans="2:176" s="387" customFormat="1" x14ac:dyDescent="0.25">
      <c r="B78" s="390" t="s">
        <v>1</v>
      </c>
      <c r="C78" s="385">
        <v>4732</v>
      </c>
      <c r="D78" s="347">
        <v>33798.153999999995</v>
      </c>
      <c r="E78" s="347">
        <v>3733.855</v>
      </c>
      <c r="F78" s="347">
        <v>22658.66</v>
      </c>
      <c r="G78" s="347">
        <v>18961.432000000001</v>
      </c>
      <c r="H78" s="347">
        <v>19367.348000000002</v>
      </c>
      <c r="I78" s="347">
        <v>19491.349999999999</v>
      </c>
      <c r="J78" s="347">
        <v>19009.624</v>
      </c>
      <c r="K78" s="347">
        <v>18724.338</v>
      </c>
      <c r="L78" s="347">
        <v>18568.286</v>
      </c>
      <c r="M78" s="347">
        <v>18131.687000000002</v>
      </c>
      <c r="N78" s="348">
        <v>15035.97</v>
      </c>
      <c r="O78" s="346">
        <v>15918</v>
      </c>
      <c r="P78" s="347">
        <v>13197</v>
      </c>
      <c r="Q78" s="347">
        <v>14227</v>
      </c>
      <c r="R78" s="347">
        <v>17590</v>
      </c>
      <c r="S78" s="347">
        <v>17390</v>
      </c>
      <c r="T78" s="347">
        <v>17125</v>
      </c>
      <c r="U78" s="346">
        <v>18532</v>
      </c>
      <c r="V78" s="387">
        <v>16737</v>
      </c>
      <c r="W78" s="387">
        <v>16337</v>
      </c>
      <c r="X78" s="346">
        <v>18516</v>
      </c>
      <c r="Y78" s="346">
        <v>12646</v>
      </c>
      <c r="Z78" s="452">
        <v>16187</v>
      </c>
      <c r="AA78" s="346">
        <v>11621</v>
      </c>
      <c r="AB78" s="346">
        <v>10359</v>
      </c>
      <c r="AC78" s="346">
        <v>12213</v>
      </c>
      <c r="AD78" s="346">
        <v>10313</v>
      </c>
      <c r="AE78" s="346">
        <v>9160</v>
      </c>
      <c r="AF78" s="346">
        <v>10763</v>
      </c>
      <c r="AG78" s="346">
        <f>9472</f>
        <v>9472</v>
      </c>
      <c r="AH78" s="346">
        <v>9759</v>
      </c>
      <c r="AI78" s="346">
        <v>8914</v>
      </c>
      <c r="AJ78" s="346">
        <v>8510</v>
      </c>
      <c r="AK78" s="346">
        <v>7906</v>
      </c>
      <c r="AL78" s="346">
        <v>7525</v>
      </c>
      <c r="AM78" s="386">
        <v>7910</v>
      </c>
      <c r="AN78" s="346">
        <v>7080</v>
      </c>
      <c r="AO78" s="346">
        <v>7748</v>
      </c>
      <c r="AP78" s="346">
        <v>7102</v>
      </c>
      <c r="AQ78" s="346">
        <v>7214</v>
      </c>
      <c r="AR78" s="346">
        <v>7588</v>
      </c>
      <c r="AS78" s="346">
        <v>6781</v>
      </c>
      <c r="AT78" s="346">
        <v>8087</v>
      </c>
      <c r="AU78" s="346">
        <v>7129</v>
      </c>
      <c r="AV78" s="346">
        <v>6980</v>
      </c>
      <c r="AW78" s="346">
        <v>6485</v>
      </c>
      <c r="AX78" s="346">
        <v>6363</v>
      </c>
      <c r="AY78" s="386">
        <v>6715</v>
      </c>
      <c r="AZ78" s="346">
        <v>6347</v>
      </c>
      <c r="BA78" s="346">
        <v>7293</v>
      </c>
      <c r="BB78" s="346">
        <v>6048</v>
      </c>
      <c r="BC78" s="346">
        <v>6851</v>
      </c>
      <c r="BD78" s="346">
        <v>6592</v>
      </c>
      <c r="BE78" s="346">
        <v>5889</v>
      </c>
      <c r="BF78" s="346">
        <v>6662</v>
      </c>
      <c r="BG78" s="346">
        <v>5758</v>
      </c>
      <c r="BH78" s="346">
        <v>6161</v>
      </c>
      <c r="BI78" s="346">
        <v>5589</v>
      </c>
      <c r="BJ78" s="452">
        <v>5082</v>
      </c>
      <c r="BK78" s="346">
        <v>5806</v>
      </c>
      <c r="BL78" s="346">
        <v>5263</v>
      </c>
      <c r="BM78" s="346">
        <v>5920</v>
      </c>
      <c r="BN78" s="346">
        <v>5155</v>
      </c>
      <c r="BO78" s="346">
        <v>5750</v>
      </c>
      <c r="BP78" s="346">
        <v>5277</v>
      </c>
      <c r="BQ78" s="346">
        <v>5215</v>
      </c>
      <c r="BR78" s="346">
        <v>5587</v>
      </c>
      <c r="BS78" s="346">
        <v>4695</v>
      </c>
      <c r="BT78" s="346">
        <v>5052</v>
      </c>
      <c r="BU78" s="346">
        <v>5018</v>
      </c>
      <c r="BV78" s="452">
        <v>4971</v>
      </c>
      <c r="BW78" s="347">
        <v>4878</v>
      </c>
      <c r="BX78" s="347">
        <v>4847</v>
      </c>
      <c r="BY78" s="347">
        <v>4809</v>
      </c>
      <c r="BZ78" s="347">
        <v>4761</v>
      </c>
      <c r="CA78" s="347">
        <v>4809</v>
      </c>
      <c r="CB78" s="347">
        <v>4586</v>
      </c>
      <c r="CC78" s="347">
        <v>4528</v>
      </c>
      <c r="CD78" s="347">
        <v>4489</v>
      </c>
      <c r="CE78" s="347">
        <v>4392</v>
      </c>
      <c r="CF78" s="347">
        <v>4346</v>
      </c>
      <c r="CG78" s="347">
        <v>4300</v>
      </c>
      <c r="CH78" s="348">
        <v>4269</v>
      </c>
      <c r="CI78" s="346">
        <v>4192</v>
      </c>
      <c r="CJ78" s="347">
        <v>4105</v>
      </c>
      <c r="CK78" s="347">
        <v>4074</v>
      </c>
      <c r="CL78" s="347">
        <v>4024</v>
      </c>
      <c r="CM78" s="347">
        <v>3965</v>
      </c>
      <c r="CN78" s="347">
        <v>3903</v>
      </c>
      <c r="CO78" s="347">
        <v>3827</v>
      </c>
      <c r="CP78" s="347">
        <v>3763</v>
      </c>
      <c r="CQ78" s="347">
        <v>3665</v>
      </c>
      <c r="CR78" s="347">
        <v>3583</v>
      </c>
      <c r="CS78" s="347">
        <v>3514</v>
      </c>
      <c r="CT78" s="348">
        <v>3467</v>
      </c>
      <c r="CU78" s="347">
        <v>3073</v>
      </c>
      <c r="CV78" s="347">
        <v>3374</v>
      </c>
      <c r="CW78" s="347">
        <v>3326</v>
      </c>
      <c r="CX78" s="347">
        <v>3407</v>
      </c>
      <c r="CY78" s="347">
        <v>3225</v>
      </c>
      <c r="CZ78" s="347">
        <v>3184</v>
      </c>
      <c r="DA78" s="347">
        <v>3184</v>
      </c>
      <c r="DB78" s="347">
        <v>2946</v>
      </c>
      <c r="DC78" s="347">
        <v>3008</v>
      </c>
      <c r="DD78" s="347">
        <v>2810</v>
      </c>
      <c r="DE78" s="347">
        <v>2805</v>
      </c>
      <c r="DF78" s="348">
        <v>2858</v>
      </c>
      <c r="DG78" s="387">
        <v>2548</v>
      </c>
      <c r="DH78" s="387">
        <v>2772</v>
      </c>
      <c r="DI78" s="387">
        <v>2744</v>
      </c>
      <c r="DJ78" s="387">
        <v>2599</v>
      </c>
      <c r="DK78" s="387">
        <v>2450</v>
      </c>
      <c r="DL78" s="387">
        <v>2661</v>
      </c>
      <c r="DM78" s="387">
        <v>2522</v>
      </c>
      <c r="DN78" s="387">
        <v>2597</v>
      </c>
      <c r="DO78" s="387">
        <v>2437</v>
      </c>
      <c r="DP78" s="387">
        <v>2418</v>
      </c>
      <c r="DQ78" s="387">
        <v>2517</v>
      </c>
      <c r="DR78" s="387">
        <v>2283</v>
      </c>
      <c r="DS78" s="387">
        <v>2195</v>
      </c>
      <c r="DT78" s="387">
        <v>2292</v>
      </c>
      <c r="DU78" s="387">
        <v>2375</v>
      </c>
      <c r="DV78" s="389">
        <v>2386</v>
      </c>
      <c r="DW78" s="389">
        <v>2336</v>
      </c>
      <c r="DX78" s="389">
        <v>2306</v>
      </c>
      <c r="DY78" s="387">
        <v>2288</v>
      </c>
      <c r="DZ78" s="388">
        <v>2265</v>
      </c>
      <c r="EA78" s="387">
        <v>2269</v>
      </c>
      <c r="EB78" s="387">
        <v>2241</v>
      </c>
      <c r="EC78" s="387">
        <v>2201</v>
      </c>
      <c r="ED78" s="387">
        <v>2295</v>
      </c>
      <c r="EE78" s="387">
        <v>2192</v>
      </c>
      <c r="EF78" s="387">
        <v>2165</v>
      </c>
      <c r="EG78" s="387">
        <v>2144</v>
      </c>
      <c r="EH78" s="388">
        <v>2118</v>
      </c>
      <c r="EI78" s="388">
        <v>2111</v>
      </c>
      <c r="EJ78" s="388">
        <v>2096</v>
      </c>
      <c r="EK78" s="388">
        <v>2076</v>
      </c>
      <c r="EL78" s="388">
        <v>2054</v>
      </c>
      <c r="EM78" s="388">
        <v>2033</v>
      </c>
      <c r="EN78" s="388">
        <v>2047</v>
      </c>
      <c r="EO78" s="388">
        <v>1988</v>
      </c>
      <c r="EP78" s="388">
        <v>1976</v>
      </c>
      <c r="EQ78" s="387">
        <v>1859</v>
      </c>
      <c r="ER78" s="387">
        <v>1827</v>
      </c>
      <c r="ES78" s="387">
        <v>1830</v>
      </c>
      <c r="ET78" s="387">
        <v>1898</v>
      </c>
      <c r="EU78" s="387">
        <v>1888</v>
      </c>
      <c r="EV78" s="387">
        <v>1877</v>
      </c>
      <c r="EW78" s="387">
        <v>1868</v>
      </c>
      <c r="EX78" s="387">
        <v>1854</v>
      </c>
      <c r="EY78" s="387">
        <v>1847</v>
      </c>
      <c r="EZ78" s="387">
        <v>1824</v>
      </c>
      <c r="FA78" s="387">
        <v>1832</v>
      </c>
      <c r="FB78" s="387">
        <v>1803</v>
      </c>
      <c r="FC78" s="387">
        <v>1796</v>
      </c>
      <c r="FD78" s="387">
        <v>1781</v>
      </c>
      <c r="FE78" s="387">
        <v>1766</v>
      </c>
      <c r="FF78" s="387">
        <v>1749</v>
      </c>
      <c r="FG78" s="387">
        <v>1736</v>
      </c>
      <c r="FH78" s="387">
        <v>1719</v>
      </c>
      <c r="FI78" s="387">
        <v>1687</v>
      </c>
      <c r="FJ78" s="387">
        <v>1665</v>
      </c>
      <c r="FK78" s="387">
        <v>1639</v>
      </c>
      <c r="FL78" s="387">
        <v>1623</v>
      </c>
      <c r="FM78" s="387">
        <v>1591</v>
      </c>
      <c r="FN78" s="387">
        <v>1566</v>
      </c>
      <c r="FO78" s="387">
        <v>1540</v>
      </c>
      <c r="FP78" s="387">
        <v>1525</v>
      </c>
      <c r="FQ78" s="387">
        <v>1510</v>
      </c>
      <c r="FR78" s="387">
        <v>1499</v>
      </c>
      <c r="FS78" s="387">
        <v>1490</v>
      </c>
      <c r="FT78" s="387">
        <v>1457</v>
      </c>
    </row>
    <row r="79" spans="2:176" s="387" customFormat="1" ht="13.8" thickBot="1" x14ac:dyDescent="0.3">
      <c r="B79" s="391" t="s">
        <v>8</v>
      </c>
      <c r="C79" s="392">
        <v>878.87699999999984</v>
      </c>
      <c r="D79" s="393">
        <v>8323.2900000000009</v>
      </c>
      <c r="E79" s="393">
        <v>197.52099999999999</v>
      </c>
      <c r="F79" s="393">
        <v>4454.9169999999995</v>
      </c>
      <c r="G79" s="393">
        <v>3823.2420000000002</v>
      </c>
      <c r="H79" s="393">
        <v>5650.7369999999992</v>
      </c>
      <c r="I79" s="393">
        <v>2970.5409999999997</v>
      </c>
      <c r="J79" s="393">
        <v>7355.6669999999995</v>
      </c>
      <c r="K79" s="393">
        <v>7224.4620000000004</v>
      </c>
      <c r="L79" s="393">
        <v>6403.2720000000008</v>
      </c>
      <c r="M79" s="393">
        <v>6435.95</v>
      </c>
      <c r="N79" s="394">
        <v>9296.9249999999975</v>
      </c>
      <c r="O79" s="439">
        <v>7332</v>
      </c>
      <c r="P79" s="393">
        <v>6301</v>
      </c>
      <c r="Q79" s="393">
        <v>7305</v>
      </c>
      <c r="R79" s="393">
        <f>26253-R78</f>
        <v>8663</v>
      </c>
      <c r="S79" s="393">
        <f>26275-S78</f>
        <v>8885</v>
      </c>
      <c r="T79" s="393">
        <f>26069-T78</f>
        <v>8944</v>
      </c>
      <c r="U79" s="387">
        <f t="shared" ref="U79:Z79" si="362">U80-U78</f>
        <v>10003</v>
      </c>
      <c r="V79" s="387">
        <f t="shared" si="362"/>
        <v>9273</v>
      </c>
      <c r="W79" s="387">
        <f t="shared" si="362"/>
        <v>9538</v>
      </c>
      <c r="X79" s="387">
        <f t="shared" si="362"/>
        <v>10725</v>
      </c>
      <c r="Y79" s="387">
        <f t="shared" si="362"/>
        <v>8654</v>
      </c>
      <c r="Z79" s="348">
        <f t="shared" si="362"/>
        <v>10269</v>
      </c>
      <c r="AA79" s="387">
        <v>8821</v>
      </c>
      <c r="AB79" s="387">
        <v>7898</v>
      </c>
      <c r="AC79" s="387">
        <v>12139</v>
      </c>
      <c r="AD79" s="387">
        <v>9829</v>
      </c>
      <c r="AE79" s="387">
        <v>9113</v>
      </c>
      <c r="AF79" s="387">
        <v>11098</v>
      </c>
      <c r="AG79" s="387">
        <v>10500</v>
      </c>
      <c r="AH79" s="387">
        <v>11171</v>
      </c>
      <c r="AI79" s="387">
        <v>11762</v>
      </c>
      <c r="AJ79" s="387">
        <v>11167</v>
      </c>
      <c r="AK79" s="387">
        <v>10702</v>
      </c>
      <c r="AL79" s="387">
        <v>10265</v>
      </c>
      <c r="AM79" s="456">
        <v>11651</v>
      </c>
      <c r="AN79" s="387">
        <v>9746</v>
      </c>
      <c r="AO79" s="387">
        <v>13332</v>
      </c>
      <c r="AP79" s="387">
        <v>10655</v>
      </c>
      <c r="AQ79" s="387">
        <v>11394</v>
      </c>
      <c r="AR79" s="387">
        <v>13137</v>
      </c>
      <c r="AS79" s="387">
        <v>10890</v>
      </c>
      <c r="AT79" s="387">
        <v>14099</v>
      </c>
      <c r="AU79" s="387">
        <v>12387</v>
      </c>
      <c r="AV79" s="387">
        <v>12459</v>
      </c>
      <c r="AW79" s="387">
        <v>11840</v>
      </c>
      <c r="AX79" s="387">
        <v>11261</v>
      </c>
      <c r="AY79" s="456">
        <v>12472</v>
      </c>
      <c r="AZ79" s="387">
        <v>10765</v>
      </c>
      <c r="BA79" s="387">
        <v>15893</v>
      </c>
      <c r="BB79" s="387">
        <v>11394</v>
      </c>
      <c r="BC79" s="387">
        <v>14231</v>
      </c>
      <c r="BD79" s="387">
        <v>13610</v>
      </c>
      <c r="BE79" s="387">
        <v>12246</v>
      </c>
      <c r="BF79" s="387">
        <v>14380</v>
      </c>
      <c r="BG79" s="387">
        <v>12408</v>
      </c>
      <c r="BH79" s="387">
        <v>13849</v>
      </c>
      <c r="BI79" s="387">
        <v>12576</v>
      </c>
      <c r="BJ79" s="348">
        <v>11208</v>
      </c>
      <c r="BK79" s="387">
        <v>14333</v>
      </c>
      <c r="BL79" s="387">
        <v>12055</v>
      </c>
      <c r="BM79" s="387">
        <v>14926</v>
      </c>
      <c r="BN79" s="387">
        <v>12208</v>
      </c>
      <c r="BO79" s="387">
        <v>15105</v>
      </c>
      <c r="BP79" s="387">
        <v>13817</v>
      </c>
      <c r="BQ79" s="387">
        <v>13911</v>
      </c>
      <c r="BR79" s="387">
        <v>15418</v>
      </c>
      <c r="BS79" s="387">
        <v>12409</v>
      </c>
      <c r="BT79" s="387">
        <v>13968</v>
      </c>
      <c r="BU79" s="387">
        <v>13991</v>
      </c>
      <c r="BV79" s="348">
        <v>14079</v>
      </c>
      <c r="BW79" s="347">
        <v>14165</v>
      </c>
      <c r="BX79" s="347">
        <v>14192</v>
      </c>
      <c r="BY79" s="347">
        <v>14198</v>
      </c>
      <c r="BZ79" s="347">
        <v>14302</v>
      </c>
      <c r="CA79" s="347">
        <v>14291</v>
      </c>
      <c r="CB79" s="347">
        <v>14343</v>
      </c>
      <c r="CC79" s="347">
        <v>14388</v>
      </c>
      <c r="CD79" s="347">
        <v>14400</v>
      </c>
      <c r="CE79" s="347">
        <v>14419</v>
      </c>
      <c r="CF79" s="347">
        <v>14485.1</v>
      </c>
      <c r="CG79" s="347">
        <v>14472.99</v>
      </c>
      <c r="CH79" s="348">
        <v>14501.57</v>
      </c>
      <c r="CI79" s="439">
        <v>14550</v>
      </c>
      <c r="CJ79" s="393">
        <v>14598</v>
      </c>
      <c r="CK79" s="393">
        <v>14591</v>
      </c>
      <c r="CL79" s="393">
        <v>14635</v>
      </c>
      <c r="CM79" s="393">
        <v>14671</v>
      </c>
      <c r="CN79" s="393">
        <v>14719</v>
      </c>
      <c r="CO79" s="393">
        <v>14763</v>
      </c>
      <c r="CP79" s="393">
        <v>14828</v>
      </c>
      <c r="CQ79" s="393">
        <v>14977</v>
      </c>
      <c r="CR79" s="393">
        <v>14978</v>
      </c>
      <c r="CS79" s="393">
        <v>15003</v>
      </c>
      <c r="CT79" s="394">
        <v>15054</v>
      </c>
      <c r="CU79" s="393">
        <v>11833</v>
      </c>
      <c r="CV79" s="393">
        <v>15123</v>
      </c>
      <c r="CW79" s="393">
        <v>15185</v>
      </c>
      <c r="CX79" s="393">
        <v>15432</v>
      </c>
      <c r="CY79" s="393">
        <v>15243</v>
      </c>
      <c r="CZ79" s="393">
        <v>15314</v>
      </c>
      <c r="DA79" s="393">
        <v>15142</v>
      </c>
      <c r="DB79" s="393">
        <v>14925</v>
      </c>
      <c r="DC79" s="393">
        <v>15432</v>
      </c>
      <c r="DD79" s="393">
        <v>14619</v>
      </c>
      <c r="DE79" s="393">
        <v>15004</v>
      </c>
      <c r="DF79" s="394">
        <v>17193</v>
      </c>
      <c r="DG79" s="387">
        <v>13120</v>
      </c>
      <c r="DH79" s="387">
        <v>15657</v>
      </c>
      <c r="DI79" s="387">
        <v>15360</v>
      </c>
      <c r="DJ79" s="387">
        <v>13710</v>
      </c>
      <c r="DK79" s="387">
        <v>13230</v>
      </c>
      <c r="DL79" s="387">
        <v>15145</v>
      </c>
      <c r="DM79" s="387">
        <v>13746</v>
      </c>
      <c r="DN79" s="387">
        <v>15249</v>
      </c>
      <c r="DO79" s="387">
        <v>14864</v>
      </c>
      <c r="DP79" s="387">
        <v>14688</v>
      </c>
      <c r="DQ79" s="387">
        <v>15403</v>
      </c>
      <c r="DR79" s="387">
        <v>13417</v>
      </c>
      <c r="DS79" s="387">
        <v>13849</v>
      </c>
      <c r="DT79" s="387">
        <v>14449</v>
      </c>
      <c r="DU79" s="387">
        <v>15526</v>
      </c>
      <c r="DV79" s="389">
        <v>15904</v>
      </c>
      <c r="DW79" s="389">
        <v>15952</v>
      </c>
      <c r="DX79" s="389">
        <v>14913</v>
      </c>
      <c r="DY79" s="387">
        <v>15718</v>
      </c>
      <c r="DZ79" s="388">
        <v>16062</v>
      </c>
      <c r="EA79" s="387">
        <v>16052</v>
      </c>
      <c r="EB79" s="387">
        <v>16085</v>
      </c>
      <c r="EC79" s="387">
        <v>16142</v>
      </c>
      <c r="ED79" s="387">
        <v>16093</v>
      </c>
      <c r="EE79" s="387">
        <v>16163</v>
      </c>
      <c r="EF79" s="387">
        <v>16156</v>
      </c>
      <c r="EG79" s="387">
        <v>16195</v>
      </c>
      <c r="EH79" s="388">
        <v>16201</v>
      </c>
      <c r="EI79" s="388">
        <v>16226</v>
      </c>
      <c r="EJ79" s="388">
        <v>16222</v>
      </c>
      <c r="EK79" s="388">
        <v>16241</v>
      </c>
      <c r="EL79" s="388">
        <v>16265</v>
      </c>
      <c r="EM79" s="388">
        <v>16306</v>
      </c>
      <c r="EN79" s="416">
        <v>16345</v>
      </c>
      <c r="EO79" s="416">
        <v>16310</v>
      </c>
      <c r="EP79" s="416">
        <v>16000</v>
      </c>
      <c r="EQ79" s="387">
        <v>14948</v>
      </c>
      <c r="ER79" s="387">
        <v>15252</v>
      </c>
      <c r="ES79" s="387">
        <v>14970</v>
      </c>
      <c r="ET79" s="387">
        <v>16438</v>
      </c>
      <c r="EU79" s="387">
        <v>16499</v>
      </c>
      <c r="EV79" s="387">
        <v>16451</v>
      </c>
      <c r="EW79" s="387">
        <v>16499</v>
      </c>
      <c r="EX79" s="387">
        <v>16646</v>
      </c>
      <c r="EY79" s="387">
        <v>16523</v>
      </c>
      <c r="EZ79" s="387">
        <v>16541</v>
      </c>
      <c r="FA79" s="387">
        <v>16567</v>
      </c>
      <c r="FB79" s="387">
        <v>16554</v>
      </c>
      <c r="FC79" s="387">
        <v>16599</v>
      </c>
      <c r="FD79" s="387">
        <v>16598</v>
      </c>
      <c r="FE79" s="387">
        <v>16608</v>
      </c>
      <c r="FF79" s="393">
        <v>16618</v>
      </c>
      <c r="FG79" s="393">
        <v>16649</v>
      </c>
      <c r="FH79" s="393">
        <v>16685</v>
      </c>
      <c r="FI79" s="387">
        <v>16720</v>
      </c>
      <c r="FJ79" s="387">
        <v>16742</v>
      </c>
      <c r="FK79" s="387">
        <v>16784</v>
      </c>
      <c r="FL79" s="387">
        <v>16705</v>
      </c>
      <c r="FM79" s="387">
        <v>16775</v>
      </c>
      <c r="FN79" s="387">
        <v>16788</v>
      </c>
      <c r="FO79" s="387">
        <v>16804</v>
      </c>
      <c r="FP79" s="387">
        <v>16877</v>
      </c>
      <c r="FQ79" s="387">
        <v>16881</v>
      </c>
      <c r="FR79" s="387">
        <v>16913</v>
      </c>
      <c r="FS79" s="387">
        <v>16922</v>
      </c>
      <c r="FT79" s="387">
        <v>16917</v>
      </c>
    </row>
    <row r="80" spans="2:176" s="387" customFormat="1" ht="13.8" thickTop="1" x14ac:dyDescent="0.25">
      <c r="B80" s="390" t="s">
        <v>9</v>
      </c>
      <c r="C80" s="397">
        <f t="shared" ref="C80:Q80" si="363">SUM(C78:C79)</f>
        <v>5610.8769999999995</v>
      </c>
      <c r="D80" s="398">
        <f t="shared" si="363"/>
        <v>42121.443999999996</v>
      </c>
      <c r="E80" s="398">
        <f t="shared" si="363"/>
        <v>3931.3760000000002</v>
      </c>
      <c r="F80" s="398">
        <f t="shared" si="363"/>
        <v>27113.576999999997</v>
      </c>
      <c r="G80" s="398">
        <f t="shared" si="363"/>
        <v>22784.673999999999</v>
      </c>
      <c r="H80" s="398">
        <f t="shared" si="363"/>
        <v>25018.084999999999</v>
      </c>
      <c r="I80" s="398">
        <f t="shared" si="363"/>
        <v>22461.891</v>
      </c>
      <c r="J80" s="398">
        <f t="shared" si="363"/>
        <v>26365.290999999997</v>
      </c>
      <c r="K80" s="398">
        <f t="shared" si="363"/>
        <v>25948.799999999999</v>
      </c>
      <c r="L80" s="398">
        <f t="shared" si="363"/>
        <v>24971.558000000001</v>
      </c>
      <c r="M80" s="398">
        <f t="shared" si="363"/>
        <v>24567.637000000002</v>
      </c>
      <c r="N80" s="399">
        <f t="shared" si="363"/>
        <v>24332.894999999997</v>
      </c>
      <c r="O80" s="441">
        <f t="shared" si="363"/>
        <v>23250</v>
      </c>
      <c r="P80" s="398">
        <f t="shared" si="363"/>
        <v>19498</v>
      </c>
      <c r="Q80" s="398">
        <f t="shared" si="363"/>
        <v>21532</v>
      </c>
      <c r="R80" s="398">
        <f>SUM(R78:R79)</f>
        <v>26253</v>
      </c>
      <c r="S80" s="398">
        <f>SUM(S78:S79)</f>
        <v>26275</v>
      </c>
      <c r="T80" s="398">
        <f>SUM(T78:T79)</f>
        <v>26069</v>
      </c>
      <c r="U80" s="400">
        <v>28535</v>
      </c>
      <c r="V80" s="400">
        <v>26010</v>
      </c>
      <c r="W80" s="400">
        <v>25875</v>
      </c>
      <c r="X80" s="400">
        <v>29241</v>
      </c>
      <c r="Y80" s="400">
        <v>21300</v>
      </c>
      <c r="Z80" s="399">
        <v>26456</v>
      </c>
      <c r="AA80" s="400">
        <f t="shared" ref="AA80:AF80" si="364">SUM(AA78:AA79)</f>
        <v>20442</v>
      </c>
      <c r="AB80" s="400">
        <f t="shared" si="364"/>
        <v>18257</v>
      </c>
      <c r="AC80" s="400">
        <f t="shared" si="364"/>
        <v>24352</v>
      </c>
      <c r="AD80" s="400">
        <f t="shared" si="364"/>
        <v>20142</v>
      </c>
      <c r="AE80" s="400">
        <f t="shared" si="364"/>
        <v>18273</v>
      </c>
      <c r="AF80" s="400">
        <f t="shared" si="364"/>
        <v>21861</v>
      </c>
      <c r="AG80" s="400">
        <f t="shared" ref="AG80:AL80" si="365">SUM(AG78:AG79)</f>
        <v>19972</v>
      </c>
      <c r="AH80" s="400">
        <f t="shared" si="365"/>
        <v>20930</v>
      </c>
      <c r="AI80" s="400">
        <f t="shared" si="365"/>
        <v>20676</v>
      </c>
      <c r="AJ80" s="400">
        <f t="shared" si="365"/>
        <v>19677</v>
      </c>
      <c r="AK80" s="400">
        <f t="shared" si="365"/>
        <v>18608</v>
      </c>
      <c r="AL80" s="400">
        <f t="shared" si="365"/>
        <v>17790</v>
      </c>
      <c r="AM80" s="458">
        <f t="shared" ref="AM80:AR80" si="366">SUM(AM78:AM79)</f>
        <v>19561</v>
      </c>
      <c r="AN80" s="400">
        <f t="shared" si="366"/>
        <v>16826</v>
      </c>
      <c r="AO80" s="400">
        <f t="shared" si="366"/>
        <v>21080</v>
      </c>
      <c r="AP80" s="400">
        <f t="shared" si="366"/>
        <v>17757</v>
      </c>
      <c r="AQ80" s="400">
        <f t="shared" si="366"/>
        <v>18608</v>
      </c>
      <c r="AR80" s="400">
        <f t="shared" si="366"/>
        <v>20725</v>
      </c>
      <c r="AS80" s="400">
        <f t="shared" ref="AS80:AX80" si="367">SUM(AS78:AS79)</f>
        <v>17671</v>
      </c>
      <c r="AT80" s="400">
        <f t="shared" si="367"/>
        <v>22186</v>
      </c>
      <c r="AU80" s="400">
        <f t="shared" si="367"/>
        <v>19516</v>
      </c>
      <c r="AV80" s="400">
        <f t="shared" si="367"/>
        <v>19439</v>
      </c>
      <c r="AW80" s="400">
        <f t="shared" si="367"/>
        <v>18325</v>
      </c>
      <c r="AX80" s="400">
        <f t="shared" si="367"/>
        <v>17624</v>
      </c>
      <c r="AY80" s="458">
        <f t="shared" ref="AY80:BJ80" si="368">SUM(AY78:AY79)</f>
        <v>19187</v>
      </c>
      <c r="AZ80" s="400">
        <f t="shared" si="368"/>
        <v>17112</v>
      </c>
      <c r="BA80" s="400">
        <f t="shared" si="368"/>
        <v>23186</v>
      </c>
      <c r="BB80" s="400">
        <f t="shared" si="368"/>
        <v>17442</v>
      </c>
      <c r="BC80" s="400">
        <f t="shared" si="368"/>
        <v>21082</v>
      </c>
      <c r="BD80" s="400">
        <f t="shared" si="368"/>
        <v>20202</v>
      </c>
      <c r="BE80" s="400">
        <f t="shared" si="368"/>
        <v>18135</v>
      </c>
      <c r="BF80" s="400">
        <f t="shared" si="368"/>
        <v>21042</v>
      </c>
      <c r="BG80" s="400">
        <f t="shared" si="368"/>
        <v>18166</v>
      </c>
      <c r="BH80" s="400">
        <f t="shared" si="368"/>
        <v>20010</v>
      </c>
      <c r="BI80" s="400">
        <f t="shared" si="368"/>
        <v>18165</v>
      </c>
      <c r="BJ80" s="399">
        <f t="shared" si="368"/>
        <v>16290</v>
      </c>
      <c r="BK80" s="400">
        <f t="shared" ref="BK80:BV80" si="369">SUM(BK78:BK79)</f>
        <v>20139</v>
      </c>
      <c r="BL80" s="400">
        <f t="shared" si="369"/>
        <v>17318</v>
      </c>
      <c r="BM80" s="400">
        <f t="shared" si="369"/>
        <v>20846</v>
      </c>
      <c r="BN80" s="400">
        <f t="shared" si="369"/>
        <v>17363</v>
      </c>
      <c r="BO80" s="400">
        <f t="shared" si="369"/>
        <v>20855</v>
      </c>
      <c r="BP80" s="400">
        <f t="shared" si="369"/>
        <v>19094</v>
      </c>
      <c r="BQ80" s="400">
        <f t="shared" si="369"/>
        <v>19126</v>
      </c>
      <c r="BR80" s="400">
        <f t="shared" si="369"/>
        <v>21005</v>
      </c>
      <c r="BS80" s="400">
        <f t="shared" si="369"/>
        <v>17104</v>
      </c>
      <c r="BT80" s="400">
        <f t="shared" si="369"/>
        <v>19020</v>
      </c>
      <c r="BU80" s="400">
        <f t="shared" si="369"/>
        <v>19009</v>
      </c>
      <c r="BV80" s="399">
        <f t="shared" si="369"/>
        <v>19050</v>
      </c>
      <c r="BW80" s="400">
        <f t="shared" ref="BW80:CB80" si="370">SUM(BW78:BW79)</f>
        <v>19043</v>
      </c>
      <c r="BX80" s="400">
        <f t="shared" si="370"/>
        <v>19039</v>
      </c>
      <c r="BY80" s="400">
        <f t="shared" si="370"/>
        <v>19007</v>
      </c>
      <c r="BZ80" s="400">
        <f t="shared" si="370"/>
        <v>19063</v>
      </c>
      <c r="CA80" s="400">
        <f t="shared" si="370"/>
        <v>19100</v>
      </c>
      <c r="CB80" s="400">
        <f t="shared" si="370"/>
        <v>18929</v>
      </c>
      <c r="CC80" s="400">
        <f t="shared" ref="CC80:DK80" si="371">SUM(CC78:CC79)</f>
        <v>18916</v>
      </c>
      <c r="CD80" s="400">
        <f t="shared" si="371"/>
        <v>18889</v>
      </c>
      <c r="CE80" s="400">
        <f t="shared" si="371"/>
        <v>18811</v>
      </c>
      <c r="CF80" s="400">
        <f t="shared" si="371"/>
        <v>18831.099999999999</v>
      </c>
      <c r="CG80" s="400">
        <f t="shared" si="371"/>
        <v>18772.989999999998</v>
      </c>
      <c r="CH80" s="399">
        <f t="shared" si="371"/>
        <v>18770.57</v>
      </c>
      <c r="CI80" s="441">
        <f t="shared" si="371"/>
        <v>18742</v>
      </c>
      <c r="CJ80" s="398">
        <f t="shared" si="371"/>
        <v>18703</v>
      </c>
      <c r="CK80" s="398">
        <f t="shared" si="371"/>
        <v>18665</v>
      </c>
      <c r="CL80" s="398">
        <f t="shared" si="371"/>
        <v>18659</v>
      </c>
      <c r="CM80" s="398">
        <f t="shared" si="371"/>
        <v>18636</v>
      </c>
      <c r="CN80" s="398">
        <f t="shared" si="371"/>
        <v>18622</v>
      </c>
      <c r="CO80" s="398">
        <f t="shared" si="371"/>
        <v>18590</v>
      </c>
      <c r="CP80" s="398">
        <f t="shared" si="371"/>
        <v>18591</v>
      </c>
      <c r="CQ80" s="398">
        <f t="shared" si="371"/>
        <v>18642</v>
      </c>
      <c r="CR80" s="398">
        <f t="shared" si="371"/>
        <v>18561</v>
      </c>
      <c r="CS80" s="398">
        <f t="shared" si="371"/>
        <v>18517</v>
      </c>
      <c r="CT80" s="399">
        <f t="shared" si="371"/>
        <v>18521</v>
      </c>
      <c r="CU80" s="400">
        <f t="shared" si="371"/>
        <v>14906</v>
      </c>
      <c r="CV80" s="400">
        <f t="shared" si="371"/>
        <v>18497</v>
      </c>
      <c r="CW80" s="400">
        <f t="shared" si="371"/>
        <v>18511</v>
      </c>
      <c r="CX80" s="400">
        <f t="shared" si="371"/>
        <v>18839</v>
      </c>
      <c r="CY80" s="400">
        <f t="shared" si="371"/>
        <v>18468</v>
      </c>
      <c r="CZ80" s="400">
        <f t="shared" si="371"/>
        <v>18498</v>
      </c>
      <c r="DA80" s="400">
        <f t="shared" si="371"/>
        <v>18326</v>
      </c>
      <c r="DB80" s="400">
        <f t="shared" si="371"/>
        <v>17871</v>
      </c>
      <c r="DC80" s="400">
        <f t="shared" si="371"/>
        <v>18440</v>
      </c>
      <c r="DD80" s="400">
        <f t="shared" si="371"/>
        <v>17429</v>
      </c>
      <c r="DE80" s="400">
        <f t="shared" si="371"/>
        <v>17809</v>
      </c>
      <c r="DF80" s="399">
        <f t="shared" si="371"/>
        <v>20051</v>
      </c>
      <c r="DG80" s="400">
        <f t="shared" si="371"/>
        <v>15668</v>
      </c>
      <c r="DH80" s="400">
        <f t="shared" si="371"/>
        <v>18429</v>
      </c>
      <c r="DI80" s="400">
        <f t="shared" si="371"/>
        <v>18104</v>
      </c>
      <c r="DJ80" s="400">
        <f t="shared" si="371"/>
        <v>16309</v>
      </c>
      <c r="DK80" s="400">
        <f t="shared" si="371"/>
        <v>15680</v>
      </c>
      <c r="DL80" s="400">
        <f t="shared" ref="DL80:DU80" si="372">SUM(DL78:DL79)</f>
        <v>17806</v>
      </c>
      <c r="DM80" s="400">
        <f t="shared" si="372"/>
        <v>16268</v>
      </c>
      <c r="DN80" s="400">
        <f t="shared" si="372"/>
        <v>17846</v>
      </c>
      <c r="DO80" s="400">
        <f t="shared" si="372"/>
        <v>17301</v>
      </c>
      <c r="DP80" s="400">
        <f t="shared" si="372"/>
        <v>17106</v>
      </c>
      <c r="DQ80" s="400">
        <f t="shared" si="372"/>
        <v>17920</v>
      </c>
      <c r="DR80" s="400">
        <f t="shared" si="372"/>
        <v>15700</v>
      </c>
      <c r="DS80" s="400">
        <f t="shared" si="372"/>
        <v>16044</v>
      </c>
      <c r="DT80" s="400">
        <f t="shared" si="372"/>
        <v>16741</v>
      </c>
      <c r="DU80" s="400">
        <f t="shared" si="372"/>
        <v>17901</v>
      </c>
      <c r="DV80" s="402">
        <f t="shared" ref="DV80:FK80" si="373">SUM(DV78:DV79)</f>
        <v>18290</v>
      </c>
      <c r="DW80" s="402">
        <f t="shared" si="373"/>
        <v>18288</v>
      </c>
      <c r="DX80" s="402">
        <f t="shared" si="373"/>
        <v>17219</v>
      </c>
      <c r="DY80" s="402">
        <f t="shared" si="373"/>
        <v>18006</v>
      </c>
      <c r="DZ80" s="402">
        <f t="shared" si="373"/>
        <v>18327</v>
      </c>
      <c r="EA80" s="402">
        <f t="shared" si="373"/>
        <v>18321</v>
      </c>
      <c r="EB80" s="402">
        <f t="shared" si="373"/>
        <v>18326</v>
      </c>
      <c r="EC80" s="489">
        <f t="shared" si="373"/>
        <v>18343</v>
      </c>
      <c r="ED80" s="489">
        <f t="shared" si="373"/>
        <v>18388</v>
      </c>
      <c r="EE80" s="489">
        <f t="shared" si="373"/>
        <v>18355</v>
      </c>
      <c r="EF80" s="489">
        <f t="shared" si="373"/>
        <v>18321</v>
      </c>
      <c r="EG80" s="489">
        <f t="shared" si="373"/>
        <v>18339</v>
      </c>
      <c r="EH80" s="489">
        <f t="shared" si="373"/>
        <v>18319</v>
      </c>
      <c r="EI80" s="489">
        <f t="shared" si="373"/>
        <v>18337</v>
      </c>
      <c r="EJ80" s="489">
        <f t="shared" si="373"/>
        <v>18318</v>
      </c>
      <c r="EK80" s="489">
        <f t="shared" si="373"/>
        <v>18317</v>
      </c>
      <c r="EL80" s="489">
        <f t="shared" si="373"/>
        <v>18319</v>
      </c>
      <c r="EM80" s="489">
        <f t="shared" si="373"/>
        <v>18339</v>
      </c>
      <c r="EN80" s="489">
        <f t="shared" si="373"/>
        <v>18392</v>
      </c>
      <c r="EO80" s="489">
        <f t="shared" si="373"/>
        <v>18298</v>
      </c>
      <c r="EP80" s="489">
        <f t="shared" si="373"/>
        <v>17976</v>
      </c>
      <c r="EQ80" s="489">
        <f t="shared" si="373"/>
        <v>16807</v>
      </c>
      <c r="ER80" s="489">
        <f t="shared" si="373"/>
        <v>17079</v>
      </c>
      <c r="ES80" s="489">
        <f t="shared" si="373"/>
        <v>16800</v>
      </c>
      <c r="ET80" s="489">
        <f t="shared" si="373"/>
        <v>18336</v>
      </c>
      <c r="EU80" s="489">
        <f t="shared" si="373"/>
        <v>18387</v>
      </c>
      <c r="EV80" s="489">
        <f t="shared" si="373"/>
        <v>18328</v>
      </c>
      <c r="EW80" s="489">
        <f t="shared" si="373"/>
        <v>18367</v>
      </c>
      <c r="EX80" s="489">
        <f t="shared" si="373"/>
        <v>18500</v>
      </c>
      <c r="EY80" s="489">
        <f t="shared" si="373"/>
        <v>18370</v>
      </c>
      <c r="EZ80" s="489">
        <f t="shared" si="373"/>
        <v>18365</v>
      </c>
      <c r="FA80" s="489">
        <f t="shared" si="373"/>
        <v>18399</v>
      </c>
      <c r="FB80" s="489">
        <f t="shared" si="373"/>
        <v>18357</v>
      </c>
      <c r="FC80" s="489">
        <f t="shared" si="373"/>
        <v>18395</v>
      </c>
      <c r="FD80" s="489">
        <f t="shared" si="373"/>
        <v>18379</v>
      </c>
      <c r="FE80" s="489">
        <f t="shared" si="373"/>
        <v>18374</v>
      </c>
      <c r="FF80" s="489">
        <f t="shared" si="373"/>
        <v>18367</v>
      </c>
      <c r="FG80" s="489">
        <f t="shared" si="373"/>
        <v>18385</v>
      </c>
      <c r="FH80" s="489">
        <f t="shared" si="373"/>
        <v>18404</v>
      </c>
      <c r="FI80" s="489">
        <f t="shared" si="373"/>
        <v>18407</v>
      </c>
      <c r="FJ80" s="489">
        <f t="shared" si="373"/>
        <v>18407</v>
      </c>
      <c r="FK80" s="489">
        <f t="shared" si="373"/>
        <v>18423</v>
      </c>
      <c r="FL80" s="489">
        <f t="shared" ref="FL80:FQ80" si="374">SUM(FL78:FL79)</f>
        <v>18328</v>
      </c>
      <c r="FM80" s="489">
        <f t="shared" si="374"/>
        <v>18366</v>
      </c>
      <c r="FN80" s="489">
        <f t="shared" si="374"/>
        <v>18354</v>
      </c>
      <c r="FO80" s="489">
        <f t="shared" si="374"/>
        <v>18344</v>
      </c>
      <c r="FP80" s="489">
        <f t="shared" si="374"/>
        <v>18402</v>
      </c>
      <c r="FQ80" s="489">
        <f t="shared" si="374"/>
        <v>18391</v>
      </c>
      <c r="FR80" s="489">
        <f t="shared" ref="FR80:FT80" si="375">SUM(FR78:FR79)</f>
        <v>18412</v>
      </c>
      <c r="FS80" s="489">
        <f t="shared" si="375"/>
        <v>18412</v>
      </c>
      <c r="FT80" s="489">
        <f t="shared" si="375"/>
        <v>18374</v>
      </c>
    </row>
    <row r="81" spans="2:176" s="345" customFormat="1" x14ac:dyDescent="0.25">
      <c r="B81" s="443" t="s">
        <v>10</v>
      </c>
      <c r="C81" s="444">
        <f t="shared" ref="C81:Q81" si="376">SUM(C78)/C80</f>
        <v>0.84336192007060584</v>
      </c>
      <c r="D81" s="445">
        <f t="shared" si="376"/>
        <v>0.80239780003743455</v>
      </c>
      <c r="E81" s="445">
        <f t="shared" si="376"/>
        <v>0.94975779472632482</v>
      </c>
      <c r="F81" s="445">
        <f t="shared" si="376"/>
        <v>0.835694235400958</v>
      </c>
      <c r="G81" s="445">
        <f t="shared" si="376"/>
        <v>0.83220115416178442</v>
      </c>
      <c r="H81" s="445">
        <f t="shared" si="376"/>
        <v>0.7741339115284005</v>
      </c>
      <c r="I81" s="445">
        <f t="shared" si="376"/>
        <v>0.86775196264642185</v>
      </c>
      <c r="J81" s="445">
        <f t="shared" si="376"/>
        <v>0.72100945140336214</v>
      </c>
      <c r="K81" s="445">
        <f t="shared" si="376"/>
        <v>0.72158781908990011</v>
      </c>
      <c r="L81" s="445">
        <f t="shared" si="376"/>
        <v>0.74357739312861448</v>
      </c>
      <c r="M81" s="445">
        <f t="shared" si="376"/>
        <v>0.73803137843497113</v>
      </c>
      <c r="N81" s="447">
        <f t="shared" si="376"/>
        <v>0.61792770650594597</v>
      </c>
      <c r="O81" s="446">
        <f t="shared" si="376"/>
        <v>0.6846451612903226</v>
      </c>
      <c r="P81" s="445">
        <f t="shared" si="376"/>
        <v>0.67683865011796085</v>
      </c>
      <c r="Q81" s="445">
        <f t="shared" si="376"/>
        <v>0.66073750696637568</v>
      </c>
      <c r="R81" s="445">
        <f t="shared" ref="R81:W81" si="377">SUM(R78)/R80</f>
        <v>0.67001866453357717</v>
      </c>
      <c r="S81" s="445">
        <f t="shared" si="377"/>
        <v>0.66184586108468124</v>
      </c>
      <c r="T81" s="445">
        <f t="shared" si="377"/>
        <v>0.65691050673213391</v>
      </c>
      <c r="U81" s="445">
        <f t="shared" si="377"/>
        <v>0.64944804625898023</v>
      </c>
      <c r="V81" s="445">
        <f t="shared" si="377"/>
        <v>0.64348327566320651</v>
      </c>
      <c r="W81" s="445">
        <f t="shared" si="377"/>
        <v>0.63138164251207729</v>
      </c>
      <c r="X81" s="445">
        <f t="shared" ref="X81:AC81" si="378">SUM(X78)/X80</f>
        <v>0.63322047809582438</v>
      </c>
      <c r="Y81" s="445">
        <f t="shared" si="378"/>
        <v>0.59370892018779342</v>
      </c>
      <c r="Z81" s="447">
        <f t="shared" si="378"/>
        <v>0.61184608406410645</v>
      </c>
      <c r="AA81" s="445">
        <f t="shared" si="378"/>
        <v>0.56848644946678406</v>
      </c>
      <c r="AB81" s="445">
        <f t="shared" si="378"/>
        <v>0.56739880593744862</v>
      </c>
      <c r="AC81" s="445">
        <f t="shared" si="378"/>
        <v>0.50151938239159</v>
      </c>
      <c r="AD81" s="445">
        <f t="shared" ref="AD81:AI81" si="379">SUM(AD78)/AD80</f>
        <v>0.51201469566080826</v>
      </c>
      <c r="AE81" s="445">
        <f t="shared" si="379"/>
        <v>0.5012860504569584</v>
      </c>
      <c r="AF81" s="445">
        <f t="shared" si="379"/>
        <v>0.49233795343305431</v>
      </c>
      <c r="AG81" s="445">
        <f t="shared" si="379"/>
        <v>0.47426396955738032</v>
      </c>
      <c r="AH81" s="445">
        <f t="shared" si="379"/>
        <v>0.46626851409460107</v>
      </c>
      <c r="AI81" s="445">
        <f t="shared" si="379"/>
        <v>0.43112787773263689</v>
      </c>
      <c r="AJ81" s="445">
        <f t="shared" ref="AJ81:AO81" si="380">SUM(AJ78)/AJ80</f>
        <v>0.43248462672155308</v>
      </c>
      <c r="AK81" s="445">
        <f t="shared" si="380"/>
        <v>0.42487102321582115</v>
      </c>
      <c r="AL81" s="445">
        <f t="shared" si="380"/>
        <v>0.4229904440697021</v>
      </c>
      <c r="AM81" s="459">
        <f t="shared" si="380"/>
        <v>0.40437605439394714</v>
      </c>
      <c r="AN81" s="445">
        <f t="shared" si="380"/>
        <v>0.42077736835849283</v>
      </c>
      <c r="AO81" s="445">
        <f t="shared" si="380"/>
        <v>0.36755218216318786</v>
      </c>
      <c r="AP81" s="445">
        <f t="shared" ref="AP81:AU81" si="381">SUM(AP78)/AP80</f>
        <v>0.39995494734470916</v>
      </c>
      <c r="AQ81" s="445">
        <f t="shared" si="381"/>
        <v>0.38768271711092006</v>
      </c>
      <c r="AR81" s="445">
        <f t="shared" si="381"/>
        <v>0.36612786489746685</v>
      </c>
      <c r="AS81" s="445">
        <f t="shared" si="381"/>
        <v>0.38373606473883765</v>
      </c>
      <c r="AT81" s="445">
        <f t="shared" si="381"/>
        <v>0.3645091499143604</v>
      </c>
      <c r="AU81" s="445">
        <f t="shared" si="381"/>
        <v>0.36529001844640296</v>
      </c>
      <c r="AV81" s="445">
        <f t="shared" ref="AV81:BJ81" si="382">SUM(AV78)/AV80</f>
        <v>0.35907196872267094</v>
      </c>
      <c r="AW81" s="445">
        <f t="shared" si="382"/>
        <v>0.35388813096862209</v>
      </c>
      <c r="AX81" s="445">
        <f t="shared" si="382"/>
        <v>0.36104176123467996</v>
      </c>
      <c r="AY81" s="459">
        <f t="shared" si="382"/>
        <v>0.34997654662010735</v>
      </c>
      <c r="AZ81" s="445">
        <f t="shared" si="382"/>
        <v>0.3709093034128097</v>
      </c>
      <c r="BA81" s="445">
        <f t="shared" si="382"/>
        <v>0.31454325886310702</v>
      </c>
      <c r="BB81" s="445">
        <f t="shared" si="382"/>
        <v>0.34674922600619196</v>
      </c>
      <c r="BC81" s="445">
        <f t="shared" si="382"/>
        <v>0.3249691680106252</v>
      </c>
      <c r="BD81" s="445">
        <f t="shared" si="382"/>
        <v>0.32630432630432632</v>
      </c>
      <c r="BE81" s="445">
        <f t="shared" si="382"/>
        <v>0.3247311827956989</v>
      </c>
      <c r="BF81" s="445">
        <f t="shared" si="382"/>
        <v>0.31660488546716092</v>
      </c>
      <c r="BG81" s="445">
        <f t="shared" si="382"/>
        <v>0.3169657602113839</v>
      </c>
      <c r="BH81" s="445">
        <f t="shared" si="382"/>
        <v>0.30789605197401299</v>
      </c>
      <c r="BI81" s="445">
        <f t="shared" si="382"/>
        <v>0.30767960363336083</v>
      </c>
      <c r="BJ81" s="447">
        <f t="shared" si="382"/>
        <v>0.3119705340699816</v>
      </c>
      <c r="BK81" s="445">
        <f t="shared" ref="BK81:BV81" si="383">SUM(BK78)/BK80</f>
        <v>0.28829634043398383</v>
      </c>
      <c r="BL81" s="445">
        <f t="shared" si="383"/>
        <v>0.30390345305462524</v>
      </c>
      <c r="BM81" s="445">
        <f t="shared" si="383"/>
        <v>0.28398733569989448</v>
      </c>
      <c r="BN81" s="445">
        <f t="shared" si="383"/>
        <v>0.296895697748085</v>
      </c>
      <c r="BO81" s="445">
        <f t="shared" si="383"/>
        <v>0.27571325821146009</v>
      </c>
      <c r="BP81" s="445">
        <f t="shared" si="383"/>
        <v>0.27636954016968679</v>
      </c>
      <c r="BQ81" s="445">
        <f t="shared" si="383"/>
        <v>0.27266548154344872</v>
      </c>
      <c r="BR81" s="445">
        <f t="shared" si="383"/>
        <v>0.26598428945489166</v>
      </c>
      <c r="BS81" s="445">
        <f t="shared" si="383"/>
        <v>0.27449719363891489</v>
      </c>
      <c r="BT81" s="445">
        <f t="shared" si="383"/>
        <v>0.26561514195583596</v>
      </c>
      <c r="BU81" s="445">
        <f t="shared" si="383"/>
        <v>0.26398021989583881</v>
      </c>
      <c r="BV81" s="447">
        <f t="shared" si="383"/>
        <v>0.26094488188976378</v>
      </c>
      <c r="BW81" s="445">
        <f t="shared" ref="BW81:CB81" si="384">SUM(BW78)/BW80</f>
        <v>0.2561571181011395</v>
      </c>
      <c r="BX81" s="445">
        <f t="shared" si="384"/>
        <v>0.25458269867114869</v>
      </c>
      <c r="BY81" s="445">
        <f t="shared" si="384"/>
        <v>0.25301204819277107</v>
      </c>
      <c r="BZ81" s="445">
        <f t="shared" si="384"/>
        <v>0.24975082620783717</v>
      </c>
      <c r="CA81" s="445">
        <f t="shared" si="384"/>
        <v>0.25178010471204187</v>
      </c>
      <c r="CB81" s="445">
        <f t="shared" si="384"/>
        <v>0.24227375983939986</v>
      </c>
      <c r="CC81" s="445">
        <f t="shared" ref="CC81:DK81" si="385">SUM(CC78)/CC80</f>
        <v>0.2393740748572637</v>
      </c>
      <c r="CD81" s="445">
        <f t="shared" si="385"/>
        <v>0.23765154322621632</v>
      </c>
      <c r="CE81" s="445">
        <f t="shared" si="385"/>
        <v>0.23348041039817127</v>
      </c>
      <c r="CF81" s="445">
        <f t="shared" si="385"/>
        <v>0.23078842977839853</v>
      </c>
      <c r="CG81" s="445">
        <f t="shared" si="385"/>
        <v>0.22905248444706999</v>
      </c>
      <c r="CH81" s="447">
        <f t="shared" si="385"/>
        <v>0.22743049358650269</v>
      </c>
      <c r="CI81" s="460">
        <f t="shared" si="385"/>
        <v>0.22366876533987834</v>
      </c>
      <c r="CJ81" s="405">
        <f t="shared" si="385"/>
        <v>0.21948350532000213</v>
      </c>
      <c r="CK81" s="405">
        <f t="shared" si="385"/>
        <v>0.21826948834717386</v>
      </c>
      <c r="CL81" s="405">
        <f t="shared" si="385"/>
        <v>0.21566000321560641</v>
      </c>
      <c r="CM81" s="405">
        <f t="shared" si="385"/>
        <v>0.21276024898046791</v>
      </c>
      <c r="CN81" s="405">
        <f t="shared" si="385"/>
        <v>0.2095908065728708</v>
      </c>
      <c r="CO81" s="405">
        <f t="shared" si="385"/>
        <v>0.20586336740182895</v>
      </c>
      <c r="CP81" s="405">
        <f t="shared" si="385"/>
        <v>0.20240976816739281</v>
      </c>
      <c r="CQ81" s="405">
        <f t="shared" si="385"/>
        <v>0.19659907735221543</v>
      </c>
      <c r="CR81" s="405">
        <f t="shared" si="385"/>
        <v>0.19303916814826788</v>
      </c>
      <c r="CS81" s="405">
        <f t="shared" si="385"/>
        <v>0.18977156126802397</v>
      </c>
      <c r="CT81" s="406">
        <f t="shared" si="385"/>
        <v>0.187192916149236</v>
      </c>
      <c r="CU81" s="405">
        <f t="shared" si="385"/>
        <v>0.20615859385482357</v>
      </c>
      <c r="CV81" s="405">
        <f t="shared" si="385"/>
        <v>0.18240795804725091</v>
      </c>
      <c r="CW81" s="405">
        <f t="shared" si="385"/>
        <v>0.17967694884122953</v>
      </c>
      <c r="CX81" s="405">
        <f t="shared" si="385"/>
        <v>0.18084824035246033</v>
      </c>
      <c r="CY81" s="405">
        <f t="shared" si="385"/>
        <v>0.17462638076673165</v>
      </c>
      <c r="CZ81" s="405">
        <f t="shared" si="385"/>
        <v>0.17212671640177316</v>
      </c>
      <c r="DA81" s="405">
        <f t="shared" si="385"/>
        <v>0.17374222416239224</v>
      </c>
      <c r="DB81" s="405">
        <f t="shared" si="385"/>
        <v>0.16484807789155614</v>
      </c>
      <c r="DC81" s="405">
        <f t="shared" si="385"/>
        <v>0.1631236442516269</v>
      </c>
      <c r="DD81" s="405">
        <f t="shared" si="385"/>
        <v>0.16122554363417294</v>
      </c>
      <c r="DE81" s="405">
        <f t="shared" si="385"/>
        <v>0.15750463248919086</v>
      </c>
      <c r="DF81" s="406">
        <f t="shared" si="385"/>
        <v>0.1425365318437983</v>
      </c>
      <c r="DG81" s="405">
        <f t="shared" si="385"/>
        <v>0.16262445749297932</v>
      </c>
      <c r="DH81" s="405">
        <f t="shared" si="385"/>
        <v>0.15041510662542731</v>
      </c>
      <c r="DI81" s="405">
        <f t="shared" si="385"/>
        <v>0.1515687140963323</v>
      </c>
      <c r="DJ81" s="405">
        <f t="shared" si="385"/>
        <v>0.15935986265252314</v>
      </c>
      <c r="DK81" s="405">
        <f t="shared" si="385"/>
        <v>0.15625</v>
      </c>
      <c r="DL81" s="405">
        <f t="shared" ref="DL81:FK81" si="386">SUM(DL78)/DL80</f>
        <v>0.14944400763787488</v>
      </c>
      <c r="DM81" s="405">
        <f t="shared" si="386"/>
        <v>0.15502827637078928</v>
      </c>
      <c r="DN81" s="405">
        <f t="shared" si="386"/>
        <v>0.14552280623108821</v>
      </c>
      <c r="DO81" s="405">
        <f t="shared" si="386"/>
        <v>0.14085890988960176</v>
      </c>
      <c r="DP81" s="405">
        <f t="shared" si="386"/>
        <v>0.14135391090845317</v>
      </c>
      <c r="DQ81" s="405">
        <f t="shared" si="386"/>
        <v>0.14045758928571428</v>
      </c>
      <c r="DR81" s="405">
        <f t="shared" si="386"/>
        <v>0.14541401273885352</v>
      </c>
      <c r="DS81" s="405">
        <f t="shared" si="386"/>
        <v>0.13681126901022189</v>
      </c>
      <c r="DT81" s="405">
        <f t="shared" si="386"/>
        <v>0.1369093841467057</v>
      </c>
      <c r="DU81" s="405">
        <f t="shared" si="386"/>
        <v>0.13267415228199542</v>
      </c>
      <c r="DV81" s="408">
        <f t="shared" si="386"/>
        <v>0.13045379989065062</v>
      </c>
      <c r="DW81" s="408">
        <f t="shared" si="386"/>
        <v>0.12773403324584426</v>
      </c>
      <c r="DX81" s="408">
        <f t="shared" si="386"/>
        <v>0.13392183053603576</v>
      </c>
      <c r="DY81" s="408">
        <f t="shared" si="386"/>
        <v>0.12706875485949129</v>
      </c>
      <c r="DZ81" s="408">
        <f t="shared" si="386"/>
        <v>0.12358814863316418</v>
      </c>
      <c r="EA81" s="408">
        <f t="shared" si="386"/>
        <v>0.12384695158561214</v>
      </c>
      <c r="EB81" s="408">
        <f t="shared" si="386"/>
        <v>0.12228527774746262</v>
      </c>
      <c r="EC81" s="491">
        <f t="shared" si="386"/>
        <v>0.11999127732650057</v>
      </c>
      <c r="ED81" s="491">
        <f t="shared" si="386"/>
        <v>0.12480965847291713</v>
      </c>
      <c r="EE81" s="491">
        <f t="shared" si="386"/>
        <v>0.11942250068101334</v>
      </c>
      <c r="EF81" s="491">
        <f t="shared" si="386"/>
        <v>0.11817040554554882</v>
      </c>
      <c r="EG81" s="491">
        <f t="shared" si="386"/>
        <v>0.11690931893778286</v>
      </c>
      <c r="EH81" s="491">
        <f t="shared" si="386"/>
        <v>0.11561766471968994</v>
      </c>
      <c r="EI81" s="491">
        <f t="shared" si="386"/>
        <v>0.11512243005944266</v>
      </c>
      <c r="EJ81" s="491">
        <f t="shared" si="386"/>
        <v>0.11442297194016814</v>
      </c>
      <c r="EK81" s="491">
        <f t="shared" si="386"/>
        <v>0.1133373369001474</v>
      </c>
      <c r="EL81" s="491">
        <f t="shared" si="386"/>
        <v>0.11212402423713085</v>
      </c>
      <c r="EM81" s="491">
        <f t="shared" si="386"/>
        <v>0.11085664430994056</v>
      </c>
      <c r="EN81" s="491">
        <f t="shared" si="386"/>
        <v>0.11129839060461071</v>
      </c>
      <c r="EO81" s="491">
        <f t="shared" si="386"/>
        <v>0.10864575363427698</v>
      </c>
      <c r="EP81" s="491">
        <f t="shared" si="386"/>
        <v>0.10992434356920339</v>
      </c>
      <c r="EQ81" s="491">
        <f t="shared" si="386"/>
        <v>0.11060867495686322</v>
      </c>
      <c r="ER81" s="491">
        <f t="shared" si="386"/>
        <v>0.10697347619884068</v>
      </c>
      <c r="ES81" s="491">
        <f t="shared" si="386"/>
        <v>0.10892857142857143</v>
      </c>
      <c r="ET81" s="491">
        <f t="shared" si="386"/>
        <v>0.10351221640488656</v>
      </c>
      <c r="EU81" s="491">
        <f t="shared" si="386"/>
        <v>0.1026812421819764</v>
      </c>
      <c r="EV81" s="491">
        <f t="shared" si="386"/>
        <v>0.10241161065037102</v>
      </c>
      <c r="EW81" s="491">
        <f t="shared" si="386"/>
        <v>0.10170414330048456</v>
      </c>
      <c r="EX81" s="491">
        <f t="shared" si="386"/>
        <v>0.10021621621621622</v>
      </c>
      <c r="EY81" s="491">
        <f t="shared" si="386"/>
        <v>0.10054436581382689</v>
      </c>
      <c r="EZ81" s="491">
        <f t="shared" si="386"/>
        <v>9.9319357473454939E-2</v>
      </c>
      <c r="FA81" s="491">
        <f t="shared" si="386"/>
        <v>9.9570628838523828E-2</v>
      </c>
      <c r="FB81" s="491">
        <f t="shared" si="386"/>
        <v>9.8218663180258209E-2</v>
      </c>
      <c r="FC81" s="491">
        <f t="shared" si="386"/>
        <v>9.7635226963848867E-2</v>
      </c>
      <c r="FD81" s="491">
        <f t="shared" si="386"/>
        <v>9.6904075303335335E-2</v>
      </c>
      <c r="FE81" s="491">
        <f t="shared" si="386"/>
        <v>9.6114074235332539E-2</v>
      </c>
      <c r="FF81" s="491">
        <f t="shared" si="386"/>
        <v>9.5225132030271678E-2</v>
      </c>
      <c r="FG81" s="491">
        <f t="shared" si="386"/>
        <v>9.4424802828392718E-2</v>
      </c>
      <c r="FH81" s="491">
        <f t="shared" si="386"/>
        <v>9.3403607911323627E-2</v>
      </c>
      <c r="FI81" s="491">
        <f t="shared" si="386"/>
        <v>9.1649915792904879E-2</v>
      </c>
      <c r="FJ81" s="491">
        <f t="shared" si="386"/>
        <v>9.0454718313685012E-2</v>
      </c>
      <c r="FK81" s="491">
        <f t="shared" si="386"/>
        <v>8.8964880855452427E-2</v>
      </c>
      <c r="FL81" s="491">
        <f t="shared" ref="FL81:FQ81" si="387">SUM(FL78)/FL80</f>
        <v>8.8553033609777385E-2</v>
      </c>
      <c r="FM81" s="491">
        <f t="shared" si="387"/>
        <v>8.6627463791789178E-2</v>
      </c>
      <c r="FN81" s="491">
        <f t="shared" si="387"/>
        <v>8.5322000653808433E-2</v>
      </c>
      <c r="FO81" s="491">
        <f t="shared" si="387"/>
        <v>8.3951155691234194E-2</v>
      </c>
      <c r="FP81" s="491">
        <f t="shared" si="387"/>
        <v>8.2871427018802304E-2</v>
      </c>
      <c r="FQ81" s="491">
        <f t="shared" si="387"/>
        <v>8.2105377630362672E-2</v>
      </c>
      <c r="FR81" s="491">
        <f t="shared" ref="FR81:FT81" si="388">SUM(FR78)/FR80</f>
        <v>8.1414295024983707E-2</v>
      </c>
      <c r="FS81" s="491">
        <f t="shared" si="388"/>
        <v>8.092548338040409E-2</v>
      </c>
      <c r="FT81" s="491">
        <f t="shared" si="388"/>
        <v>7.9296832480679216E-2</v>
      </c>
    </row>
    <row r="82" spans="2:176" s="345" customFormat="1" ht="13.8" thickBot="1" x14ac:dyDescent="0.3">
      <c r="B82" s="417" t="s">
        <v>11</v>
      </c>
      <c r="C82" s="448">
        <f t="shared" ref="C82:Q82" si="389">SUM(C79/C80)</f>
        <v>0.15663807992939427</v>
      </c>
      <c r="D82" s="449">
        <f t="shared" si="389"/>
        <v>0.19760219996256542</v>
      </c>
      <c r="E82" s="449">
        <f t="shared" si="389"/>
        <v>5.0242205273675164E-2</v>
      </c>
      <c r="F82" s="449">
        <f t="shared" si="389"/>
        <v>0.16430576459904203</v>
      </c>
      <c r="G82" s="449">
        <f t="shared" si="389"/>
        <v>0.16779884583821564</v>
      </c>
      <c r="H82" s="449">
        <f t="shared" si="389"/>
        <v>0.22586608847159961</v>
      </c>
      <c r="I82" s="449">
        <f t="shared" si="389"/>
        <v>0.1322480373535781</v>
      </c>
      <c r="J82" s="449">
        <f t="shared" si="389"/>
        <v>0.27899054859663791</v>
      </c>
      <c r="K82" s="449">
        <f t="shared" si="389"/>
        <v>0.27841218091009989</v>
      </c>
      <c r="L82" s="449">
        <f t="shared" si="389"/>
        <v>0.25642260687138546</v>
      </c>
      <c r="M82" s="449">
        <f t="shared" si="389"/>
        <v>0.26196862156502881</v>
      </c>
      <c r="N82" s="451">
        <f t="shared" si="389"/>
        <v>0.38207229349405397</v>
      </c>
      <c r="O82" s="450">
        <f t="shared" si="389"/>
        <v>0.3153548387096774</v>
      </c>
      <c r="P82" s="449">
        <f t="shared" si="389"/>
        <v>0.32316134988203921</v>
      </c>
      <c r="Q82" s="449">
        <f t="shared" si="389"/>
        <v>0.33926249303362438</v>
      </c>
      <c r="R82" s="449">
        <f t="shared" ref="R82:W82" si="390">SUM(R79/R80)</f>
        <v>0.32998133546642289</v>
      </c>
      <c r="S82" s="449">
        <f t="shared" si="390"/>
        <v>0.33815413891531876</v>
      </c>
      <c r="T82" s="449">
        <f t="shared" si="390"/>
        <v>0.34308949326786603</v>
      </c>
      <c r="U82" s="449">
        <f t="shared" si="390"/>
        <v>0.35055195374101977</v>
      </c>
      <c r="V82" s="449">
        <f t="shared" si="390"/>
        <v>0.35651672433679354</v>
      </c>
      <c r="W82" s="449">
        <f t="shared" si="390"/>
        <v>0.36861835748792271</v>
      </c>
      <c r="X82" s="449">
        <f t="shared" ref="X82:AC82" si="391">SUM(X79/X80)</f>
        <v>0.36677952190417562</v>
      </c>
      <c r="Y82" s="449">
        <f t="shared" si="391"/>
        <v>0.40629107981220658</v>
      </c>
      <c r="Z82" s="451">
        <f t="shared" si="391"/>
        <v>0.38815391593589355</v>
      </c>
      <c r="AA82" s="449">
        <f t="shared" si="391"/>
        <v>0.43151355053321594</v>
      </c>
      <c r="AB82" s="449">
        <f t="shared" si="391"/>
        <v>0.43260119406255138</v>
      </c>
      <c r="AC82" s="449">
        <f t="shared" si="391"/>
        <v>0.49848061760841</v>
      </c>
      <c r="AD82" s="449">
        <f t="shared" ref="AD82:AI82" si="392">SUM(AD79/AD80)</f>
        <v>0.48798530433919174</v>
      </c>
      <c r="AE82" s="449">
        <f t="shared" si="392"/>
        <v>0.49871394954304166</v>
      </c>
      <c r="AF82" s="449">
        <f t="shared" si="392"/>
        <v>0.50766204656694569</v>
      </c>
      <c r="AG82" s="449">
        <f t="shared" si="392"/>
        <v>0.52573603044261963</v>
      </c>
      <c r="AH82" s="449">
        <f t="shared" si="392"/>
        <v>0.53373148590539898</v>
      </c>
      <c r="AI82" s="449">
        <f t="shared" si="392"/>
        <v>0.56887212226736317</v>
      </c>
      <c r="AJ82" s="449">
        <f t="shared" ref="AJ82:AO82" si="393">SUM(AJ79/AJ80)</f>
        <v>0.56751537327844692</v>
      </c>
      <c r="AK82" s="449">
        <f t="shared" si="393"/>
        <v>0.57512897678417885</v>
      </c>
      <c r="AL82" s="449">
        <f t="shared" si="393"/>
        <v>0.5770095559302979</v>
      </c>
      <c r="AM82" s="461">
        <f t="shared" si="393"/>
        <v>0.59562394560605281</v>
      </c>
      <c r="AN82" s="449">
        <f t="shared" si="393"/>
        <v>0.57922263164150722</v>
      </c>
      <c r="AO82" s="449">
        <f t="shared" si="393"/>
        <v>0.63244781783681214</v>
      </c>
      <c r="AP82" s="449">
        <f t="shared" ref="AP82:AU82" si="394">SUM(AP79/AP80)</f>
        <v>0.60004505265529084</v>
      </c>
      <c r="AQ82" s="449">
        <f t="shared" si="394"/>
        <v>0.61231728288907994</v>
      </c>
      <c r="AR82" s="449">
        <f t="shared" si="394"/>
        <v>0.63387213510253315</v>
      </c>
      <c r="AS82" s="449">
        <f t="shared" si="394"/>
        <v>0.61626393526116241</v>
      </c>
      <c r="AT82" s="449">
        <f t="shared" si="394"/>
        <v>0.63549085008563955</v>
      </c>
      <c r="AU82" s="449">
        <f t="shared" si="394"/>
        <v>0.63470998155359704</v>
      </c>
      <c r="AV82" s="449">
        <f>SUM(AV79/AV80)</f>
        <v>0.64092803127732911</v>
      </c>
      <c r="AW82" s="449">
        <f>SUM(AW79/AW80)</f>
        <v>0.64611186903137785</v>
      </c>
      <c r="AX82" s="449">
        <f>SUM(AX79/AX80)</f>
        <v>0.63895823876531999</v>
      </c>
      <c r="AY82" s="461">
        <f t="shared" ref="AY82:BG82" si="395">SUM(AY79/AY80)</f>
        <v>0.65002345337989265</v>
      </c>
      <c r="AZ82" s="449">
        <f t="shared" si="395"/>
        <v>0.6290906965871903</v>
      </c>
      <c r="BA82" s="449">
        <f t="shared" si="395"/>
        <v>0.68545674113689292</v>
      </c>
      <c r="BB82" s="449">
        <f t="shared" si="395"/>
        <v>0.65325077399380804</v>
      </c>
      <c r="BC82" s="449">
        <f t="shared" si="395"/>
        <v>0.67503083198937486</v>
      </c>
      <c r="BD82" s="449">
        <f t="shared" si="395"/>
        <v>0.67369567369567374</v>
      </c>
      <c r="BE82" s="449">
        <f t="shared" si="395"/>
        <v>0.6752688172043011</v>
      </c>
      <c r="BF82" s="449">
        <f t="shared" si="395"/>
        <v>0.68339511453283908</v>
      </c>
      <c r="BG82" s="449">
        <f t="shared" si="395"/>
        <v>0.6830342397886161</v>
      </c>
      <c r="BH82" s="449">
        <f>SUM(BH79/BH80)</f>
        <v>0.69210394802598696</v>
      </c>
      <c r="BI82" s="449">
        <f>SUM(BI79/BI80)</f>
        <v>0.69232039636663911</v>
      </c>
      <c r="BJ82" s="451">
        <f>SUM(BJ79/BJ80)</f>
        <v>0.68802946593001846</v>
      </c>
      <c r="BK82" s="449">
        <f t="shared" ref="BK82:BS82" si="396">SUM(BK79/BK80)</f>
        <v>0.71170365956601622</v>
      </c>
      <c r="BL82" s="449">
        <f t="shared" si="396"/>
        <v>0.69609654694537471</v>
      </c>
      <c r="BM82" s="449">
        <f t="shared" si="396"/>
        <v>0.71601266430010557</v>
      </c>
      <c r="BN82" s="449">
        <f t="shared" si="396"/>
        <v>0.703104302251915</v>
      </c>
      <c r="BO82" s="449">
        <f t="shared" si="396"/>
        <v>0.72428674178853991</v>
      </c>
      <c r="BP82" s="449">
        <f t="shared" si="396"/>
        <v>0.72363045983031316</v>
      </c>
      <c r="BQ82" s="449">
        <f t="shared" si="396"/>
        <v>0.72733451845655128</v>
      </c>
      <c r="BR82" s="449">
        <f t="shared" si="396"/>
        <v>0.73401571054510828</v>
      </c>
      <c r="BS82" s="449">
        <f t="shared" si="396"/>
        <v>0.72550280636108511</v>
      </c>
      <c r="BT82" s="449">
        <f>SUM(BT79/BT80)</f>
        <v>0.73438485804416409</v>
      </c>
      <c r="BU82" s="449">
        <f>SUM(BU79/BU80)</f>
        <v>0.73601978010416114</v>
      </c>
      <c r="BV82" s="451">
        <f>SUM(BV79/BV80)</f>
        <v>0.73905511811023628</v>
      </c>
      <c r="BW82" s="449">
        <f t="shared" ref="BW82:CB82" si="397">SUM(BW79/BW80)</f>
        <v>0.7438428818988605</v>
      </c>
      <c r="BX82" s="449">
        <f t="shared" si="397"/>
        <v>0.74541730132885131</v>
      </c>
      <c r="BY82" s="449">
        <f t="shared" si="397"/>
        <v>0.74698795180722888</v>
      </c>
      <c r="BZ82" s="449">
        <f t="shared" si="397"/>
        <v>0.75024917379216283</v>
      </c>
      <c r="CA82" s="449">
        <f t="shared" si="397"/>
        <v>0.74821989528795807</v>
      </c>
      <c r="CB82" s="449">
        <f t="shared" si="397"/>
        <v>0.75772624016060008</v>
      </c>
      <c r="CC82" s="449">
        <f t="shared" ref="CC82:DK82" si="398">SUM(CC79/CC80)</f>
        <v>0.7606259251427363</v>
      </c>
      <c r="CD82" s="449">
        <f t="shared" si="398"/>
        <v>0.76234845677378371</v>
      </c>
      <c r="CE82" s="449">
        <f t="shared" si="398"/>
        <v>0.76651958960182875</v>
      </c>
      <c r="CF82" s="449">
        <f t="shared" si="398"/>
        <v>0.76921157022160158</v>
      </c>
      <c r="CG82" s="449">
        <f t="shared" si="398"/>
        <v>0.77094751555293006</v>
      </c>
      <c r="CH82" s="451">
        <f t="shared" si="398"/>
        <v>0.77256950641349731</v>
      </c>
      <c r="CI82" s="462">
        <f t="shared" si="398"/>
        <v>0.77633123466012166</v>
      </c>
      <c r="CJ82" s="412">
        <f t="shared" si="398"/>
        <v>0.78051649467999784</v>
      </c>
      <c r="CK82" s="412">
        <f t="shared" si="398"/>
        <v>0.78173051165282614</v>
      </c>
      <c r="CL82" s="412">
        <f t="shared" si="398"/>
        <v>0.78433999678439359</v>
      </c>
      <c r="CM82" s="412">
        <f t="shared" si="398"/>
        <v>0.78723975101953214</v>
      </c>
      <c r="CN82" s="412">
        <f t="shared" si="398"/>
        <v>0.79040919342712923</v>
      </c>
      <c r="CO82" s="412">
        <f t="shared" si="398"/>
        <v>0.79413663259817102</v>
      </c>
      <c r="CP82" s="412">
        <f t="shared" si="398"/>
        <v>0.79759023183260713</v>
      </c>
      <c r="CQ82" s="412">
        <f t="shared" si="398"/>
        <v>0.80340092264778462</v>
      </c>
      <c r="CR82" s="412">
        <f t="shared" si="398"/>
        <v>0.80696083185173217</v>
      </c>
      <c r="CS82" s="412">
        <f t="shared" si="398"/>
        <v>0.81022843873197603</v>
      </c>
      <c r="CT82" s="413">
        <f t="shared" si="398"/>
        <v>0.81280708385076395</v>
      </c>
      <c r="CU82" s="412">
        <f t="shared" si="398"/>
        <v>0.7938414061451764</v>
      </c>
      <c r="CV82" s="412">
        <f t="shared" si="398"/>
        <v>0.81759204195274915</v>
      </c>
      <c r="CW82" s="412">
        <f t="shared" si="398"/>
        <v>0.82032305115877047</v>
      </c>
      <c r="CX82" s="412">
        <f t="shared" si="398"/>
        <v>0.81915175964753972</v>
      </c>
      <c r="CY82" s="412">
        <f t="shared" si="398"/>
        <v>0.82537361923326835</v>
      </c>
      <c r="CZ82" s="412">
        <f t="shared" si="398"/>
        <v>0.82787328359822687</v>
      </c>
      <c r="DA82" s="412">
        <f t="shared" si="398"/>
        <v>0.82625777583760773</v>
      </c>
      <c r="DB82" s="412">
        <f t="shared" si="398"/>
        <v>0.8351519221084438</v>
      </c>
      <c r="DC82" s="412">
        <f t="shared" si="398"/>
        <v>0.83687635574837316</v>
      </c>
      <c r="DD82" s="412">
        <f t="shared" si="398"/>
        <v>0.83877445636582704</v>
      </c>
      <c r="DE82" s="412">
        <f t="shared" si="398"/>
        <v>0.84249536751080911</v>
      </c>
      <c r="DF82" s="413">
        <f t="shared" si="398"/>
        <v>0.85746346815620167</v>
      </c>
      <c r="DG82" s="412">
        <f t="shared" si="398"/>
        <v>0.83737554250702073</v>
      </c>
      <c r="DH82" s="412">
        <f t="shared" si="398"/>
        <v>0.84958489337457266</v>
      </c>
      <c r="DI82" s="412">
        <f t="shared" si="398"/>
        <v>0.84843128590366768</v>
      </c>
      <c r="DJ82" s="412">
        <f t="shared" si="398"/>
        <v>0.84064013734747689</v>
      </c>
      <c r="DK82" s="412">
        <f t="shared" si="398"/>
        <v>0.84375</v>
      </c>
      <c r="DL82" s="412">
        <f t="shared" ref="DL82:FK82" si="399">SUM(DL79/DL80)</f>
        <v>0.85055599236212509</v>
      </c>
      <c r="DM82" s="412">
        <f t="shared" si="399"/>
        <v>0.84497172362921069</v>
      </c>
      <c r="DN82" s="412">
        <f t="shared" si="399"/>
        <v>0.85447719376891185</v>
      </c>
      <c r="DO82" s="412">
        <f t="shared" si="399"/>
        <v>0.8591410901103983</v>
      </c>
      <c r="DP82" s="412">
        <f t="shared" si="399"/>
        <v>0.85864608909154683</v>
      </c>
      <c r="DQ82" s="412">
        <f t="shared" si="399"/>
        <v>0.85954241071428572</v>
      </c>
      <c r="DR82" s="412">
        <f t="shared" si="399"/>
        <v>0.85458598726114654</v>
      </c>
      <c r="DS82" s="412">
        <f t="shared" si="399"/>
        <v>0.86318873098977811</v>
      </c>
      <c r="DT82" s="412">
        <f t="shared" si="399"/>
        <v>0.86309061585329427</v>
      </c>
      <c r="DU82" s="412">
        <f t="shared" si="399"/>
        <v>0.86732584771800458</v>
      </c>
      <c r="DV82" s="415">
        <f t="shared" si="399"/>
        <v>0.86954620010934935</v>
      </c>
      <c r="DW82" s="415">
        <f t="shared" si="399"/>
        <v>0.87226596675415569</v>
      </c>
      <c r="DX82" s="415">
        <f t="shared" si="399"/>
        <v>0.86607816946396421</v>
      </c>
      <c r="DY82" s="415">
        <f t="shared" si="399"/>
        <v>0.87293124514050868</v>
      </c>
      <c r="DZ82" s="415">
        <f t="shared" si="399"/>
        <v>0.87641185136683586</v>
      </c>
      <c r="EA82" s="415">
        <f t="shared" si="399"/>
        <v>0.8761530484143879</v>
      </c>
      <c r="EB82" s="415">
        <f t="shared" si="399"/>
        <v>0.87771472225253733</v>
      </c>
      <c r="EC82" s="493">
        <f t="shared" si="399"/>
        <v>0.88000872267349939</v>
      </c>
      <c r="ED82" s="493">
        <f t="shared" si="399"/>
        <v>0.87519034152708286</v>
      </c>
      <c r="EE82" s="493">
        <f t="shared" si="399"/>
        <v>0.88057749931898666</v>
      </c>
      <c r="EF82" s="493">
        <f t="shared" si="399"/>
        <v>0.88182959445445119</v>
      </c>
      <c r="EG82" s="493">
        <f t="shared" si="399"/>
        <v>0.88309068106221711</v>
      </c>
      <c r="EH82" s="493">
        <f t="shared" si="399"/>
        <v>0.88438233528031007</v>
      </c>
      <c r="EI82" s="493">
        <f t="shared" si="399"/>
        <v>0.88487756994055733</v>
      </c>
      <c r="EJ82" s="493">
        <f t="shared" si="399"/>
        <v>0.88557702805983185</v>
      </c>
      <c r="EK82" s="493">
        <f t="shared" si="399"/>
        <v>0.88666266309985264</v>
      </c>
      <c r="EL82" s="493">
        <f t="shared" si="399"/>
        <v>0.88787597576286914</v>
      </c>
      <c r="EM82" s="493">
        <f t="shared" si="399"/>
        <v>0.88914335569005942</v>
      </c>
      <c r="EN82" s="493">
        <f t="shared" si="399"/>
        <v>0.88870160939538934</v>
      </c>
      <c r="EO82" s="493">
        <f t="shared" si="399"/>
        <v>0.89135424636572302</v>
      </c>
      <c r="EP82" s="493">
        <f t="shared" si="399"/>
        <v>0.89007565643079667</v>
      </c>
      <c r="EQ82" s="493">
        <f t="shared" si="399"/>
        <v>0.88939132504313678</v>
      </c>
      <c r="ER82" s="493">
        <f t="shared" si="399"/>
        <v>0.89302652380115932</v>
      </c>
      <c r="ES82" s="493">
        <f t="shared" si="399"/>
        <v>0.89107142857142863</v>
      </c>
      <c r="ET82" s="493">
        <f t="shared" si="399"/>
        <v>0.89648778359511339</v>
      </c>
      <c r="EU82" s="493">
        <f t="shared" si="399"/>
        <v>0.89731875781802362</v>
      </c>
      <c r="EV82" s="493">
        <f t="shared" si="399"/>
        <v>0.89758838934962903</v>
      </c>
      <c r="EW82" s="493">
        <f t="shared" si="399"/>
        <v>0.89829585669951539</v>
      </c>
      <c r="EX82" s="493">
        <f t="shared" si="399"/>
        <v>0.89978378378378376</v>
      </c>
      <c r="EY82" s="493">
        <f t="shared" si="399"/>
        <v>0.89945563418617314</v>
      </c>
      <c r="EZ82" s="493">
        <f t="shared" si="399"/>
        <v>0.90068064252654501</v>
      </c>
      <c r="FA82" s="493">
        <f t="shared" si="399"/>
        <v>0.90042937116147614</v>
      </c>
      <c r="FB82" s="493">
        <f t="shared" si="399"/>
        <v>0.90178133681974182</v>
      </c>
      <c r="FC82" s="493">
        <f t="shared" si="399"/>
        <v>0.90236477303615115</v>
      </c>
      <c r="FD82" s="493">
        <f t="shared" si="399"/>
        <v>0.90309592469666466</v>
      </c>
      <c r="FE82" s="493">
        <f t="shared" si="399"/>
        <v>0.90388592576466742</v>
      </c>
      <c r="FF82" s="493">
        <f t="shared" si="399"/>
        <v>0.90477486796972828</v>
      </c>
      <c r="FG82" s="493">
        <f t="shared" si="399"/>
        <v>0.90557519717160728</v>
      </c>
      <c r="FH82" s="493">
        <f t="shared" si="399"/>
        <v>0.90659639208867637</v>
      </c>
      <c r="FI82" s="493">
        <f t="shared" si="399"/>
        <v>0.90835008420709518</v>
      </c>
      <c r="FJ82" s="493">
        <f t="shared" si="399"/>
        <v>0.90954528168631499</v>
      </c>
      <c r="FK82" s="493">
        <f t="shared" si="399"/>
        <v>0.9110351191445476</v>
      </c>
      <c r="FL82" s="493">
        <f t="shared" ref="FL82:FQ82" si="400">SUM(FL79/FL80)</f>
        <v>0.9114469663902226</v>
      </c>
      <c r="FM82" s="493">
        <f t="shared" si="400"/>
        <v>0.91337253620821079</v>
      </c>
      <c r="FN82" s="493">
        <f t="shared" si="400"/>
        <v>0.91467799934619154</v>
      </c>
      <c r="FO82" s="493">
        <f t="shared" si="400"/>
        <v>0.91604884430876576</v>
      </c>
      <c r="FP82" s="493">
        <f t="shared" si="400"/>
        <v>0.91712857298119765</v>
      </c>
      <c r="FQ82" s="493">
        <f t="shared" si="400"/>
        <v>0.91789462236963737</v>
      </c>
      <c r="FR82" s="493">
        <f t="shared" ref="FR82:FT82" si="401">SUM(FR79/FR80)</f>
        <v>0.91858570497501635</v>
      </c>
      <c r="FS82" s="493">
        <f t="shared" si="401"/>
        <v>0.91907451661959594</v>
      </c>
      <c r="FT82" s="493">
        <f t="shared" si="401"/>
        <v>0.9207031675193208</v>
      </c>
    </row>
    <row r="83" spans="2:176" x14ac:dyDescent="0.25">
      <c r="B83" s="179"/>
      <c r="O83" s="38"/>
      <c r="Z83" s="20"/>
      <c r="AM83" s="74"/>
      <c r="AY83" s="74"/>
      <c r="BJ83" s="20"/>
      <c r="BV83" s="20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20"/>
      <c r="CI83" s="7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02"/>
      <c r="DW83" s="302"/>
      <c r="DX83" s="302"/>
      <c r="EE83" s="302"/>
      <c r="EF83" s="302"/>
      <c r="EG83" s="302"/>
      <c r="EH83" s="302"/>
      <c r="EI83" s="302"/>
      <c r="EJ83" s="302"/>
      <c r="EK83" s="302"/>
      <c r="EL83" s="302"/>
      <c r="EM83" s="302"/>
      <c r="EN83" s="302"/>
      <c r="EO83" s="302"/>
      <c r="EP83" s="302"/>
    </row>
    <row r="84" spans="2:176" x14ac:dyDescent="0.25">
      <c r="B84" s="55" t="s">
        <v>56</v>
      </c>
      <c r="C84" s="56"/>
      <c r="D84" s="18"/>
      <c r="E84" s="18"/>
      <c r="F84" s="18"/>
      <c r="G84" s="18"/>
      <c r="H84" s="19"/>
      <c r="I84" s="18"/>
      <c r="J84" s="18"/>
      <c r="K84" s="42"/>
      <c r="L84" s="18"/>
      <c r="M84" s="18"/>
      <c r="N84" s="20"/>
      <c r="O84" s="42"/>
      <c r="P84" s="18"/>
      <c r="Q84" s="18"/>
      <c r="R84" s="18"/>
      <c r="S84" s="18"/>
      <c r="T84" s="18"/>
      <c r="Z84" s="20"/>
      <c r="AM84" s="74"/>
      <c r="AY84" s="74"/>
      <c r="BJ84" s="20"/>
      <c r="BV84" s="20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20"/>
      <c r="CI84" s="7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02"/>
      <c r="DW84" s="302"/>
      <c r="DX84" s="302"/>
      <c r="EE84" s="302"/>
      <c r="EF84" s="302"/>
      <c r="EG84" s="302"/>
      <c r="EH84" s="302"/>
      <c r="EI84" s="302"/>
      <c r="EJ84" s="302"/>
      <c r="EK84" s="302"/>
      <c r="EL84" s="302"/>
      <c r="EM84" s="302"/>
      <c r="EN84" s="302"/>
      <c r="EO84" s="302"/>
      <c r="EP84" s="302"/>
    </row>
    <row r="85" spans="2:176" s="68" customFormat="1" x14ac:dyDescent="0.25">
      <c r="B85" s="87" t="s">
        <v>1</v>
      </c>
      <c r="C85" s="103">
        <f>SUM(C51,C61,C71,C78)</f>
        <v>908118.02300000004</v>
      </c>
      <c r="D85" s="69">
        <f t="shared" ref="D85:N86" si="402">SUM(D51,D61,D71,D78)</f>
        <v>937184.17700000003</v>
      </c>
      <c r="E85" s="69">
        <f t="shared" si="402"/>
        <v>1112677.473</v>
      </c>
      <c r="F85" s="69">
        <f t="shared" si="402"/>
        <v>1097937.2589999998</v>
      </c>
      <c r="G85" s="69">
        <f t="shared" si="402"/>
        <v>1280101.3110000002</v>
      </c>
      <c r="H85" s="69">
        <f t="shared" si="402"/>
        <v>1219111.4550000001</v>
      </c>
      <c r="I85" s="69">
        <f t="shared" si="402"/>
        <v>1346969.8389999999</v>
      </c>
      <c r="J85" s="69">
        <f t="shared" si="402"/>
        <v>1391622.4609999999</v>
      </c>
      <c r="K85" s="128">
        <f t="shared" si="402"/>
        <v>1360714.284</v>
      </c>
      <c r="L85" s="69">
        <f t="shared" si="402"/>
        <v>1118804.2250000001</v>
      </c>
      <c r="M85" s="69">
        <f t="shared" si="402"/>
        <v>848974.02899999998</v>
      </c>
      <c r="N85" s="69">
        <f t="shared" si="402"/>
        <v>867033.35899999994</v>
      </c>
      <c r="O85" s="71">
        <f t="shared" ref="O85:Q86" si="403">SUM(O51,O61,O71,O78)</f>
        <v>991867</v>
      </c>
      <c r="P85" s="69">
        <f t="shared" si="403"/>
        <v>878110</v>
      </c>
      <c r="Q85" s="69">
        <f t="shared" si="403"/>
        <v>854651</v>
      </c>
      <c r="R85" s="69">
        <f t="shared" ref="R85:T86" si="404">SUM(R51,R61,R71,R78)</f>
        <v>854138</v>
      </c>
      <c r="S85" s="69">
        <f t="shared" si="404"/>
        <v>1065121</v>
      </c>
      <c r="T85" s="69">
        <f t="shared" si="404"/>
        <v>1234266</v>
      </c>
      <c r="U85" s="71">
        <f t="shared" ref="U85:Z85" si="405">U78+U71+U61+U51</f>
        <v>1311941</v>
      </c>
      <c r="V85" s="71">
        <f t="shared" si="405"/>
        <v>1224665</v>
      </c>
      <c r="W85" s="71">
        <f t="shared" si="405"/>
        <v>1161778</v>
      </c>
      <c r="X85" s="71">
        <f t="shared" si="405"/>
        <v>968408</v>
      </c>
      <c r="Y85" s="71">
        <f t="shared" si="405"/>
        <v>686951</v>
      </c>
      <c r="Z85" s="190">
        <f t="shared" si="405"/>
        <v>668733</v>
      </c>
      <c r="AA85" s="71">
        <f t="shared" ref="AA85:AC87" si="406">AA78+AA71+AA61+AA51</f>
        <v>858425</v>
      </c>
      <c r="AB85" s="71">
        <f t="shared" si="406"/>
        <v>602608</v>
      </c>
      <c r="AC85" s="71">
        <f t="shared" si="406"/>
        <v>637389</v>
      </c>
      <c r="AD85" s="71">
        <f t="shared" ref="AD85:AF87" si="407">AD78+AD71+AD61+AD51</f>
        <v>613720</v>
      </c>
      <c r="AE85" s="71">
        <f t="shared" si="407"/>
        <v>586829</v>
      </c>
      <c r="AF85" s="71">
        <f t="shared" si="407"/>
        <v>888440</v>
      </c>
      <c r="AG85" s="71">
        <f t="shared" ref="AG85:AI87" si="408">AG78+AG71+AG61+AG51</f>
        <v>941294</v>
      </c>
      <c r="AH85" s="71">
        <f t="shared" si="408"/>
        <v>947967</v>
      </c>
      <c r="AI85" s="71">
        <f t="shared" si="408"/>
        <v>849782</v>
      </c>
      <c r="AJ85" s="71">
        <f t="shared" ref="AJ85:AL87" si="409">AJ78+AJ71+AJ61+AJ51</f>
        <v>713996</v>
      </c>
      <c r="AK85" s="71">
        <f t="shared" si="409"/>
        <v>590812</v>
      </c>
      <c r="AL85" s="71">
        <f t="shared" si="409"/>
        <v>519265</v>
      </c>
      <c r="AM85" s="201">
        <f t="shared" ref="AM85:AO87" si="410">AM78+AM71+AM61+AM51</f>
        <v>662806</v>
      </c>
      <c r="AN85" s="71">
        <f t="shared" si="410"/>
        <v>468590</v>
      </c>
      <c r="AO85" s="71">
        <f t="shared" si="410"/>
        <v>465289</v>
      </c>
      <c r="AP85" s="71">
        <f t="shared" ref="AP85:AR87" si="411">AP78+AP71+AP61+AP51</f>
        <v>472925</v>
      </c>
      <c r="AQ85" s="71">
        <f t="shared" si="411"/>
        <v>505939</v>
      </c>
      <c r="AR85" s="71">
        <f t="shared" si="411"/>
        <v>743224</v>
      </c>
      <c r="AS85" s="71">
        <f t="shared" ref="AS85:AU87" si="412">AS78+AS71+AS61+AS51</f>
        <v>797733</v>
      </c>
      <c r="AT85" s="71">
        <f t="shared" si="412"/>
        <v>868315</v>
      </c>
      <c r="AU85" s="71">
        <f t="shared" si="412"/>
        <v>811670</v>
      </c>
      <c r="AV85" s="71">
        <f t="shared" ref="AV85:BG87" si="413">AV78+AV71+AV61+AV51</f>
        <v>660600</v>
      </c>
      <c r="AW85" s="71">
        <f t="shared" si="413"/>
        <v>445917</v>
      </c>
      <c r="AX85" s="71">
        <f t="shared" si="413"/>
        <v>487946</v>
      </c>
      <c r="AY85" s="201">
        <f t="shared" si="413"/>
        <v>512714</v>
      </c>
      <c r="AZ85" s="71">
        <f t="shared" si="413"/>
        <v>398627</v>
      </c>
      <c r="BA85" s="71">
        <f t="shared" si="413"/>
        <v>481305</v>
      </c>
      <c r="BB85" s="71">
        <f t="shared" si="413"/>
        <v>428497</v>
      </c>
      <c r="BC85" s="71">
        <f t="shared" si="413"/>
        <v>596521</v>
      </c>
      <c r="BD85" s="71">
        <f t="shared" si="413"/>
        <v>674206</v>
      </c>
      <c r="BE85" s="71">
        <f t="shared" si="413"/>
        <v>659012</v>
      </c>
      <c r="BF85" s="71">
        <f t="shared" si="413"/>
        <v>736753</v>
      </c>
      <c r="BG85" s="71">
        <f t="shared" si="413"/>
        <v>635787</v>
      </c>
      <c r="BH85" s="71">
        <f t="shared" ref="BH85:BS87" si="414">BH78+BH71+BH61+BH51</f>
        <v>543161</v>
      </c>
      <c r="BI85" s="71">
        <f t="shared" si="414"/>
        <v>378945</v>
      </c>
      <c r="BJ85" s="190">
        <f t="shared" si="414"/>
        <v>384732</v>
      </c>
      <c r="BK85" s="71">
        <f t="shared" si="414"/>
        <v>495949</v>
      </c>
      <c r="BL85" s="71">
        <f t="shared" si="414"/>
        <v>461330</v>
      </c>
      <c r="BM85" s="71">
        <f t="shared" si="414"/>
        <v>385356</v>
      </c>
      <c r="BN85" s="71">
        <f t="shared" si="414"/>
        <v>348056</v>
      </c>
      <c r="BO85" s="71">
        <f t="shared" si="414"/>
        <v>449059</v>
      </c>
      <c r="BP85" s="71">
        <f t="shared" si="414"/>
        <v>515572</v>
      </c>
      <c r="BQ85" s="71">
        <f t="shared" si="414"/>
        <v>567109</v>
      </c>
      <c r="BR85" s="71">
        <f t="shared" si="414"/>
        <v>599021</v>
      </c>
      <c r="BS85" s="71">
        <f t="shared" si="414"/>
        <v>489172</v>
      </c>
      <c r="BT85" s="71">
        <f t="shared" ref="BT85:CB87" si="415">BT78+BT71+BT61+BT51</f>
        <v>485802</v>
      </c>
      <c r="BU85" s="71">
        <f t="shared" si="415"/>
        <v>365252</v>
      </c>
      <c r="BV85" s="190">
        <f t="shared" si="415"/>
        <v>372437</v>
      </c>
      <c r="BW85" s="71">
        <f t="shared" si="415"/>
        <v>402358</v>
      </c>
      <c r="BX85" s="71">
        <f t="shared" si="415"/>
        <v>352466</v>
      </c>
      <c r="BY85" s="71">
        <f t="shared" si="415"/>
        <v>300301</v>
      </c>
      <c r="BZ85" s="71">
        <f t="shared" si="415"/>
        <v>328511</v>
      </c>
      <c r="CA85" s="71">
        <f t="shared" si="415"/>
        <v>360306</v>
      </c>
      <c r="CB85" s="71">
        <f t="shared" si="415"/>
        <v>487121</v>
      </c>
      <c r="CC85" s="71">
        <f t="shared" ref="CC85:CH87" si="416">CC78+CC71+CC61+CC51</f>
        <v>489787</v>
      </c>
      <c r="CD85" s="71">
        <f t="shared" si="416"/>
        <v>464212</v>
      </c>
      <c r="CE85" s="71">
        <f t="shared" si="416"/>
        <v>441779</v>
      </c>
      <c r="CF85" s="71">
        <f t="shared" si="416"/>
        <v>344251</v>
      </c>
      <c r="CG85" s="71">
        <f t="shared" si="416"/>
        <v>266086</v>
      </c>
      <c r="CH85" s="190">
        <f t="shared" si="416"/>
        <v>276932</v>
      </c>
      <c r="CI85" s="71">
        <f t="shared" ref="CI85:CK86" si="417">SUM(CI51,CI61,CI71,CI78)</f>
        <v>314517</v>
      </c>
      <c r="CJ85" s="69">
        <f t="shared" si="417"/>
        <v>240761</v>
      </c>
      <c r="CK85" s="69">
        <f t="shared" si="417"/>
        <v>227754</v>
      </c>
      <c r="CL85" s="69">
        <f t="shared" ref="CL85:DY86" si="418">SUM(CL51,CL61,CL71,CL78)</f>
        <v>240238</v>
      </c>
      <c r="CM85" s="69">
        <f t="shared" si="418"/>
        <v>297437</v>
      </c>
      <c r="CN85" s="69">
        <f t="shared" si="418"/>
        <v>349142</v>
      </c>
      <c r="CO85" s="69">
        <f t="shared" si="418"/>
        <v>421530</v>
      </c>
      <c r="CP85" s="69">
        <f t="shared" si="418"/>
        <v>420289</v>
      </c>
      <c r="CQ85" s="69">
        <f t="shared" si="418"/>
        <v>373557</v>
      </c>
      <c r="CR85" s="69">
        <f t="shared" si="418"/>
        <v>294274</v>
      </c>
      <c r="CS85" s="69">
        <f t="shared" si="418"/>
        <v>214698</v>
      </c>
      <c r="CT85" s="89">
        <f t="shared" si="418"/>
        <v>236423</v>
      </c>
      <c r="CU85" s="69">
        <f t="shared" si="418"/>
        <v>294599</v>
      </c>
      <c r="CV85" s="69">
        <f t="shared" si="418"/>
        <v>237947</v>
      </c>
      <c r="CW85" s="69">
        <f t="shared" si="418"/>
        <v>213573</v>
      </c>
      <c r="CX85" s="69">
        <f t="shared" si="418"/>
        <v>184042</v>
      </c>
      <c r="CY85" s="69">
        <f t="shared" si="418"/>
        <v>219218</v>
      </c>
      <c r="CZ85" s="69">
        <f t="shared" si="418"/>
        <v>298219</v>
      </c>
      <c r="DA85" s="69">
        <f t="shared" si="418"/>
        <v>333851</v>
      </c>
      <c r="DB85" s="69">
        <f t="shared" si="418"/>
        <v>311141</v>
      </c>
      <c r="DC85" s="69">
        <f t="shared" si="418"/>
        <v>327243</v>
      </c>
      <c r="DD85" s="69">
        <f t="shared" si="418"/>
        <v>230590</v>
      </c>
      <c r="DE85" s="69">
        <f t="shared" si="418"/>
        <v>185497</v>
      </c>
      <c r="DF85" s="89">
        <f t="shared" si="418"/>
        <v>195008</v>
      </c>
      <c r="DG85" s="322">
        <f t="shared" si="418"/>
        <v>204265</v>
      </c>
      <c r="DH85" s="69">
        <f t="shared" si="418"/>
        <v>245566</v>
      </c>
      <c r="DI85" s="322">
        <f t="shared" si="418"/>
        <v>178358</v>
      </c>
      <c r="DJ85" s="322">
        <f t="shared" si="418"/>
        <v>186887</v>
      </c>
      <c r="DK85" s="322">
        <f t="shared" si="418"/>
        <v>214945</v>
      </c>
      <c r="DL85" s="69">
        <f t="shared" si="418"/>
        <v>297213</v>
      </c>
      <c r="DM85" s="69">
        <f t="shared" si="418"/>
        <v>309369</v>
      </c>
      <c r="DN85" s="69">
        <f t="shared" si="418"/>
        <v>334361</v>
      </c>
      <c r="DO85" s="69">
        <f t="shared" si="418"/>
        <v>307368</v>
      </c>
      <c r="DP85" s="69">
        <f t="shared" si="418"/>
        <v>238216</v>
      </c>
      <c r="DQ85" s="69">
        <f t="shared" si="418"/>
        <v>176909</v>
      </c>
      <c r="DR85" s="69">
        <f t="shared" si="418"/>
        <v>171183</v>
      </c>
      <c r="DS85" s="69">
        <f t="shared" si="418"/>
        <v>199650</v>
      </c>
      <c r="DT85" s="69">
        <f t="shared" si="418"/>
        <v>164175</v>
      </c>
      <c r="DU85" s="69">
        <f t="shared" si="418"/>
        <v>168038</v>
      </c>
      <c r="DV85" s="359">
        <f t="shared" si="418"/>
        <v>194832</v>
      </c>
      <c r="DW85" s="359">
        <f t="shared" si="418"/>
        <v>216342</v>
      </c>
      <c r="DX85" s="359">
        <f t="shared" si="418"/>
        <v>270737</v>
      </c>
      <c r="DY85" s="359">
        <f t="shared" si="418"/>
        <v>300416</v>
      </c>
      <c r="DZ85" s="359">
        <f t="shared" ref="DZ85:EO86" si="419">SUM(DZ51,DZ61,DZ71,DZ78)</f>
        <v>306815</v>
      </c>
      <c r="EA85" s="359">
        <f t="shared" si="419"/>
        <v>304086</v>
      </c>
      <c r="EB85" s="359">
        <f t="shared" si="419"/>
        <v>233181</v>
      </c>
      <c r="EC85" s="359">
        <f t="shared" si="419"/>
        <v>191174</v>
      </c>
      <c r="ED85" s="359">
        <f t="shared" si="419"/>
        <v>172943</v>
      </c>
      <c r="EE85" s="359">
        <f t="shared" si="419"/>
        <v>219031</v>
      </c>
      <c r="EF85" s="359">
        <f t="shared" si="419"/>
        <v>161651</v>
      </c>
      <c r="EG85" s="359">
        <f t="shared" si="419"/>
        <v>143616</v>
      </c>
      <c r="EH85" s="359">
        <f t="shared" si="419"/>
        <v>162109</v>
      </c>
      <c r="EI85" s="359">
        <f t="shared" si="419"/>
        <v>168820</v>
      </c>
      <c r="EJ85" s="359">
        <f t="shared" si="419"/>
        <v>245335</v>
      </c>
      <c r="EK85" s="359">
        <f t="shared" si="419"/>
        <v>279652</v>
      </c>
      <c r="EL85" s="359">
        <f t="shared" si="419"/>
        <v>284074</v>
      </c>
      <c r="EM85" s="359">
        <f t="shared" si="419"/>
        <v>267540</v>
      </c>
      <c r="EN85" s="359">
        <f t="shared" si="419"/>
        <v>219185</v>
      </c>
      <c r="EO85" s="359">
        <f t="shared" si="419"/>
        <v>170612</v>
      </c>
      <c r="EP85" s="359">
        <f t="shared" ref="EP85:FF86" si="420">SUM(EP51,EP61,EP71,EP78)</f>
        <v>212755</v>
      </c>
      <c r="EQ85" s="359">
        <f t="shared" si="420"/>
        <v>229703</v>
      </c>
      <c r="ER85" s="359">
        <f t="shared" si="420"/>
        <v>209092</v>
      </c>
      <c r="ES85" s="359">
        <f t="shared" si="420"/>
        <v>165484</v>
      </c>
      <c r="ET85" s="359">
        <f t="shared" si="420"/>
        <v>146826</v>
      </c>
      <c r="EU85" s="359">
        <f t="shared" si="420"/>
        <v>173020</v>
      </c>
      <c r="EV85" s="359">
        <f t="shared" si="420"/>
        <v>228527</v>
      </c>
      <c r="EW85" s="359">
        <f t="shared" si="420"/>
        <v>268603</v>
      </c>
      <c r="EX85" s="359">
        <f t="shared" si="420"/>
        <v>277210</v>
      </c>
      <c r="EY85" s="359">
        <f t="shared" si="420"/>
        <v>271088</v>
      </c>
      <c r="EZ85" s="359">
        <f t="shared" si="420"/>
        <v>208336</v>
      </c>
      <c r="FA85" s="359">
        <f t="shared" si="420"/>
        <v>165985</v>
      </c>
      <c r="FB85" s="359">
        <f t="shared" si="420"/>
        <v>164334</v>
      </c>
      <c r="FC85" s="359">
        <f t="shared" si="420"/>
        <v>231045</v>
      </c>
      <c r="FD85" s="359">
        <f t="shared" si="420"/>
        <v>181128</v>
      </c>
      <c r="FE85" s="359">
        <f t="shared" si="420"/>
        <v>172956</v>
      </c>
      <c r="FF85" s="359">
        <f t="shared" si="420"/>
        <v>142857</v>
      </c>
      <c r="FG85" s="359">
        <f>SUM(FG51,FG61,FG71,FG78)</f>
        <v>160810</v>
      </c>
      <c r="FH85" s="359">
        <f>SUM(FH51,FH61,FH71,FH78)</f>
        <v>208524</v>
      </c>
      <c r="FI85" s="359">
        <f t="shared" ref="FI85:FK85" si="421">SUM(FI51,FI61,FI71,FI78)</f>
        <v>237210</v>
      </c>
      <c r="FJ85" s="359">
        <f t="shared" si="421"/>
        <v>255784</v>
      </c>
      <c r="FK85" s="359">
        <f t="shared" si="421"/>
        <v>240600</v>
      </c>
      <c r="FL85" s="359">
        <f t="shared" ref="FL85:FT85" si="422">SUM(FL51,FL61,FL71,FL78)</f>
        <v>195241</v>
      </c>
      <c r="FM85" s="359">
        <f t="shared" si="422"/>
        <v>149615</v>
      </c>
      <c r="FN85" s="359">
        <f t="shared" si="422"/>
        <v>144973</v>
      </c>
      <c r="FO85" s="359">
        <f t="shared" si="422"/>
        <v>176719</v>
      </c>
      <c r="FP85" s="359">
        <f t="shared" si="422"/>
        <v>140374</v>
      </c>
      <c r="FQ85" s="359">
        <f t="shared" si="422"/>
        <v>119912</v>
      </c>
      <c r="FR85" s="359">
        <f t="shared" si="422"/>
        <v>128721</v>
      </c>
      <c r="FS85" s="359">
        <f t="shared" si="422"/>
        <v>154999</v>
      </c>
      <c r="FT85" s="359">
        <f t="shared" si="422"/>
        <v>195030</v>
      </c>
    </row>
    <row r="86" spans="2:176" s="68" customFormat="1" ht="13.8" thickBot="1" x14ac:dyDescent="0.3">
      <c r="B86" s="90" t="s">
        <v>8</v>
      </c>
      <c r="C86" s="104">
        <f>SUM(C52,C62,C72,C79)</f>
        <v>71693.297999999981</v>
      </c>
      <c r="D86" s="92">
        <f t="shared" si="402"/>
        <v>279885.00799999997</v>
      </c>
      <c r="E86" s="92">
        <f t="shared" si="402"/>
        <v>544244.3409999999</v>
      </c>
      <c r="F86" s="92">
        <f t="shared" si="402"/>
        <v>444062.13400000002</v>
      </c>
      <c r="G86" s="92">
        <f t="shared" si="402"/>
        <v>520597.86900000001</v>
      </c>
      <c r="H86" s="92">
        <f t="shared" si="402"/>
        <v>598481.58299999987</v>
      </c>
      <c r="I86" s="92">
        <f t="shared" si="402"/>
        <v>998780.75799999991</v>
      </c>
      <c r="J86" s="92">
        <f t="shared" si="402"/>
        <v>340892.49400000001</v>
      </c>
      <c r="K86" s="72">
        <f t="shared" si="402"/>
        <v>837510.12900000007</v>
      </c>
      <c r="L86" s="92">
        <f t="shared" si="402"/>
        <v>700945.86100000003</v>
      </c>
      <c r="M86" s="92">
        <f t="shared" si="402"/>
        <v>650051.9439999999</v>
      </c>
      <c r="N86" s="92">
        <f t="shared" si="402"/>
        <v>449263.12900000007</v>
      </c>
      <c r="O86" s="72">
        <f t="shared" si="403"/>
        <v>634293</v>
      </c>
      <c r="P86" s="92">
        <f t="shared" si="403"/>
        <v>559016</v>
      </c>
      <c r="Q86" s="92">
        <f t="shared" si="403"/>
        <v>537199</v>
      </c>
      <c r="R86" s="92">
        <f t="shared" si="404"/>
        <v>560206</v>
      </c>
      <c r="S86" s="92">
        <f t="shared" si="404"/>
        <v>691625</v>
      </c>
      <c r="T86" s="92">
        <f t="shared" si="404"/>
        <v>738829</v>
      </c>
      <c r="U86" s="71">
        <f t="shared" ref="U86:W87" si="423">U79+U72+U62+U52</f>
        <v>797854</v>
      </c>
      <c r="V86" s="71">
        <f t="shared" si="423"/>
        <v>770392</v>
      </c>
      <c r="W86" s="71">
        <f t="shared" si="423"/>
        <v>794748</v>
      </c>
      <c r="X86" s="71">
        <f t="shared" ref="X86:Z87" si="424">X79+X72+X62+X52</f>
        <v>858654</v>
      </c>
      <c r="Y86" s="71">
        <f t="shared" si="424"/>
        <v>697358</v>
      </c>
      <c r="Z86" s="190">
        <f t="shared" si="424"/>
        <v>795604</v>
      </c>
      <c r="AA86" s="71">
        <f t="shared" si="406"/>
        <v>855143</v>
      </c>
      <c r="AB86" s="71">
        <f t="shared" si="406"/>
        <v>770622</v>
      </c>
      <c r="AC86" s="71">
        <f t="shared" si="406"/>
        <v>936575</v>
      </c>
      <c r="AD86" s="71">
        <f t="shared" si="407"/>
        <v>879306</v>
      </c>
      <c r="AE86" s="71">
        <f t="shared" si="407"/>
        <v>847438</v>
      </c>
      <c r="AF86" s="71">
        <f t="shared" si="407"/>
        <v>1224573</v>
      </c>
      <c r="AG86" s="71">
        <f t="shared" si="408"/>
        <v>1162580</v>
      </c>
      <c r="AH86" s="71">
        <f t="shared" si="408"/>
        <v>1210547</v>
      </c>
      <c r="AI86" s="71">
        <f t="shared" si="408"/>
        <v>1160029</v>
      </c>
      <c r="AJ86" s="71">
        <f t="shared" si="409"/>
        <v>1273948</v>
      </c>
      <c r="AK86" s="71">
        <f t="shared" si="409"/>
        <v>935565</v>
      </c>
      <c r="AL86" s="71">
        <f t="shared" si="409"/>
        <v>1101590</v>
      </c>
      <c r="AM86" s="201">
        <f t="shared" si="410"/>
        <v>996254</v>
      </c>
      <c r="AN86" s="71">
        <f t="shared" si="410"/>
        <v>879750</v>
      </c>
      <c r="AO86" s="71">
        <f t="shared" si="410"/>
        <v>1152117</v>
      </c>
      <c r="AP86" s="71">
        <f t="shared" si="411"/>
        <v>1010694</v>
      </c>
      <c r="AQ86" s="71">
        <f t="shared" si="411"/>
        <v>997100</v>
      </c>
      <c r="AR86" s="71">
        <f t="shared" si="411"/>
        <v>1300850</v>
      </c>
      <c r="AS86" s="71">
        <f t="shared" si="412"/>
        <v>1278225</v>
      </c>
      <c r="AT86" s="71">
        <f t="shared" si="412"/>
        <v>1491081</v>
      </c>
      <c r="AU86" s="71">
        <f t="shared" si="412"/>
        <v>1430653</v>
      </c>
      <c r="AV86" s="71">
        <f t="shared" si="413"/>
        <v>1343335</v>
      </c>
      <c r="AW86" s="71">
        <f t="shared" si="413"/>
        <v>1151572</v>
      </c>
      <c r="AX86" s="71">
        <f t="shared" si="413"/>
        <v>1138983</v>
      </c>
      <c r="AY86" s="201">
        <f t="shared" si="413"/>
        <v>1103765</v>
      </c>
      <c r="AZ86" s="71">
        <f t="shared" si="413"/>
        <v>945310</v>
      </c>
      <c r="BA86" s="71">
        <f t="shared" si="413"/>
        <v>1326734</v>
      </c>
      <c r="BB86" s="71">
        <f t="shared" si="413"/>
        <v>1030374</v>
      </c>
      <c r="BC86" s="71">
        <f t="shared" si="413"/>
        <v>1323103</v>
      </c>
      <c r="BD86" s="71">
        <f t="shared" si="413"/>
        <v>1546825</v>
      </c>
      <c r="BE86" s="71">
        <f t="shared" si="413"/>
        <v>1402856</v>
      </c>
      <c r="BF86" s="71">
        <f t="shared" si="413"/>
        <v>1528455</v>
      </c>
      <c r="BG86" s="71">
        <f t="shared" si="413"/>
        <v>1457395</v>
      </c>
      <c r="BH86" s="71">
        <f t="shared" si="414"/>
        <v>1644667</v>
      </c>
      <c r="BI86" s="71">
        <f t="shared" si="414"/>
        <v>1342807</v>
      </c>
      <c r="BJ86" s="190">
        <f t="shared" si="414"/>
        <v>1265560</v>
      </c>
      <c r="BK86" s="71">
        <f t="shared" si="414"/>
        <v>1335896</v>
      </c>
      <c r="BL86" s="71">
        <f t="shared" si="414"/>
        <v>1092153</v>
      </c>
      <c r="BM86" s="71">
        <f t="shared" si="414"/>
        <v>1189005</v>
      </c>
      <c r="BN86" s="71">
        <f t="shared" si="414"/>
        <v>1099511</v>
      </c>
      <c r="BO86" s="71">
        <f t="shared" si="414"/>
        <v>1409864</v>
      </c>
      <c r="BP86" s="71">
        <f t="shared" si="414"/>
        <v>1636950</v>
      </c>
      <c r="BQ86" s="71">
        <f t="shared" si="414"/>
        <v>1587660</v>
      </c>
      <c r="BR86" s="71">
        <f t="shared" si="414"/>
        <v>1623708</v>
      </c>
      <c r="BS86" s="71">
        <f t="shared" si="414"/>
        <v>1446196</v>
      </c>
      <c r="BT86" s="71">
        <f t="shared" si="415"/>
        <v>1464210</v>
      </c>
      <c r="BU86" s="71">
        <f t="shared" si="415"/>
        <v>1376995</v>
      </c>
      <c r="BV86" s="190">
        <f t="shared" si="415"/>
        <v>1332879</v>
      </c>
      <c r="BW86" s="71">
        <f t="shared" si="415"/>
        <v>1333708</v>
      </c>
      <c r="BX86" s="71">
        <f t="shared" si="415"/>
        <v>1233682</v>
      </c>
      <c r="BY86" s="71">
        <f t="shared" si="415"/>
        <v>1225451</v>
      </c>
      <c r="BZ86" s="71">
        <f t="shared" si="415"/>
        <v>1338969</v>
      </c>
      <c r="CA86" s="71">
        <f t="shared" si="415"/>
        <v>1431578</v>
      </c>
      <c r="CB86" s="71">
        <f t="shared" si="415"/>
        <v>1706214</v>
      </c>
      <c r="CC86" s="71">
        <f t="shared" si="416"/>
        <v>1727663</v>
      </c>
      <c r="CD86" s="71">
        <f t="shared" si="416"/>
        <v>2184590</v>
      </c>
      <c r="CE86" s="71">
        <f t="shared" si="416"/>
        <v>1719704</v>
      </c>
      <c r="CF86" s="71">
        <f t="shared" si="416"/>
        <v>1539940.64</v>
      </c>
      <c r="CG86" s="71">
        <f t="shared" si="416"/>
        <v>1428613.32</v>
      </c>
      <c r="CH86" s="190">
        <f t="shared" si="416"/>
        <v>1293435.8999999999</v>
      </c>
      <c r="CI86" s="72">
        <f t="shared" si="417"/>
        <v>1563918</v>
      </c>
      <c r="CJ86" s="92">
        <f t="shared" si="417"/>
        <v>1297632</v>
      </c>
      <c r="CK86" s="92">
        <f t="shared" si="417"/>
        <v>1251728</v>
      </c>
      <c r="CL86" s="92">
        <f t="shared" ref="CL86:DU86" si="425">SUM(CL52,CL62,CL72,CL79)</f>
        <v>1342144</v>
      </c>
      <c r="CM86" s="92">
        <f t="shared" si="425"/>
        <v>1472137</v>
      </c>
      <c r="CN86" s="92">
        <f t="shared" si="425"/>
        <v>1710796</v>
      </c>
      <c r="CO86" s="92">
        <f t="shared" si="425"/>
        <v>2015758</v>
      </c>
      <c r="CP86" s="92">
        <f t="shared" si="425"/>
        <v>2007695</v>
      </c>
      <c r="CQ86" s="92">
        <f t="shared" si="425"/>
        <v>1859722</v>
      </c>
      <c r="CR86" s="92">
        <f t="shared" si="425"/>
        <v>1603680</v>
      </c>
      <c r="CS86" s="92">
        <f t="shared" si="425"/>
        <v>1548291</v>
      </c>
      <c r="CT86" s="93">
        <f t="shared" si="425"/>
        <v>1598366</v>
      </c>
      <c r="CU86" s="92">
        <f t="shared" si="425"/>
        <v>1456961</v>
      </c>
      <c r="CV86" s="92">
        <f t="shared" si="425"/>
        <v>1450855</v>
      </c>
      <c r="CW86" s="92">
        <f t="shared" si="425"/>
        <v>1332049</v>
      </c>
      <c r="CX86" s="92">
        <f t="shared" si="425"/>
        <v>1408221</v>
      </c>
      <c r="CY86" s="92">
        <f t="shared" si="425"/>
        <v>1557753</v>
      </c>
      <c r="CZ86" s="92">
        <f t="shared" si="425"/>
        <v>1831363</v>
      </c>
      <c r="DA86" s="92">
        <f t="shared" si="425"/>
        <v>1901601</v>
      </c>
      <c r="DB86" s="92">
        <f t="shared" si="425"/>
        <v>1848588</v>
      </c>
      <c r="DC86" s="92">
        <f t="shared" si="425"/>
        <v>1989048</v>
      </c>
      <c r="DD86" s="92">
        <f t="shared" si="425"/>
        <v>1591194</v>
      </c>
      <c r="DE86" s="92">
        <f t="shared" si="425"/>
        <v>1445472</v>
      </c>
      <c r="DF86" s="93">
        <f t="shared" si="425"/>
        <v>1423173</v>
      </c>
      <c r="DG86" s="318">
        <f t="shared" si="425"/>
        <v>1208284</v>
      </c>
      <c r="DH86" s="92">
        <f t="shared" si="425"/>
        <v>1582127</v>
      </c>
      <c r="DI86" s="318">
        <f t="shared" si="425"/>
        <v>1230375</v>
      </c>
      <c r="DJ86" s="318">
        <f t="shared" si="425"/>
        <v>1269727</v>
      </c>
      <c r="DK86" s="318">
        <f t="shared" si="425"/>
        <v>1420820</v>
      </c>
      <c r="DL86" s="318">
        <f t="shared" si="425"/>
        <v>1769949</v>
      </c>
      <c r="DM86" s="318">
        <f t="shared" si="425"/>
        <v>1700566</v>
      </c>
      <c r="DN86" s="318">
        <f t="shared" si="425"/>
        <v>1829664</v>
      </c>
      <c r="DO86" s="318">
        <f t="shared" si="425"/>
        <v>1777204</v>
      </c>
      <c r="DP86" s="318">
        <f t="shared" si="425"/>
        <v>1496789</v>
      </c>
      <c r="DQ86" s="318">
        <f t="shared" si="425"/>
        <v>1274590</v>
      </c>
      <c r="DR86" s="318">
        <f t="shared" si="425"/>
        <v>1107307</v>
      </c>
      <c r="DS86" s="318">
        <f t="shared" si="425"/>
        <v>1268980</v>
      </c>
      <c r="DT86" s="318">
        <f t="shared" si="425"/>
        <v>1410514</v>
      </c>
      <c r="DU86" s="318">
        <f t="shared" si="425"/>
        <v>1454267</v>
      </c>
      <c r="DV86" s="365">
        <f t="shared" si="418"/>
        <v>1741020</v>
      </c>
      <c r="DW86" s="365">
        <f t="shared" si="418"/>
        <v>1709685</v>
      </c>
      <c r="DX86" s="365">
        <f t="shared" si="418"/>
        <v>1959060</v>
      </c>
      <c r="DY86" s="365">
        <f t="shared" si="418"/>
        <v>2059274</v>
      </c>
      <c r="DZ86" s="365">
        <f t="shared" si="419"/>
        <v>2066941</v>
      </c>
      <c r="EA86" s="365">
        <f t="shared" si="419"/>
        <v>2094534</v>
      </c>
      <c r="EB86" s="365">
        <f t="shared" si="419"/>
        <v>1833903</v>
      </c>
      <c r="EC86" s="365">
        <f t="shared" si="419"/>
        <v>1654606</v>
      </c>
      <c r="ED86" s="365">
        <f t="shared" si="419"/>
        <v>1610527</v>
      </c>
      <c r="EE86" s="365">
        <f t="shared" si="419"/>
        <v>1693135</v>
      </c>
      <c r="EF86" s="365">
        <f t="shared" si="419"/>
        <v>1480472</v>
      </c>
      <c r="EG86" s="365">
        <f t="shared" si="419"/>
        <v>1397468</v>
      </c>
      <c r="EH86" s="365">
        <f t="shared" si="419"/>
        <v>1590587</v>
      </c>
      <c r="EI86" s="365">
        <f t="shared" si="419"/>
        <v>1663148</v>
      </c>
      <c r="EJ86" s="365">
        <f t="shared" si="419"/>
        <v>1969526</v>
      </c>
      <c r="EK86" s="365">
        <f t="shared" si="419"/>
        <v>2067929</v>
      </c>
      <c r="EL86" s="365">
        <f t="shared" si="419"/>
        <v>2092917</v>
      </c>
      <c r="EM86" s="365">
        <f t="shared" si="419"/>
        <v>2079691</v>
      </c>
      <c r="EN86" s="365">
        <f t="shared" si="419"/>
        <v>1849074</v>
      </c>
      <c r="EO86" s="365">
        <f t="shared" si="419"/>
        <v>1696072</v>
      </c>
      <c r="EP86" s="365">
        <f t="shared" si="420"/>
        <v>1758199</v>
      </c>
      <c r="EQ86" s="365">
        <f t="shared" si="420"/>
        <v>1722278</v>
      </c>
      <c r="ER86" s="365">
        <f t="shared" si="420"/>
        <v>1627395</v>
      </c>
      <c r="ES86" s="365">
        <f t="shared" si="420"/>
        <v>1508715</v>
      </c>
      <c r="ET86" s="365">
        <f t="shared" si="420"/>
        <v>1575869</v>
      </c>
      <c r="EU86" s="365">
        <f t="shared" si="420"/>
        <v>1775398</v>
      </c>
      <c r="EV86" s="365">
        <f t="shared" si="420"/>
        <v>2006067</v>
      </c>
      <c r="EW86" s="365">
        <f t="shared" si="420"/>
        <v>2150811</v>
      </c>
      <c r="EX86" s="365">
        <f t="shared" si="420"/>
        <v>2187077</v>
      </c>
      <c r="EY86" s="365">
        <f t="shared" si="420"/>
        <v>2248388</v>
      </c>
      <c r="EZ86" s="365">
        <f t="shared" si="420"/>
        <v>1989122</v>
      </c>
      <c r="FA86" s="365">
        <f t="shared" si="420"/>
        <v>1670959</v>
      </c>
      <c r="FB86" s="365">
        <f t="shared" si="420"/>
        <v>1843601</v>
      </c>
      <c r="FC86" s="365">
        <f t="shared" si="420"/>
        <v>1880346</v>
      </c>
      <c r="FD86" s="365">
        <f t="shared" si="420"/>
        <v>1682054</v>
      </c>
      <c r="FE86" s="365">
        <f t="shared" si="420"/>
        <v>1644573</v>
      </c>
      <c r="FF86" s="365">
        <f t="shared" si="420"/>
        <v>1668953</v>
      </c>
      <c r="FG86" s="365">
        <f>SUM(FG52,FG62,FG72,FG79)</f>
        <v>1723492</v>
      </c>
      <c r="FH86" s="365">
        <f>SUM(FH52,FH62,FH72,FH79)</f>
        <v>2034264</v>
      </c>
      <c r="FI86" s="365">
        <f t="shared" ref="FI86:FK86" si="426">SUM(FI52,FI62,FI72,FI79)</f>
        <v>2149805</v>
      </c>
      <c r="FJ86" s="365">
        <f t="shared" si="426"/>
        <v>2254124</v>
      </c>
      <c r="FK86" s="365">
        <f t="shared" si="426"/>
        <v>2233060</v>
      </c>
      <c r="FL86" s="365">
        <f t="shared" ref="FL86:FT86" si="427">SUM(FL52,FL62,FL72,FL79)</f>
        <v>2013807</v>
      </c>
      <c r="FM86" s="365">
        <f t="shared" si="427"/>
        <v>1784952</v>
      </c>
      <c r="FN86" s="365">
        <f t="shared" si="427"/>
        <v>1709637</v>
      </c>
      <c r="FO86" s="365">
        <f t="shared" si="427"/>
        <v>1915308</v>
      </c>
      <c r="FP86" s="365">
        <f t="shared" si="427"/>
        <v>1660473</v>
      </c>
      <c r="FQ86" s="365">
        <f t="shared" si="427"/>
        <v>1589493</v>
      </c>
      <c r="FR86" s="365">
        <f t="shared" si="427"/>
        <v>1686071</v>
      </c>
      <c r="FS86" s="365">
        <f t="shared" si="427"/>
        <v>1820362</v>
      </c>
      <c r="FT86" s="365">
        <f t="shared" si="427"/>
        <v>2055383</v>
      </c>
    </row>
    <row r="87" spans="2:176" s="68" customFormat="1" ht="13.8" thickTop="1" x14ac:dyDescent="0.25">
      <c r="B87" s="87" t="s">
        <v>9</v>
      </c>
      <c r="C87" s="105">
        <f t="shared" ref="C87:Q87" si="428">SUM(C85:C86)</f>
        <v>979811.321</v>
      </c>
      <c r="D87" s="94">
        <f t="shared" si="428"/>
        <v>1217069.1850000001</v>
      </c>
      <c r="E87" s="94">
        <f t="shared" si="428"/>
        <v>1656921.8139999998</v>
      </c>
      <c r="F87" s="94">
        <f t="shared" si="428"/>
        <v>1541999.3929999999</v>
      </c>
      <c r="G87" s="94">
        <f t="shared" si="428"/>
        <v>1800699.1800000002</v>
      </c>
      <c r="H87" s="94">
        <f t="shared" si="428"/>
        <v>1817593.0379999999</v>
      </c>
      <c r="I87" s="94">
        <f t="shared" si="428"/>
        <v>2345750.5970000001</v>
      </c>
      <c r="J87" s="94">
        <f t="shared" si="428"/>
        <v>1732514.9549999998</v>
      </c>
      <c r="K87" s="106">
        <f t="shared" si="428"/>
        <v>2198224.4130000002</v>
      </c>
      <c r="L87" s="94">
        <f t="shared" si="428"/>
        <v>1819750.0860000001</v>
      </c>
      <c r="M87" s="94">
        <f t="shared" si="428"/>
        <v>1499025.9729999998</v>
      </c>
      <c r="N87" s="107">
        <f t="shared" si="428"/>
        <v>1316296.4879999999</v>
      </c>
      <c r="O87" s="106">
        <f t="shared" si="428"/>
        <v>1626160</v>
      </c>
      <c r="P87" s="94">
        <f t="shared" si="428"/>
        <v>1437126</v>
      </c>
      <c r="Q87" s="94">
        <f t="shared" si="428"/>
        <v>1391850</v>
      </c>
      <c r="R87" s="94">
        <f>SUM(R85:R86)</f>
        <v>1414344</v>
      </c>
      <c r="S87" s="94">
        <f>SUM(S85:S86)</f>
        <v>1756746</v>
      </c>
      <c r="T87" s="94">
        <f>SUM(T85:T86)</f>
        <v>1973095</v>
      </c>
      <c r="U87" s="198">
        <f t="shared" si="423"/>
        <v>2109795</v>
      </c>
      <c r="V87" s="198">
        <f t="shared" si="423"/>
        <v>1995057</v>
      </c>
      <c r="W87" s="198">
        <f t="shared" si="423"/>
        <v>1956526</v>
      </c>
      <c r="X87" s="198">
        <f t="shared" si="424"/>
        <v>1827062</v>
      </c>
      <c r="Y87" s="198">
        <f t="shared" si="424"/>
        <v>1384309</v>
      </c>
      <c r="Z87" s="200">
        <f t="shared" si="424"/>
        <v>1464337</v>
      </c>
      <c r="AA87" s="198">
        <f t="shared" si="406"/>
        <v>1713568</v>
      </c>
      <c r="AB87" s="198">
        <f t="shared" si="406"/>
        <v>1373230</v>
      </c>
      <c r="AC87" s="198">
        <f t="shared" si="406"/>
        <v>1573964</v>
      </c>
      <c r="AD87" s="198">
        <f t="shared" si="407"/>
        <v>1493026</v>
      </c>
      <c r="AE87" s="198">
        <f t="shared" si="407"/>
        <v>1434267</v>
      </c>
      <c r="AF87" s="198">
        <f t="shared" si="407"/>
        <v>2113013</v>
      </c>
      <c r="AG87" s="198">
        <f t="shared" si="408"/>
        <v>2103874</v>
      </c>
      <c r="AH87" s="198">
        <f t="shared" si="408"/>
        <v>2158514</v>
      </c>
      <c r="AI87" s="198">
        <f t="shared" si="408"/>
        <v>2009811</v>
      </c>
      <c r="AJ87" s="198">
        <f t="shared" si="409"/>
        <v>1987944</v>
      </c>
      <c r="AK87" s="198">
        <f t="shared" si="409"/>
        <v>1526377</v>
      </c>
      <c r="AL87" s="198">
        <f t="shared" si="409"/>
        <v>1620855</v>
      </c>
      <c r="AM87" s="202">
        <f t="shared" si="410"/>
        <v>1659060</v>
      </c>
      <c r="AN87" s="198">
        <f t="shared" si="410"/>
        <v>1348340</v>
      </c>
      <c r="AO87" s="198">
        <f t="shared" si="410"/>
        <v>1617406</v>
      </c>
      <c r="AP87" s="198">
        <f t="shared" si="411"/>
        <v>1483619</v>
      </c>
      <c r="AQ87" s="198">
        <f t="shared" si="411"/>
        <v>1503039</v>
      </c>
      <c r="AR87" s="198">
        <f t="shared" si="411"/>
        <v>2044074</v>
      </c>
      <c r="AS87" s="198">
        <f t="shared" si="412"/>
        <v>2075958</v>
      </c>
      <c r="AT87" s="198">
        <f t="shared" si="412"/>
        <v>2359396</v>
      </c>
      <c r="AU87" s="198">
        <f t="shared" si="412"/>
        <v>2242323</v>
      </c>
      <c r="AV87" s="198">
        <f t="shared" si="413"/>
        <v>2003935</v>
      </c>
      <c r="AW87" s="198">
        <f t="shared" si="413"/>
        <v>1597489</v>
      </c>
      <c r="AX87" s="198">
        <f t="shared" si="413"/>
        <v>1626929</v>
      </c>
      <c r="AY87" s="202">
        <f t="shared" si="413"/>
        <v>1616479</v>
      </c>
      <c r="AZ87" s="198">
        <f t="shared" si="413"/>
        <v>1343937</v>
      </c>
      <c r="BA87" s="198">
        <f t="shared" si="413"/>
        <v>1808039</v>
      </c>
      <c r="BB87" s="198">
        <f t="shared" si="413"/>
        <v>1458871</v>
      </c>
      <c r="BC87" s="198">
        <f t="shared" si="413"/>
        <v>1919624</v>
      </c>
      <c r="BD87" s="198">
        <f t="shared" si="413"/>
        <v>2221031</v>
      </c>
      <c r="BE87" s="198">
        <f t="shared" si="413"/>
        <v>2061868</v>
      </c>
      <c r="BF87" s="198">
        <f t="shared" si="413"/>
        <v>2265208</v>
      </c>
      <c r="BG87" s="198">
        <f t="shared" si="413"/>
        <v>2093182</v>
      </c>
      <c r="BH87" s="198">
        <f t="shared" si="414"/>
        <v>2187828</v>
      </c>
      <c r="BI87" s="198">
        <f t="shared" si="414"/>
        <v>1721752</v>
      </c>
      <c r="BJ87" s="200">
        <f t="shared" si="414"/>
        <v>1650292</v>
      </c>
      <c r="BK87" s="198">
        <f t="shared" si="414"/>
        <v>1831845</v>
      </c>
      <c r="BL87" s="198">
        <f t="shared" si="414"/>
        <v>1553483</v>
      </c>
      <c r="BM87" s="198">
        <f t="shared" si="414"/>
        <v>1574361</v>
      </c>
      <c r="BN87" s="198">
        <f t="shared" si="414"/>
        <v>1447567</v>
      </c>
      <c r="BO87" s="198">
        <f t="shared" si="414"/>
        <v>1858923</v>
      </c>
      <c r="BP87" s="198">
        <f t="shared" si="414"/>
        <v>2152522</v>
      </c>
      <c r="BQ87" s="198">
        <f t="shared" si="414"/>
        <v>2154769</v>
      </c>
      <c r="BR87" s="198">
        <f t="shared" si="414"/>
        <v>2222729</v>
      </c>
      <c r="BS87" s="198">
        <f t="shared" si="414"/>
        <v>1935368</v>
      </c>
      <c r="BT87" s="198">
        <f t="shared" si="415"/>
        <v>1950012</v>
      </c>
      <c r="BU87" s="198">
        <f t="shared" si="415"/>
        <v>1742247</v>
      </c>
      <c r="BV87" s="200">
        <f t="shared" si="415"/>
        <v>1705316</v>
      </c>
      <c r="BW87" s="198">
        <f t="shared" si="415"/>
        <v>1736066</v>
      </c>
      <c r="BX87" s="198">
        <f t="shared" si="415"/>
        <v>1586148</v>
      </c>
      <c r="BY87" s="198">
        <f t="shared" si="415"/>
        <v>1525752</v>
      </c>
      <c r="BZ87" s="198">
        <f t="shared" si="415"/>
        <v>1667480</v>
      </c>
      <c r="CA87" s="198">
        <f t="shared" si="415"/>
        <v>1791884</v>
      </c>
      <c r="CB87" s="198">
        <f t="shared" si="415"/>
        <v>2193335</v>
      </c>
      <c r="CC87" s="198">
        <f t="shared" si="416"/>
        <v>2217450</v>
      </c>
      <c r="CD87" s="198">
        <f t="shared" si="416"/>
        <v>2648802</v>
      </c>
      <c r="CE87" s="198">
        <f t="shared" si="416"/>
        <v>2161483</v>
      </c>
      <c r="CF87" s="198">
        <f t="shared" si="416"/>
        <v>1884191.64</v>
      </c>
      <c r="CG87" s="198">
        <f t="shared" si="416"/>
        <v>1694699.32</v>
      </c>
      <c r="CH87" s="200">
        <f t="shared" si="416"/>
        <v>1570367.9</v>
      </c>
      <c r="CI87" s="106">
        <f t="shared" ref="CI87:DK87" si="429">SUM(CI85:CI86)</f>
        <v>1878435</v>
      </c>
      <c r="CJ87" s="94">
        <f t="shared" si="429"/>
        <v>1538393</v>
      </c>
      <c r="CK87" s="94">
        <f t="shared" si="429"/>
        <v>1479482</v>
      </c>
      <c r="CL87" s="94">
        <f t="shared" si="429"/>
        <v>1582382</v>
      </c>
      <c r="CM87" s="94">
        <f t="shared" si="429"/>
        <v>1769574</v>
      </c>
      <c r="CN87" s="94">
        <f t="shared" si="429"/>
        <v>2059938</v>
      </c>
      <c r="CO87" s="94">
        <f t="shared" si="429"/>
        <v>2437288</v>
      </c>
      <c r="CP87" s="94">
        <f t="shared" si="429"/>
        <v>2427984</v>
      </c>
      <c r="CQ87" s="94">
        <f t="shared" si="429"/>
        <v>2233279</v>
      </c>
      <c r="CR87" s="94">
        <f t="shared" si="429"/>
        <v>1897954</v>
      </c>
      <c r="CS87" s="94">
        <f t="shared" si="429"/>
        <v>1762989</v>
      </c>
      <c r="CT87" s="96">
        <f t="shared" si="429"/>
        <v>1834789</v>
      </c>
      <c r="CU87" s="94">
        <f t="shared" si="429"/>
        <v>1751560</v>
      </c>
      <c r="CV87" s="94">
        <f t="shared" si="429"/>
        <v>1688802</v>
      </c>
      <c r="CW87" s="94">
        <f t="shared" si="429"/>
        <v>1545622</v>
      </c>
      <c r="CX87" s="94">
        <f t="shared" si="429"/>
        <v>1592263</v>
      </c>
      <c r="CY87" s="94">
        <f t="shared" si="429"/>
        <v>1776971</v>
      </c>
      <c r="CZ87" s="94">
        <f t="shared" si="429"/>
        <v>2129582</v>
      </c>
      <c r="DA87" s="94">
        <f t="shared" si="429"/>
        <v>2235452</v>
      </c>
      <c r="DB87" s="94">
        <f t="shared" si="429"/>
        <v>2159729</v>
      </c>
      <c r="DC87" s="94">
        <f t="shared" si="429"/>
        <v>2316291</v>
      </c>
      <c r="DD87" s="94">
        <f t="shared" si="429"/>
        <v>1821784</v>
      </c>
      <c r="DE87" s="94">
        <f t="shared" si="429"/>
        <v>1630969</v>
      </c>
      <c r="DF87" s="96">
        <f t="shared" si="429"/>
        <v>1618181</v>
      </c>
      <c r="DG87" s="94">
        <f t="shared" si="429"/>
        <v>1412549</v>
      </c>
      <c r="DH87" s="94">
        <f t="shared" si="429"/>
        <v>1827693</v>
      </c>
      <c r="DI87" s="319">
        <f t="shared" si="429"/>
        <v>1408733</v>
      </c>
      <c r="DJ87" s="319">
        <f t="shared" si="429"/>
        <v>1456614</v>
      </c>
      <c r="DK87" s="319">
        <f t="shared" si="429"/>
        <v>1635765</v>
      </c>
      <c r="DL87" s="319">
        <f t="shared" ref="DL87:FK87" si="430">SUM(DL85:DL86)</f>
        <v>2067162</v>
      </c>
      <c r="DM87" s="319">
        <f t="shared" si="430"/>
        <v>2009935</v>
      </c>
      <c r="DN87" s="319">
        <f t="shared" si="430"/>
        <v>2164025</v>
      </c>
      <c r="DO87" s="319">
        <f t="shared" si="430"/>
        <v>2084572</v>
      </c>
      <c r="DP87" s="319">
        <f t="shared" si="430"/>
        <v>1735005</v>
      </c>
      <c r="DQ87" s="319">
        <f t="shared" si="430"/>
        <v>1451499</v>
      </c>
      <c r="DR87" s="319">
        <f t="shared" si="430"/>
        <v>1278490</v>
      </c>
      <c r="DS87" s="319">
        <f t="shared" si="430"/>
        <v>1468630</v>
      </c>
      <c r="DT87" s="319">
        <f t="shared" si="430"/>
        <v>1574689</v>
      </c>
      <c r="DU87" s="319">
        <f t="shared" si="430"/>
        <v>1622305</v>
      </c>
      <c r="DV87" s="366">
        <f t="shared" si="430"/>
        <v>1935852</v>
      </c>
      <c r="DW87" s="366">
        <f t="shared" si="430"/>
        <v>1926027</v>
      </c>
      <c r="DX87" s="366">
        <f t="shared" si="430"/>
        <v>2229797</v>
      </c>
      <c r="DY87" s="366">
        <f t="shared" si="430"/>
        <v>2359690</v>
      </c>
      <c r="DZ87" s="366">
        <f t="shared" si="430"/>
        <v>2373756</v>
      </c>
      <c r="EA87" s="366">
        <f t="shared" si="430"/>
        <v>2398620</v>
      </c>
      <c r="EB87" s="366">
        <f t="shared" si="430"/>
        <v>2067084</v>
      </c>
      <c r="EC87" s="366">
        <f t="shared" si="430"/>
        <v>1845780</v>
      </c>
      <c r="ED87" s="366">
        <f t="shared" si="430"/>
        <v>1783470</v>
      </c>
      <c r="EE87" s="366">
        <f t="shared" si="430"/>
        <v>1912166</v>
      </c>
      <c r="EF87" s="366">
        <f t="shared" si="430"/>
        <v>1642123</v>
      </c>
      <c r="EG87" s="366">
        <f t="shared" si="430"/>
        <v>1541084</v>
      </c>
      <c r="EH87" s="366">
        <f t="shared" si="430"/>
        <v>1752696</v>
      </c>
      <c r="EI87" s="366">
        <f t="shared" si="430"/>
        <v>1831968</v>
      </c>
      <c r="EJ87" s="366">
        <f t="shared" si="430"/>
        <v>2214861</v>
      </c>
      <c r="EK87" s="366">
        <f t="shared" si="430"/>
        <v>2347581</v>
      </c>
      <c r="EL87" s="366">
        <f t="shared" si="430"/>
        <v>2376991</v>
      </c>
      <c r="EM87" s="366">
        <f t="shared" si="430"/>
        <v>2347231</v>
      </c>
      <c r="EN87" s="366">
        <f t="shared" si="430"/>
        <v>2068259</v>
      </c>
      <c r="EO87" s="366">
        <f t="shared" si="430"/>
        <v>1866684</v>
      </c>
      <c r="EP87" s="366">
        <f t="shared" si="430"/>
        <v>1970954</v>
      </c>
      <c r="EQ87" s="366">
        <f t="shared" si="430"/>
        <v>1951981</v>
      </c>
      <c r="ER87" s="366">
        <f t="shared" si="430"/>
        <v>1836487</v>
      </c>
      <c r="ES87" s="366">
        <f t="shared" si="430"/>
        <v>1674199</v>
      </c>
      <c r="ET87" s="366">
        <f t="shared" si="430"/>
        <v>1722695</v>
      </c>
      <c r="EU87" s="366">
        <f t="shared" si="430"/>
        <v>1948418</v>
      </c>
      <c r="EV87" s="366">
        <f t="shared" si="430"/>
        <v>2234594</v>
      </c>
      <c r="EW87" s="366">
        <f t="shared" si="430"/>
        <v>2419414</v>
      </c>
      <c r="EX87" s="366">
        <f t="shared" si="430"/>
        <v>2464287</v>
      </c>
      <c r="EY87" s="366">
        <f t="shared" si="430"/>
        <v>2519476</v>
      </c>
      <c r="EZ87" s="366">
        <f t="shared" si="430"/>
        <v>2197458</v>
      </c>
      <c r="FA87" s="366">
        <f t="shared" si="430"/>
        <v>1836944</v>
      </c>
      <c r="FB87" s="366">
        <f t="shared" si="430"/>
        <v>2007935</v>
      </c>
      <c r="FC87" s="366">
        <f t="shared" si="430"/>
        <v>2111391</v>
      </c>
      <c r="FD87" s="366">
        <f t="shared" si="430"/>
        <v>1863182</v>
      </c>
      <c r="FE87" s="366">
        <f t="shared" si="430"/>
        <v>1817529</v>
      </c>
      <c r="FF87" s="366">
        <f t="shared" si="430"/>
        <v>1811810</v>
      </c>
      <c r="FG87" s="366">
        <f t="shared" si="430"/>
        <v>1884302</v>
      </c>
      <c r="FH87" s="366">
        <f t="shared" si="430"/>
        <v>2242788</v>
      </c>
      <c r="FI87" s="366">
        <f t="shared" si="430"/>
        <v>2387015</v>
      </c>
      <c r="FJ87" s="366">
        <f t="shared" si="430"/>
        <v>2509908</v>
      </c>
      <c r="FK87" s="366">
        <f t="shared" si="430"/>
        <v>2473660</v>
      </c>
      <c r="FL87" s="366">
        <f t="shared" ref="FL87:FT87" si="431">SUM(FL85:FL86)</f>
        <v>2209048</v>
      </c>
      <c r="FM87" s="366">
        <f t="shared" si="431"/>
        <v>1934567</v>
      </c>
      <c r="FN87" s="366">
        <f t="shared" si="431"/>
        <v>1854610</v>
      </c>
      <c r="FO87" s="366">
        <f t="shared" si="431"/>
        <v>2092027</v>
      </c>
      <c r="FP87" s="366">
        <f t="shared" si="431"/>
        <v>1800847</v>
      </c>
      <c r="FQ87" s="366">
        <f t="shared" si="431"/>
        <v>1709405</v>
      </c>
      <c r="FR87" s="366">
        <f t="shared" si="431"/>
        <v>1814792</v>
      </c>
      <c r="FS87" s="366">
        <f t="shared" si="431"/>
        <v>1975361</v>
      </c>
      <c r="FT87" s="366">
        <f t="shared" si="431"/>
        <v>2250413</v>
      </c>
    </row>
    <row r="88" spans="2:176" x14ac:dyDescent="0.25">
      <c r="B88" s="3" t="s">
        <v>10</v>
      </c>
      <c r="C88" s="26">
        <f t="shared" ref="C88:Q88" si="432">SUM(C85)/C87</f>
        <v>0.92682948598018911</v>
      </c>
      <c r="D88" s="14">
        <f t="shared" si="432"/>
        <v>0.77003360905896234</v>
      </c>
      <c r="E88" s="14">
        <f t="shared" si="432"/>
        <v>0.67153287716930266</v>
      </c>
      <c r="F88" s="14">
        <f t="shared" si="432"/>
        <v>0.71202184902546195</v>
      </c>
      <c r="G88" s="14">
        <f t="shared" si="432"/>
        <v>0.71089126113779877</v>
      </c>
      <c r="H88" s="14">
        <f t="shared" si="432"/>
        <v>0.67072850165703601</v>
      </c>
      <c r="I88" s="14">
        <f t="shared" si="432"/>
        <v>0.5742169865469291</v>
      </c>
      <c r="J88" s="14">
        <f t="shared" si="432"/>
        <v>0.80323835415319689</v>
      </c>
      <c r="K88" s="36">
        <f t="shared" si="432"/>
        <v>0.61900608325197404</v>
      </c>
      <c r="L88" s="14">
        <f t="shared" si="432"/>
        <v>0.61481201930274287</v>
      </c>
      <c r="M88" s="14">
        <f t="shared" si="432"/>
        <v>0.5663504464175152</v>
      </c>
      <c r="N88" s="23">
        <f t="shared" si="432"/>
        <v>0.65869153864976349</v>
      </c>
      <c r="O88" s="36">
        <f t="shared" si="432"/>
        <v>0.60994428592512417</v>
      </c>
      <c r="P88" s="14">
        <f t="shared" si="432"/>
        <v>0.61101810140516555</v>
      </c>
      <c r="Q88" s="14">
        <f t="shared" si="432"/>
        <v>0.61403958759923838</v>
      </c>
      <c r="R88" s="14">
        <f t="shared" ref="R88:W88" si="433">SUM(R85)/R87</f>
        <v>0.60391107113969444</v>
      </c>
      <c r="S88" s="14">
        <f t="shared" si="433"/>
        <v>0.60630335859594953</v>
      </c>
      <c r="T88" s="14">
        <f t="shared" si="433"/>
        <v>0.62554818698542136</v>
      </c>
      <c r="U88" s="14">
        <f t="shared" si="433"/>
        <v>0.62183340087544048</v>
      </c>
      <c r="V88" s="14">
        <f t="shared" si="433"/>
        <v>0.6138496293589607</v>
      </c>
      <c r="W88" s="14">
        <f t="shared" si="433"/>
        <v>0.59379635128794606</v>
      </c>
      <c r="X88" s="14">
        <f t="shared" ref="X88:AC88" si="434">SUM(X85)/X87</f>
        <v>0.53003565286782828</v>
      </c>
      <c r="Y88" s="14">
        <f t="shared" si="434"/>
        <v>0.49624108490228697</v>
      </c>
      <c r="Z88" s="23">
        <f t="shared" si="434"/>
        <v>0.45667971238860999</v>
      </c>
      <c r="AA88" s="14">
        <f t="shared" si="434"/>
        <v>0.50095765093652544</v>
      </c>
      <c r="AB88" s="14">
        <f t="shared" si="434"/>
        <v>0.4388252514145482</v>
      </c>
      <c r="AC88" s="14">
        <f t="shared" si="434"/>
        <v>0.40495780081374161</v>
      </c>
      <c r="AD88" s="14">
        <f t="shared" ref="AD88:AI88" si="435">SUM(AD85)/AD87</f>
        <v>0.4110578114513746</v>
      </c>
      <c r="AE88" s="14">
        <f t="shared" si="435"/>
        <v>0.4091490635983398</v>
      </c>
      <c r="AF88" s="14">
        <f t="shared" si="435"/>
        <v>0.42046120871002685</v>
      </c>
      <c r="AG88" s="14">
        <f t="shared" si="435"/>
        <v>0.44740987340496624</v>
      </c>
      <c r="AH88" s="14">
        <f t="shared" si="435"/>
        <v>0.43917574775980139</v>
      </c>
      <c r="AI88" s="14">
        <f t="shared" si="435"/>
        <v>0.42281687183521238</v>
      </c>
      <c r="AJ88" s="14">
        <f t="shared" ref="AJ88:AO88" si="436">SUM(AJ85)/AJ87</f>
        <v>0.35916303477361533</v>
      </c>
      <c r="AK88" s="14">
        <f t="shared" si="436"/>
        <v>0.38706820136833825</v>
      </c>
      <c r="AL88" s="14">
        <f t="shared" si="436"/>
        <v>0.32036486915856138</v>
      </c>
      <c r="AM88" s="78">
        <f t="shared" si="436"/>
        <v>0.3995069497185153</v>
      </c>
      <c r="AN88" s="14">
        <f t="shared" si="436"/>
        <v>0.34753103816544789</v>
      </c>
      <c r="AO88" s="14">
        <f t="shared" si="436"/>
        <v>0.28767606896474973</v>
      </c>
      <c r="AP88" s="14">
        <f t="shared" ref="AP88:AU88" si="437">SUM(AP85)/AP87</f>
        <v>0.31876445367712331</v>
      </c>
      <c r="AQ88" s="14">
        <f t="shared" si="437"/>
        <v>0.33661069340183453</v>
      </c>
      <c r="AR88" s="14">
        <f t="shared" si="437"/>
        <v>0.36359936088419498</v>
      </c>
      <c r="AS88" s="14">
        <f t="shared" si="437"/>
        <v>0.38427222516062465</v>
      </c>
      <c r="AT88" s="14">
        <f t="shared" si="437"/>
        <v>0.36802427400911081</v>
      </c>
      <c r="AU88" s="14">
        <f t="shared" si="437"/>
        <v>0.36197728873137369</v>
      </c>
      <c r="AV88" s="14">
        <f t="shared" ref="AV88:BJ88" si="438">SUM(AV85)/AV87</f>
        <v>0.32965141084915428</v>
      </c>
      <c r="AW88" s="14">
        <f t="shared" si="438"/>
        <v>0.27913619436503162</v>
      </c>
      <c r="AX88" s="14">
        <f t="shared" si="438"/>
        <v>0.29991843528512924</v>
      </c>
      <c r="AY88" s="78">
        <f t="shared" si="438"/>
        <v>0.31717949939343476</v>
      </c>
      <c r="AZ88" s="14">
        <f t="shared" si="438"/>
        <v>0.29661137389624664</v>
      </c>
      <c r="BA88" s="14">
        <f t="shared" si="438"/>
        <v>0.26620277549322774</v>
      </c>
      <c r="BB88" s="14">
        <f t="shared" si="438"/>
        <v>0.29371822457228913</v>
      </c>
      <c r="BC88" s="14">
        <f t="shared" si="438"/>
        <v>0.31074887582151506</v>
      </c>
      <c r="BD88" s="14">
        <f t="shared" si="438"/>
        <v>0.30355542088336451</v>
      </c>
      <c r="BE88" s="14">
        <f t="shared" si="438"/>
        <v>0.31961890867892612</v>
      </c>
      <c r="BF88" s="14">
        <f t="shared" si="438"/>
        <v>0.32524739449975454</v>
      </c>
      <c r="BG88" s="14">
        <f t="shared" si="438"/>
        <v>0.30374186286715632</v>
      </c>
      <c r="BH88" s="14">
        <f t="shared" si="438"/>
        <v>0.24826494587325879</v>
      </c>
      <c r="BI88" s="14">
        <f t="shared" si="438"/>
        <v>0.22009267304466612</v>
      </c>
      <c r="BJ88" s="23">
        <f t="shared" si="438"/>
        <v>0.23312965220700338</v>
      </c>
      <c r="BK88" s="14">
        <f t="shared" ref="BK88:BV88" si="439">SUM(BK85)/BK87</f>
        <v>0.27073742592850375</v>
      </c>
      <c r="BL88" s="14">
        <f t="shared" si="439"/>
        <v>0.29696494908537785</v>
      </c>
      <c r="BM88" s="14">
        <f t="shared" si="439"/>
        <v>0.24476978278806449</v>
      </c>
      <c r="BN88" s="14">
        <f t="shared" si="439"/>
        <v>0.24044206589401387</v>
      </c>
      <c r="BO88" s="14">
        <f t="shared" si="439"/>
        <v>0.24156944639449832</v>
      </c>
      <c r="BP88" s="14">
        <f t="shared" si="439"/>
        <v>0.23951996774016712</v>
      </c>
      <c r="BQ88" s="14">
        <f t="shared" si="439"/>
        <v>0.26318784055274602</v>
      </c>
      <c r="BR88" s="14">
        <f t="shared" si="439"/>
        <v>0.2694979909831563</v>
      </c>
      <c r="BS88" s="14">
        <f t="shared" si="439"/>
        <v>0.25275399820602595</v>
      </c>
      <c r="BT88" s="14">
        <f t="shared" si="439"/>
        <v>0.24912769767570661</v>
      </c>
      <c r="BU88" s="14">
        <f t="shared" si="439"/>
        <v>0.20964421233039862</v>
      </c>
      <c r="BV88" s="23">
        <f t="shared" si="439"/>
        <v>0.21839764594948971</v>
      </c>
      <c r="BW88" s="14">
        <f t="shared" ref="BW88:CB88" si="440">SUM(BW85)/BW87</f>
        <v>0.23176423016175651</v>
      </c>
      <c r="BX88" s="14">
        <f t="shared" si="440"/>
        <v>0.22221507702938187</v>
      </c>
      <c r="BY88" s="14">
        <f t="shared" si="440"/>
        <v>0.19682163287349452</v>
      </c>
      <c r="BZ88" s="14">
        <f t="shared" si="440"/>
        <v>0.19701045889605873</v>
      </c>
      <c r="CA88" s="14">
        <f t="shared" si="440"/>
        <v>0.20107663219270891</v>
      </c>
      <c r="CB88" s="14">
        <f t="shared" si="440"/>
        <v>0.22209147257486886</v>
      </c>
      <c r="CC88" s="14">
        <f t="shared" ref="CC88:DK88" si="441">SUM(CC85)/CC87</f>
        <v>0.22087848654986583</v>
      </c>
      <c r="CD88" s="14">
        <f t="shared" si="441"/>
        <v>0.17525356746181858</v>
      </c>
      <c r="CE88" s="14">
        <f t="shared" si="441"/>
        <v>0.20438698800777058</v>
      </c>
      <c r="CF88" s="14">
        <f t="shared" si="441"/>
        <v>0.18270487602842778</v>
      </c>
      <c r="CG88" s="14">
        <f t="shared" si="441"/>
        <v>0.15701074335711659</v>
      </c>
      <c r="CH88" s="23">
        <f t="shared" si="441"/>
        <v>0.17634848496330066</v>
      </c>
      <c r="CI88" s="36">
        <f t="shared" si="441"/>
        <v>0.16743565787477341</v>
      </c>
      <c r="CJ88" s="14">
        <f t="shared" si="441"/>
        <v>0.15650162214726665</v>
      </c>
      <c r="CK88" s="14">
        <f t="shared" si="441"/>
        <v>0.15394171743894147</v>
      </c>
      <c r="CL88" s="14">
        <f t="shared" si="441"/>
        <v>0.15182048329670081</v>
      </c>
      <c r="CM88" s="14">
        <f t="shared" si="441"/>
        <v>0.16808395692974692</v>
      </c>
      <c r="CN88" s="14">
        <f t="shared" si="441"/>
        <v>0.16949150896774562</v>
      </c>
      <c r="CO88" s="14">
        <f t="shared" si="441"/>
        <v>0.1729504268678958</v>
      </c>
      <c r="CP88" s="14">
        <f t="shared" si="441"/>
        <v>0.17310204680096739</v>
      </c>
      <c r="CQ88" s="14">
        <f t="shared" si="441"/>
        <v>0.1672683977237058</v>
      </c>
      <c r="CR88" s="14">
        <f t="shared" si="441"/>
        <v>0.15504801486232017</v>
      </c>
      <c r="CS88" s="14">
        <f t="shared" si="441"/>
        <v>0.12178068042398449</v>
      </c>
      <c r="CT88" s="23">
        <f t="shared" si="441"/>
        <v>0.12885568858326488</v>
      </c>
      <c r="CU88" s="14">
        <f t="shared" si="441"/>
        <v>0.16819235424421658</v>
      </c>
      <c r="CV88" s="14">
        <f t="shared" si="441"/>
        <v>0.14089691982837538</v>
      </c>
      <c r="CW88" s="14">
        <f t="shared" si="441"/>
        <v>0.13817932198170058</v>
      </c>
      <c r="CX88" s="14">
        <f t="shared" si="441"/>
        <v>0.11558517656944864</v>
      </c>
      <c r="CY88" s="14">
        <f t="shared" si="441"/>
        <v>0.12336611008283196</v>
      </c>
      <c r="CZ88" s="14">
        <f t="shared" si="441"/>
        <v>0.14003640150977986</v>
      </c>
      <c r="DA88" s="14">
        <f t="shared" si="441"/>
        <v>0.14934384634516867</v>
      </c>
      <c r="DB88" s="14">
        <f t="shared" si="441"/>
        <v>0.14406483406019921</v>
      </c>
      <c r="DC88" s="14">
        <f t="shared" si="441"/>
        <v>0.14127888076239126</v>
      </c>
      <c r="DD88" s="14">
        <f t="shared" si="441"/>
        <v>0.12657373212192005</v>
      </c>
      <c r="DE88" s="14">
        <f t="shared" si="441"/>
        <v>0.11373422793443652</v>
      </c>
      <c r="DF88" s="23">
        <f t="shared" si="441"/>
        <v>0.12051062273009014</v>
      </c>
      <c r="DG88" s="14">
        <f t="shared" si="441"/>
        <v>0.1446073729123733</v>
      </c>
      <c r="DH88" s="14">
        <f t="shared" si="441"/>
        <v>0.1343584507901491</v>
      </c>
      <c r="DI88" s="14">
        <f t="shared" si="441"/>
        <v>0.12660880379745487</v>
      </c>
      <c r="DJ88" s="14">
        <f t="shared" si="441"/>
        <v>0.12830235051976707</v>
      </c>
      <c r="DK88" s="14">
        <f t="shared" si="441"/>
        <v>0.13140334950313767</v>
      </c>
      <c r="DL88" s="14">
        <f t="shared" ref="DL88:FK88" si="442">SUM(DL85)/DL87</f>
        <v>0.14377828152800795</v>
      </c>
      <c r="DM88" s="14">
        <f t="shared" si="442"/>
        <v>0.15391990288243151</v>
      </c>
      <c r="DN88" s="14">
        <f t="shared" si="442"/>
        <v>0.15450884347454397</v>
      </c>
      <c r="DO88" s="14">
        <f t="shared" si="442"/>
        <v>0.14744897273876845</v>
      </c>
      <c r="DP88" s="14">
        <f t="shared" si="442"/>
        <v>0.1372998925075144</v>
      </c>
      <c r="DQ88" s="14">
        <f t="shared" si="442"/>
        <v>0.12188020797809712</v>
      </c>
      <c r="DR88" s="14">
        <f t="shared" si="442"/>
        <v>0.13389467262160831</v>
      </c>
      <c r="DS88" s="14">
        <f t="shared" si="442"/>
        <v>0.13594302172773265</v>
      </c>
      <c r="DT88" s="14">
        <f t="shared" si="442"/>
        <v>0.10425868219057859</v>
      </c>
      <c r="DU88" s="14">
        <f t="shared" si="442"/>
        <v>0.103579783086411</v>
      </c>
      <c r="DV88" s="280">
        <f t="shared" si="442"/>
        <v>0.10064405750026345</v>
      </c>
      <c r="DW88" s="280">
        <f t="shared" si="442"/>
        <v>0.11232552814680168</v>
      </c>
      <c r="DX88" s="280">
        <f t="shared" si="442"/>
        <v>0.12141777928663461</v>
      </c>
      <c r="DY88" s="280">
        <f t="shared" si="442"/>
        <v>0.12731163839317877</v>
      </c>
      <c r="DZ88" s="280">
        <f t="shared" si="442"/>
        <v>0.1292529645001424</v>
      </c>
      <c r="EA88" s="280">
        <f t="shared" si="442"/>
        <v>0.12677539585261524</v>
      </c>
      <c r="EB88" s="280">
        <f t="shared" si="442"/>
        <v>0.1128067364461241</v>
      </c>
      <c r="EC88" s="280">
        <f t="shared" si="442"/>
        <v>0.1035735569786215</v>
      </c>
      <c r="ED88" s="280">
        <f t="shared" si="442"/>
        <v>9.6969951835466819E-2</v>
      </c>
      <c r="EE88" s="280">
        <f t="shared" si="442"/>
        <v>0.11454601744827593</v>
      </c>
      <c r="EF88" s="280">
        <f t="shared" si="442"/>
        <v>9.8440250821649783E-2</v>
      </c>
      <c r="EG88" s="280">
        <f t="shared" si="442"/>
        <v>9.3191545691214753E-2</v>
      </c>
      <c r="EH88" s="280">
        <f t="shared" si="442"/>
        <v>9.2491224947167106E-2</v>
      </c>
      <c r="EI88" s="280">
        <f t="shared" si="442"/>
        <v>9.2152264668378489E-2</v>
      </c>
      <c r="EJ88" s="280">
        <f t="shared" si="442"/>
        <v>0.11076767345670901</v>
      </c>
      <c r="EK88" s="280">
        <f t="shared" si="442"/>
        <v>0.119123472203941</v>
      </c>
      <c r="EL88" s="280">
        <f t="shared" si="442"/>
        <v>0.1195099182117223</v>
      </c>
      <c r="EM88" s="280">
        <f t="shared" si="442"/>
        <v>0.11398111221264545</v>
      </c>
      <c r="EN88" s="280">
        <f t="shared" si="442"/>
        <v>0.10597560556970863</v>
      </c>
      <c r="EO88" s="280">
        <f t="shared" si="442"/>
        <v>9.1398437014513431E-2</v>
      </c>
      <c r="EP88" s="280">
        <f t="shared" si="442"/>
        <v>0.10794518796481298</v>
      </c>
      <c r="EQ88" s="280">
        <f t="shared" si="442"/>
        <v>0.11767686263339654</v>
      </c>
      <c r="ER88" s="280">
        <f t="shared" si="442"/>
        <v>0.11385433166692713</v>
      </c>
      <c r="ES88" s="280">
        <f t="shared" si="442"/>
        <v>9.8843685846186746E-2</v>
      </c>
      <c r="ET88" s="280">
        <f t="shared" si="442"/>
        <v>8.5230409329567922E-2</v>
      </c>
      <c r="EU88" s="280">
        <f t="shared" si="442"/>
        <v>8.880024717488752E-2</v>
      </c>
      <c r="EV88" s="280">
        <f t="shared" si="442"/>
        <v>0.10226779450763764</v>
      </c>
      <c r="EW88" s="280">
        <f t="shared" si="442"/>
        <v>0.11101985852772614</v>
      </c>
      <c r="EX88" s="280">
        <f t="shared" si="442"/>
        <v>0.11249095580182016</v>
      </c>
      <c r="EY88" s="280">
        <f t="shared" si="442"/>
        <v>0.10759697651416406</v>
      </c>
      <c r="EZ88" s="280">
        <f t="shared" si="442"/>
        <v>9.480772783825675E-2</v>
      </c>
      <c r="FA88" s="280">
        <f t="shared" si="442"/>
        <v>9.0359314165265783E-2</v>
      </c>
      <c r="FB88" s="280">
        <f t="shared" si="442"/>
        <v>8.184229071160172E-2</v>
      </c>
      <c r="FC88" s="280">
        <f t="shared" si="442"/>
        <v>0.10942786059048276</v>
      </c>
      <c r="FD88" s="280">
        <f t="shared" si="442"/>
        <v>9.721433547554667E-2</v>
      </c>
      <c r="FE88" s="280">
        <f t="shared" si="442"/>
        <v>9.5159967186218206E-2</v>
      </c>
      <c r="FF88" s="280">
        <f t="shared" si="442"/>
        <v>7.8847671665351227E-2</v>
      </c>
      <c r="FG88" s="280">
        <f t="shared" si="442"/>
        <v>8.5341946248531281E-2</v>
      </c>
      <c r="FH88" s="280">
        <f t="shared" si="442"/>
        <v>9.2975350322901676E-2</v>
      </c>
      <c r="FI88" s="280">
        <f t="shared" si="442"/>
        <v>9.9375161027475734E-2</v>
      </c>
      <c r="FJ88" s="280">
        <f t="shared" si="442"/>
        <v>0.10190971143165407</v>
      </c>
      <c r="FK88" s="280">
        <f t="shared" si="442"/>
        <v>9.7264781740417028E-2</v>
      </c>
      <c r="FL88" s="280">
        <f t="shared" ref="FL88:FT88" si="443">SUM(FL85)/FL87</f>
        <v>8.8382416316893073E-2</v>
      </c>
      <c r="FM88" s="280">
        <f t="shared" si="443"/>
        <v>7.7337719500022481E-2</v>
      </c>
      <c r="FN88" s="280">
        <f t="shared" si="443"/>
        <v>7.8168995098699998E-2</v>
      </c>
      <c r="FO88" s="280">
        <f t="shared" si="443"/>
        <v>8.4472619139236732E-2</v>
      </c>
      <c r="FP88" s="280">
        <f t="shared" si="443"/>
        <v>7.7948876278773269E-2</v>
      </c>
      <c r="FQ88" s="280">
        <f t="shared" si="443"/>
        <v>7.0148384964358948E-2</v>
      </c>
      <c r="FR88" s="280">
        <f t="shared" si="443"/>
        <v>7.0928789635396228E-2</v>
      </c>
      <c r="FS88" s="280">
        <f t="shared" si="443"/>
        <v>7.8466163906242961E-2</v>
      </c>
      <c r="FT88" s="280">
        <f t="shared" si="443"/>
        <v>8.6664092324386682E-2</v>
      </c>
    </row>
    <row r="89" spans="2:176" ht="13.8" thickBot="1" x14ac:dyDescent="0.3">
      <c r="B89" s="4" t="s">
        <v>11</v>
      </c>
      <c r="C89" s="27">
        <f t="shared" ref="C89:Q89" si="444">SUM(C86/C87)</f>
        <v>7.317051401981095E-2</v>
      </c>
      <c r="D89" s="15">
        <f t="shared" si="444"/>
        <v>0.22996639094103755</v>
      </c>
      <c r="E89" s="15">
        <f t="shared" si="444"/>
        <v>0.3284671228306974</v>
      </c>
      <c r="F89" s="15">
        <f t="shared" si="444"/>
        <v>0.28797815097453805</v>
      </c>
      <c r="G89" s="15">
        <f t="shared" si="444"/>
        <v>0.28910873886220129</v>
      </c>
      <c r="H89" s="15">
        <f t="shared" si="444"/>
        <v>0.32927149834296399</v>
      </c>
      <c r="I89" s="15">
        <f t="shared" si="444"/>
        <v>0.42578301345307079</v>
      </c>
      <c r="J89" s="15">
        <f t="shared" si="444"/>
        <v>0.19676164584680311</v>
      </c>
      <c r="K89" s="37">
        <f t="shared" si="444"/>
        <v>0.38099391674802585</v>
      </c>
      <c r="L89" s="15">
        <f t="shared" si="444"/>
        <v>0.38518798069725713</v>
      </c>
      <c r="M89" s="15">
        <f t="shared" si="444"/>
        <v>0.43364955358248486</v>
      </c>
      <c r="N89" s="24">
        <f t="shared" si="444"/>
        <v>0.34130846135023657</v>
      </c>
      <c r="O89" s="37">
        <f t="shared" si="444"/>
        <v>0.39005571407487577</v>
      </c>
      <c r="P89" s="15">
        <f t="shared" si="444"/>
        <v>0.3889818985948344</v>
      </c>
      <c r="Q89" s="15">
        <f t="shared" si="444"/>
        <v>0.38596041240076157</v>
      </c>
      <c r="R89" s="15">
        <f t="shared" ref="R89:W89" si="445">SUM(R86/R87)</f>
        <v>0.39608892886030556</v>
      </c>
      <c r="S89" s="15">
        <f t="shared" si="445"/>
        <v>0.39369664140405042</v>
      </c>
      <c r="T89" s="15">
        <f t="shared" si="445"/>
        <v>0.37445181301457864</v>
      </c>
      <c r="U89" s="15">
        <f t="shared" si="445"/>
        <v>0.37816659912455952</v>
      </c>
      <c r="V89" s="15">
        <f t="shared" si="445"/>
        <v>0.38615037064103935</v>
      </c>
      <c r="W89" s="15">
        <f t="shared" si="445"/>
        <v>0.40620364871205389</v>
      </c>
      <c r="X89" s="15">
        <f t="shared" ref="X89:AC89" si="446">SUM(X86/X87)</f>
        <v>0.46996434713217178</v>
      </c>
      <c r="Y89" s="15">
        <f t="shared" si="446"/>
        <v>0.50375891509771298</v>
      </c>
      <c r="Z89" s="24">
        <f t="shared" si="446"/>
        <v>0.54332028761138995</v>
      </c>
      <c r="AA89" s="15">
        <f t="shared" si="446"/>
        <v>0.49904234906347456</v>
      </c>
      <c r="AB89" s="15">
        <f t="shared" si="446"/>
        <v>0.5611747485854518</v>
      </c>
      <c r="AC89" s="15">
        <f t="shared" si="446"/>
        <v>0.59504219918625834</v>
      </c>
      <c r="AD89" s="15">
        <f t="shared" ref="AD89:AI89" si="447">SUM(AD86/AD87)</f>
        <v>0.58894218854862546</v>
      </c>
      <c r="AE89" s="15">
        <f t="shared" si="447"/>
        <v>0.5908509364016602</v>
      </c>
      <c r="AF89" s="15">
        <f t="shared" si="447"/>
        <v>0.5795387912899731</v>
      </c>
      <c r="AG89" s="15">
        <f t="shared" si="447"/>
        <v>0.5525901265950337</v>
      </c>
      <c r="AH89" s="15">
        <f t="shared" si="447"/>
        <v>0.56082425224019861</v>
      </c>
      <c r="AI89" s="15">
        <f t="shared" si="447"/>
        <v>0.57718312816478767</v>
      </c>
      <c r="AJ89" s="15">
        <f t="shared" ref="AJ89:AO89" si="448">SUM(AJ86/AJ87)</f>
        <v>0.64083696522638467</v>
      </c>
      <c r="AK89" s="15">
        <f t="shared" si="448"/>
        <v>0.61293179863166181</v>
      </c>
      <c r="AL89" s="15">
        <f t="shared" si="448"/>
        <v>0.67963513084143867</v>
      </c>
      <c r="AM89" s="79">
        <f t="shared" si="448"/>
        <v>0.6004930502814847</v>
      </c>
      <c r="AN89" s="15">
        <f t="shared" si="448"/>
        <v>0.65246896183455216</v>
      </c>
      <c r="AO89" s="15">
        <f t="shared" si="448"/>
        <v>0.71232393103525027</v>
      </c>
      <c r="AP89" s="15">
        <f t="shared" ref="AP89:AU89" si="449">SUM(AP86/AP87)</f>
        <v>0.68123554632287675</v>
      </c>
      <c r="AQ89" s="15">
        <f t="shared" si="449"/>
        <v>0.66338930659816542</v>
      </c>
      <c r="AR89" s="15">
        <f t="shared" si="449"/>
        <v>0.63640063911580502</v>
      </c>
      <c r="AS89" s="15">
        <f t="shared" si="449"/>
        <v>0.61572777483937535</v>
      </c>
      <c r="AT89" s="15">
        <f t="shared" si="449"/>
        <v>0.63197572599088925</v>
      </c>
      <c r="AU89" s="15">
        <f t="shared" si="449"/>
        <v>0.63802271126862631</v>
      </c>
      <c r="AV89" s="15">
        <f>SUM(AV86/AV87)</f>
        <v>0.67034858915084572</v>
      </c>
      <c r="AW89" s="15">
        <f>SUM(AW86/AW87)</f>
        <v>0.72086380563496832</v>
      </c>
      <c r="AX89" s="15">
        <f>SUM(AX86/AX87)</f>
        <v>0.70008156471487082</v>
      </c>
      <c r="AY89" s="79">
        <f t="shared" ref="AY89:BG89" si="450">SUM(AY86/AY87)</f>
        <v>0.68282050060656529</v>
      </c>
      <c r="AZ89" s="15">
        <f t="shared" si="450"/>
        <v>0.70338862610375341</v>
      </c>
      <c r="BA89" s="15">
        <f t="shared" si="450"/>
        <v>0.73379722450677221</v>
      </c>
      <c r="BB89" s="15">
        <f t="shared" si="450"/>
        <v>0.70628177542771087</v>
      </c>
      <c r="BC89" s="15">
        <f t="shared" si="450"/>
        <v>0.689251124178485</v>
      </c>
      <c r="BD89" s="15">
        <f t="shared" si="450"/>
        <v>0.69644457911663549</v>
      </c>
      <c r="BE89" s="15">
        <f t="shared" si="450"/>
        <v>0.68038109132107394</v>
      </c>
      <c r="BF89" s="15">
        <f t="shared" si="450"/>
        <v>0.67475260550024541</v>
      </c>
      <c r="BG89" s="15">
        <f t="shared" si="450"/>
        <v>0.69625813713284368</v>
      </c>
      <c r="BH89" s="15">
        <f>SUM(BH86/BH87)</f>
        <v>0.75173505412674124</v>
      </c>
      <c r="BI89" s="15">
        <f>SUM(BI86/BI87)</f>
        <v>0.77990732695533382</v>
      </c>
      <c r="BJ89" s="24">
        <f>SUM(BJ86/BJ87)</f>
        <v>0.76687034779299668</v>
      </c>
      <c r="BK89" s="15">
        <f t="shared" ref="BK89:BS89" si="451">SUM(BK86/BK87)</f>
        <v>0.72926257407149619</v>
      </c>
      <c r="BL89" s="15">
        <f t="shared" si="451"/>
        <v>0.70303505091462215</v>
      </c>
      <c r="BM89" s="15">
        <f t="shared" si="451"/>
        <v>0.75523021721193551</v>
      </c>
      <c r="BN89" s="15">
        <f t="shared" si="451"/>
        <v>0.75955793410598615</v>
      </c>
      <c r="BO89" s="15">
        <f t="shared" si="451"/>
        <v>0.75843055360550171</v>
      </c>
      <c r="BP89" s="15">
        <f t="shared" si="451"/>
        <v>0.76048003225983285</v>
      </c>
      <c r="BQ89" s="15">
        <f t="shared" si="451"/>
        <v>0.73681215944725398</v>
      </c>
      <c r="BR89" s="15">
        <f t="shared" si="451"/>
        <v>0.7305020090168437</v>
      </c>
      <c r="BS89" s="15">
        <f t="shared" si="451"/>
        <v>0.74724600179397405</v>
      </c>
      <c r="BT89" s="15">
        <f>SUM(BT86/BT87)</f>
        <v>0.75087230232429336</v>
      </c>
      <c r="BU89" s="15">
        <f>SUM(BU86/BU87)</f>
        <v>0.79035578766960135</v>
      </c>
      <c r="BV89" s="24">
        <f>SUM(BV86/BV87)</f>
        <v>0.78160235405051026</v>
      </c>
      <c r="BW89" s="15">
        <f t="shared" ref="BW89:CB89" si="452">SUM(BW86/BW87)</f>
        <v>0.76823576983824349</v>
      </c>
      <c r="BX89" s="15">
        <f t="shared" si="452"/>
        <v>0.77778492297061808</v>
      </c>
      <c r="BY89" s="15">
        <f t="shared" si="452"/>
        <v>0.80317836712650548</v>
      </c>
      <c r="BZ89" s="15">
        <f t="shared" si="452"/>
        <v>0.80298954110394127</v>
      </c>
      <c r="CA89" s="15">
        <f t="shared" si="452"/>
        <v>0.79892336780729112</v>
      </c>
      <c r="CB89" s="15">
        <f t="shared" si="452"/>
        <v>0.77790852742513117</v>
      </c>
      <c r="CC89" s="15">
        <f t="shared" ref="CC89:DK89" si="453">SUM(CC86/CC87)</f>
        <v>0.77912151345013414</v>
      </c>
      <c r="CD89" s="15">
        <f t="shared" si="453"/>
        <v>0.82474643253818136</v>
      </c>
      <c r="CE89" s="15">
        <f t="shared" si="453"/>
        <v>0.79561301199222945</v>
      </c>
      <c r="CF89" s="15">
        <f t="shared" si="453"/>
        <v>0.81729512397157222</v>
      </c>
      <c r="CG89" s="15">
        <f t="shared" si="453"/>
        <v>0.84298925664288338</v>
      </c>
      <c r="CH89" s="24">
        <f t="shared" si="453"/>
        <v>0.82365151503669931</v>
      </c>
      <c r="CI89" s="37">
        <f t="shared" si="453"/>
        <v>0.83256434212522656</v>
      </c>
      <c r="CJ89" s="15">
        <f t="shared" si="453"/>
        <v>0.84349837785273329</v>
      </c>
      <c r="CK89" s="15">
        <f t="shared" si="453"/>
        <v>0.84605828256105853</v>
      </c>
      <c r="CL89" s="15">
        <f t="shared" si="453"/>
        <v>0.84817951670329916</v>
      </c>
      <c r="CM89" s="15">
        <f t="shared" si="453"/>
        <v>0.83191604307025302</v>
      </c>
      <c r="CN89" s="15">
        <f t="shared" si="453"/>
        <v>0.83050849103225433</v>
      </c>
      <c r="CO89" s="15">
        <f t="shared" si="453"/>
        <v>0.82704957313210425</v>
      </c>
      <c r="CP89" s="15">
        <f t="shared" si="453"/>
        <v>0.82689795319903259</v>
      </c>
      <c r="CQ89" s="15">
        <f t="shared" si="453"/>
        <v>0.83273160227629417</v>
      </c>
      <c r="CR89" s="15">
        <f t="shared" si="453"/>
        <v>0.84495198513767988</v>
      </c>
      <c r="CS89" s="15">
        <f t="shared" si="453"/>
        <v>0.87821931957601551</v>
      </c>
      <c r="CT89" s="24">
        <f t="shared" si="453"/>
        <v>0.8711443114167351</v>
      </c>
      <c r="CU89" s="15">
        <f t="shared" si="453"/>
        <v>0.83180764575578336</v>
      </c>
      <c r="CV89" s="15">
        <f t="shared" si="453"/>
        <v>0.85910308017162462</v>
      </c>
      <c r="CW89" s="15">
        <f t="shared" si="453"/>
        <v>0.86182067801829942</v>
      </c>
      <c r="CX89" s="15">
        <f t="shared" si="453"/>
        <v>0.88441482343055133</v>
      </c>
      <c r="CY89" s="15">
        <f t="shared" si="453"/>
        <v>0.87663388991716806</v>
      </c>
      <c r="CZ89" s="15">
        <f t="shared" si="453"/>
        <v>0.85996359849022019</v>
      </c>
      <c r="DA89" s="15">
        <f t="shared" si="453"/>
        <v>0.85065615365483138</v>
      </c>
      <c r="DB89" s="15">
        <f t="shared" si="453"/>
        <v>0.85593516593980079</v>
      </c>
      <c r="DC89" s="15">
        <f t="shared" si="453"/>
        <v>0.85872111923760874</v>
      </c>
      <c r="DD89" s="15">
        <f t="shared" si="453"/>
        <v>0.87342626787807998</v>
      </c>
      <c r="DE89" s="15">
        <f t="shared" si="453"/>
        <v>0.88626577206556345</v>
      </c>
      <c r="DF89" s="24">
        <f t="shared" si="453"/>
        <v>0.87948937726990983</v>
      </c>
      <c r="DG89" s="15">
        <f t="shared" si="453"/>
        <v>0.85539262708762664</v>
      </c>
      <c r="DH89" s="15">
        <f t="shared" si="453"/>
        <v>0.86564154920985092</v>
      </c>
      <c r="DI89" s="15">
        <f t="shared" si="453"/>
        <v>0.87339119620254513</v>
      </c>
      <c r="DJ89" s="15">
        <f t="shared" si="453"/>
        <v>0.87169764948023287</v>
      </c>
      <c r="DK89" s="15">
        <f t="shared" si="453"/>
        <v>0.8685966504968623</v>
      </c>
      <c r="DL89" s="15">
        <f t="shared" ref="DL89:FK89" si="454">SUM(DL86/DL87)</f>
        <v>0.85622171847199202</v>
      </c>
      <c r="DM89" s="15">
        <f t="shared" si="454"/>
        <v>0.84608009711756849</v>
      </c>
      <c r="DN89" s="15">
        <f t="shared" si="454"/>
        <v>0.84549115652545603</v>
      </c>
      <c r="DO89" s="15">
        <f t="shared" si="454"/>
        <v>0.85255102726123155</v>
      </c>
      <c r="DP89" s="15">
        <f t="shared" si="454"/>
        <v>0.8627001074924856</v>
      </c>
      <c r="DQ89" s="15">
        <f t="shared" si="454"/>
        <v>0.87811979202190282</v>
      </c>
      <c r="DR89" s="15">
        <f t="shared" si="454"/>
        <v>0.86610532737839174</v>
      </c>
      <c r="DS89" s="15">
        <f t="shared" si="454"/>
        <v>0.86405697827226735</v>
      </c>
      <c r="DT89" s="15">
        <f t="shared" si="454"/>
        <v>0.89574131780942146</v>
      </c>
      <c r="DU89" s="15">
        <f t="shared" si="454"/>
        <v>0.89642021691358897</v>
      </c>
      <c r="DV89" s="361">
        <f t="shared" si="454"/>
        <v>0.8993559424997366</v>
      </c>
      <c r="DW89" s="361">
        <f t="shared" si="454"/>
        <v>0.88767447185319837</v>
      </c>
      <c r="DX89" s="361">
        <f t="shared" si="454"/>
        <v>0.87858222071336534</v>
      </c>
      <c r="DY89" s="361">
        <f t="shared" si="454"/>
        <v>0.87268836160682128</v>
      </c>
      <c r="DZ89" s="361">
        <f t="shared" si="454"/>
        <v>0.87074703549985766</v>
      </c>
      <c r="EA89" s="361">
        <f t="shared" si="454"/>
        <v>0.87322460414738479</v>
      </c>
      <c r="EB89" s="361">
        <f t="shared" si="454"/>
        <v>0.88719326355387584</v>
      </c>
      <c r="EC89" s="361">
        <f t="shared" si="454"/>
        <v>0.89642644302137853</v>
      </c>
      <c r="ED89" s="361">
        <f t="shared" si="454"/>
        <v>0.90303004816453314</v>
      </c>
      <c r="EE89" s="361">
        <f t="shared" si="454"/>
        <v>0.88545398255172403</v>
      </c>
      <c r="EF89" s="361">
        <f t="shared" si="454"/>
        <v>0.90155974917835024</v>
      </c>
      <c r="EG89" s="361">
        <f t="shared" si="454"/>
        <v>0.90680845430878521</v>
      </c>
      <c r="EH89" s="361">
        <f t="shared" si="454"/>
        <v>0.90750877505283289</v>
      </c>
      <c r="EI89" s="361">
        <f t="shared" si="454"/>
        <v>0.90784773533162155</v>
      </c>
      <c r="EJ89" s="361">
        <f t="shared" si="454"/>
        <v>0.88923232654329099</v>
      </c>
      <c r="EK89" s="361">
        <f t="shared" si="454"/>
        <v>0.88087652779605896</v>
      </c>
      <c r="EL89" s="361">
        <f t="shared" si="454"/>
        <v>0.8804900817882777</v>
      </c>
      <c r="EM89" s="361">
        <f t="shared" si="454"/>
        <v>0.88601888778735449</v>
      </c>
      <c r="EN89" s="361">
        <f t="shared" si="454"/>
        <v>0.89402439443029136</v>
      </c>
      <c r="EO89" s="361">
        <f t="shared" si="454"/>
        <v>0.90860156298548655</v>
      </c>
      <c r="EP89" s="361">
        <f t="shared" si="454"/>
        <v>0.89205481203518699</v>
      </c>
      <c r="EQ89" s="361">
        <f t="shared" si="454"/>
        <v>0.8823231373666035</v>
      </c>
      <c r="ER89" s="361">
        <f t="shared" si="454"/>
        <v>0.88614566833307284</v>
      </c>
      <c r="ES89" s="361">
        <f t="shared" si="454"/>
        <v>0.90115631415381325</v>
      </c>
      <c r="ET89" s="361">
        <f t="shared" si="454"/>
        <v>0.91476959067043206</v>
      </c>
      <c r="EU89" s="361">
        <f t="shared" si="454"/>
        <v>0.91119975282511245</v>
      </c>
      <c r="EV89" s="361">
        <f t="shared" si="454"/>
        <v>0.89773220549236232</v>
      </c>
      <c r="EW89" s="361">
        <f t="shared" si="454"/>
        <v>0.88898014147227389</v>
      </c>
      <c r="EX89" s="361">
        <f t="shared" si="454"/>
        <v>0.88750904419817989</v>
      </c>
      <c r="EY89" s="361">
        <f t="shared" si="454"/>
        <v>0.89240302348583589</v>
      </c>
      <c r="EZ89" s="361">
        <f t="shared" si="454"/>
        <v>0.90519227216174325</v>
      </c>
      <c r="FA89" s="361">
        <f t="shared" si="454"/>
        <v>0.90964068583473423</v>
      </c>
      <c r="FB89" s="361">
        <f t="shared" si="454"/>
        <v>0.91815770928839824</v>
      </c>
      <c r="FC89" s="361">
        <f t="shared" si="454"/>
        <v>0.89057213940951718</v>
      </c>
      <c r="FD89" s="361">
        <f t="shared" si="454"/>
        <v>0.9027856645244533</v>
      </c>
      <c r="FE89" s="361">
        <f t="shared" si="454"/>
        <v>0.90484003281378178</v>
      </c>
      <c r="FF89" s="361">
        <f t="shared" si="454"/>
        <v>0.92115232833464877</v>
      </c>
      <c r="FG89" s="361">
        <f t="shared" si="454"/>
        <v>0.91465805375146869</v>
      </c>
      <c r="FH89" s="361">
        <f t="shared" si="454"/>
        <v>0.90702464967709828</v>
      </c>
      <c r="FI89" s="361">
        <f t="shared" si="454"/>
        <v>0.90062483897252421</v>
      </c>
      <c r="FJ89" s="361">
        <f t="shared" si="454"/>
        <v>0.89809028856834594</v>
      </c>
      <c r="FK89" s="361">
        <f t="shared" si="454"/>
        <v>0.90273521825958292</v>
      </c>
      <c r="FL89" s="361">
        <f t="shared" ref="FL89:FT89" si="455">SUM(FL86/FL87)</f>
        <v>0.91161758368310697</v>
      </c>
      <c r="FM89" s="361">
        <f t="shared" si="455"/>
        <v>0.92266228049997756</v>
      </c>
      <c r="FN89" s="361">
        <f t="shared" si="455"/>
        <v>0.92183100490129999</v>
      </c>
      <c r="FO89" s="361">
        <f t="shared" si="455"/>
        <v>0.91552738086076324</v>
      </c>
      <c r="FP89" s="361">
        <f t="shared" si="455"/>
        <v>0.92205112372122677</v>
      </c>
      <c r="FQ89" s="361">
        <f t="shared" si="455"/>
        <v>0.92985161503564107</v>
      </c>
      <c r="FR89" s="361">
        <f t="shared" si="455"/>
        <v>0.92907121036460372</v>
      </c>
      <c r="FS89" s="361">
        <f t="shared" si="455"/>
        <v>0.92153383609375705</v>
      </c>
      <c r="FT89" s="361">
        <f t="shared" si="455"/>
        <v>0.91333590767561335</v>
      </c>
    </row>
    <row r="93" spans="2:176" x14ac:dyDescent="0.25">
      <c r="DO93" s="302" t="s">
        <v>94</v>
      </c>
    </row>
  </sheetData>
  <sheetProtection algorithmName="SHA-512" hashValue="7en/WPnMyhmSCEgzNlVEFVwkBzpnA1+YfNkMUiSryP7d63d+gm9+uRACFzIkRJtvdo92ef36zGcNs1CyNv+QCQ==" saltValue="6JDiZa1JySjAuPH3nH7p3Q==" spinCount="100000" sheet="1" objects="1" scenarios="1"/>
  <mergeCells count="90">
    <mergeCell ref="DG47:DR47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DG2:DR2"/>
    <mergeCell ref="DG3:DR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7:N47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C46:N46"/>
    <mergeCell ref="O46:Z46"/>
    <mergeCell ref="AA46:AL46"/>
    <mergeCell ref="AM46:AX46"/>
    <mergeCell ref="BK46:BV46"/>
    <mergeCell ref="BW47:CH47"/>
    <mergeCell ref="BW4:CH4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BW46:CH46"/>
    <mergeCell ref="BK2:BV2"/>
    <mergeCell ref="BK3:BV3"/>
    <mergeCell ref="BW2:CH2"/>
    <mergeCell ref="BW3:CH3"/>
    <mergeCell ref="BK45:BV45"/>
    <mergeCell ref="BW45:CH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26" fitToWidth="3" orientation="landscape" r:id="rId1"/>
  <headerFooter alignWithMargins="0"/>
  <ignoredErrors>
    <ignoredError sqref="EZ72:FC72 FD72:FE72 FG72:FH72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B2:FZ1930"/>
  <sheetViews>
    <sheetView zoomScaleNormal="100" workbookViewId="0">
      <pane xSplit="2" ySplit="5" topLeftCell="FJ63" activePane="bottomRight" state="frozen"/>
      <selection activeCell="EB37" sqref="EB37"/>
      <selection pane="topRight" activeCell="EB37" sqref="EB37"/>
      <selection pane="bottomLeft" activeCell="EB37" sqref="EB37"/>
      <selection pane="bottomRight" activeCell="A69" sqref="A69:XFD76"/>
    </sheetView>
  </sheetViews>
  <sheetFormatPr defaultColWidth="9.109375" defaultRowHeight="13.2" x14ac:dyDescent="0.25"/>
  <cols>
    <col min="1" max="1" width="3.88671875" style="2" customWidth="1"/>
    <col min="2" max="2" width="26.109375" style="1" customWidth="1"/>
    <col min="3" max="7" width="12.33203125" style="2" customWidth="1"/>
    <col min="8" max="8" width="12.33203125" style="6" customWidth="1"/>
    <col min="9" max="50" width="12.33203125" style="2" customWidth="1"/>
    <col min="51" max="73" width="9.109375" style="2"/>
    <col min="74" max="74" width="9.5546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109375" style="2" customWidth="1"/>
    <col min="109" max="110" width="13" style="2" hidden="1" customWidth="1"/>
    <col min="111" max="122" width="13" style="2" customWidth="1"/>
    <col min="123" max="123" width="11.33203125" style="2" customWidth="1"/>
    <col min="124" max="124" width="11.109375" style="2" customWidth="1"/>
    <col min="125" max="125" width="9.44140625" style="2" bestFit="1" customWidth="1"/>
    <col min="126" max="126" width="10.88671875" style="2" customWidth="1"/>
    <col min="127" max="127" width="10.6640625" style="2" customWidth="1"/>
    <col min="128" max="128" width="9.109375" style="2"/>
    <col min="129" max="129" width="11.44140625" style="2" bestFit="1" customWidth="1"/>
    <col min="130" max="130" width="9.33203125" style="302" customWidth="1"/>
    <col min="131" max="131" width="10.5546875" style="2" customWidth="1"/>
    <col min="132" max="132" width="9.44140625" style="2" customWidth="1"/>
    <col min="133" max="133" width="10.33203125" style="2" customWidth="1"/>
    <col min="134" max="134" width="10.44140625" style="2" customWidth="1"/>
    <col min="135" max="137" width="9.109375" style="2"/>
    <col min="138" max="142" width="11.44140625" style="2" bestFit="1" customWidth="1"/>
    <col min="143" max="143" width="10.6640625" style="2" customWidth="1"/>
    <col min="144" max="144" width="11.6640625" style="2" customWidth="1"/>
    <col min="145" max="146" width="10.44140625" style="2" bestFit="1" customWidth="1"/>
    <col min="147" max="149" width="11.44140625" style="2" bestFit="1" customWidth="1"/>
    <col min="150" max="152" width="9.44140625" style="2" bestFit="1" customWidth="1"/>
    <col min="153" max="154" width="11.44140625" style="2" bestFit="1" customWidth="1"/>
    <col min="155" max="155" width="11" style="2" customWidth="1"/>
    <col min="156" max="156" width="10.44140625" style="2" customWidth="1"/>
    <col min="157" max="157" width="10.6640625" style="2" customWidth="1"/>
    <col min="158" max="158" width="9.5546875" style="2" customWidth="1"/>
    <col min="159" max="164" width="11.44140625" style="2" bestFit="1" customWidth="1"/>
    <col min="165" max="165" width="10.44140625" style="2" bestFit="1" customWidth="1"/>
    <col min="166" max="166" width="11" style="2" customWidth="1"/>
    <col min="167" max="167" width="13.33203125" style="2" customWidth="1"/>
    <col min="168" max="168" width="11.44140625" style="2" bestFit="1" customWidth="1"/>
    <col min="169" max="169" width="10.6640625" style="2" customWidth="1"/>
    <col min="170" max="170" width="10.109375" style="2" customWidth="1"/>
    <col min="171" max="173" width="10.44140625" style="2" bestFit="1" customWidth="1"/>
    <col min="174" max="16384" width="9.109375" style="2"/>
  </cols>
  <sheetData>
    <row r="2" spans="2:182" x14ac:dyDescent="0.25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ht="13.8" thickBot="1" x14ac:dyDescent="0.3">
      <c r="B3" s="2"/>
      <c r="C3" s="582" t="s">
        <v>78</v>
      </c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78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 t="s">
        <v>78</v>
      </c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 t="s">
        <v>78</v>
      </c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 t="s">
        <v>78</v>
      </c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 t="s">
        <v>78</v>
      </c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76" t="s">
        <v>91</v>
      </c>
      <c r="BX3" s="576"/>
      <c r="BY3" s="576"/>
      <c r="BZ3" s="576"/>
      <c r="CA3" s="576"/>
      <c r="CB3" s="576"/>
      <c r="CC3" s="576"/>
      <c r="CD3" s="576"/>
      <c r="CE3" s="576"/>
      <c r="CF3" s="576"/>
      <c r="CG3" s="576"/>
      <c r="CH3" s="576"/>
      <c r="CI3" s="576" t="s">
        <v>91</v>
      </c>
      <c r="CJ3" s="576"/>
      <c r="CK3" s="576"/>
      <c r="CL3" s="576"/>
      <c r="CM3" s="576"/>
      <c r="CN3" s="576"/>
      <c r="CO3" s="576"/>
      <c r="CP3" s="576"/>
      <c r="CQ3" s="576"/>
      <c r="CR3" s="576"/>
      <c r="CS3" s="576"/>
      <c r="CT3" s="576"/>
      <c r="CU3" s="576" t="s">
        <v>91</v>
      </c>
      <c r="CV3" s="576"/>
      <c r="CW3" s="576"/>
      <c r="CX3" s="576"/>
      <c r="CY3" s="576"/>
      <c r="CZ3" s="576"/>
      <c r="DA3" s="576"/>
      <c r="DB3" s="576"/>
      <c r="DC3" s="576"/>
      <c r="DD3" s="576"/>
      <c r="DE3" s="576"/>
      <c r="DF3" s="576"/>
      <c r="DG3" s="576" t="s">
        <v>91</v>
      </c>
      <c r="DH3" s="576"/>
      <c r="DI3" s="576"/>
      <c r="DJ3" s="576"/>
      <c r="DK3" s="576"/>
      <c r="DL3" s="576"/>
      <c r="DM3" s="576"/>
      <c r="DN3" s="576"/>
      <c r="DO3" s="576"/>
      <c r="DP3" s="576"/>
      <c r="DQ3" s="576"/>
      <c r="DR3" s="576"/>
      <c r="DS3" s="576" t="s">
        <v>91</v>
      </c>
      <c r="DT3" s="576"/>
      <c r="DU3" s="576"/>
      <c r="DV3" s="576"/>
      <c r="DW3" s="576"/>
      <c r="DX3" s="576"/>
      <c r="DY3" s="576"/>
      <c r="DZ3" s="576"/>
      <c r="EA3" s="576"/>
      <c r="EB3" s="576"/>
      <c r="EC3" s="576"/>
      <c r="ED3" s="576"/>
      <c r="EE3" s="576" t="s">
        <v>91</v>
      </c>
      <c r="EF3" s="576"/>
      <c r="EG3" s="576"/>
      <c r="EH3" s="576"/>
      <c r="EI3" s="576"/>
      <c r="EJ3" s="576"/>
      <c r="EK3" s="576"/>
      <c r="EL3" s="576"/>
      <c r="EM3" s="576"/>
      <c r="EN3" s="576"/>
      <c r="EO3" s="576"/>
      <c r="EP3" s="576"/>
      <c r="EQ3" s="576" t="s">
        <v>91</v>
      </c>
      <c r="ER3" s="576"/>
      <c r="ES3" s="576"/>
      <c r="ET3" s="576"/>
      <c r="EU3" s="576"/>
      <c r="EV3" s="576"/>
      <c r="EW3" s="576"/>
      <c r="EX3" s="576"/>
      <c r="EY3" s="576"/>
      <c r="EZ3" s="576"/>
      <c r="FA3" s="576"/>
      <c r="FB3" s="576"/>
      <c r="FC3" s="576" t="s">
        <v>91</v>
      </c>
      <c r="FD3" s="576"/>
      <c r="FE3" s="576"/>
      <c r="FF3" s="576"/>
      <c r="FG3" s="576"/>
      <c r="FH3" s="576"/>
      <c r="FI3" s="576"/>
      <c r="FJ3" s="576"/>
      <c r="FK3" s="576"/>
      <c r="FL3" s="576"/>
      <c r="FM3" s="576"/>
      <c r="FN3" s="576"/>
      <c r="FO3" s="576" t="s">
        <v>91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2:182" ht="13.8" thickBot="1" x14ac:dyDescent="0.3">
      <c r="B4" s="2"/>
      <c r="C4" s="579">
        <v>2002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1"/>
      <c r="O4" s="579">
        <v>2003</v>
      </c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1"/>
      <c r="AA4" s="579">
        <v>2004</v>
      </c>
      <c r="AB4" s="580"/>
      <c r="AC4" s="580"/>
      <c r="AD4" s="580"/>
      <c r="AE4" s="580"/>
      <c r="AF4" s="580"/>
      <c r="AG4" s="580"/>
      <c r="AH4" s="580"/>
      <c r="AI4" s="580"/>
      <c r="AJ4" s="580"/>
      <c r="AK4" s="580"/>
      <c r="AL4" s="581"/>
      <c r="AM4" s="579">
        <v>2005</v>
      </c>
      <c r="AN4" s="580"/>
      <c r="AO4" s="580"/>
      <c r="AP4" s="580"/>
      <c r="AQ4" s="580"/>
      <c r="AR4" s="580"/>
      <c r="AS4" s="580"/>
      <c r="AT4" s="580"/>
      <c r="AU4" s="580"/>
      <c r="AV4" s="580"/>
      <c r="AW4" s="580"/>
      <c r="AX4" s="581"/>
      <c r="AY4" s="579">
        <v>2006</v>
      </c>
      <c r="AZ4" s="580"/>
      <c r="BA4" s="580"/>
      <c r="BB4" s="580"/>
      <c r="BC4" s="580"/>
      <c r="BD4" s="580"/>
      <c r="BE4" s="580"/>
      <c r="BF4" s="580"/>
      <c r="BG4" s="580"/>
      <c r="BH4" s="580"/>
      <c r="BI4" s="580"/>
      <c r="BJ4" s="581"/>
      <c r="BK4" s="579">
        <v>2007</v>
      </c>
      <c r="BL4" s="580"/>
      <c r="BM4" s="580"/>
      <c r="BN4" s="580"/>
      <c r="BO4" s="580"/>
      <c r="BP4" s="580"/>
      <c r="BQ4" s="580"/>
      <c r="BR4" s="580"/>
      <c r="BS4" s="580"/>
      <c r="BT4" s="580"/>
      <c r="BU4" s="580"/>
      <c r="BV4" s="581"/>
      <c r="BW4" s="579">
        <v>2008</v>
      </c>
      <c r="BX4" s="580"/>
      <c r="BY4" s="580"/>
      <c r="BZ4" s="580"/>
      <c r="CA4" s="580"/>
      <c r="CB4" s="580"/>
      <c r="CC4" s="580"/>
      <c r="CD4" s="580"/>
      <c r="CE4" s="580"/>
      <c r="CF4" s="580"/>
      <c r="CG4" s="580"/>
      <c r="CH4" s="581"/>
      <c r="CI4" s="579">
        <v>2009</v>
      </c>
      <c r="CJ4" s="580"/>
      <c r="CK4" s="580"/>
      <c r="CL4" s="580"/>
      <c r="CM4" s="580"/>
      <c r="CN4" s="580"/>
      <c r="CO4" s="580"/>
      <c r="CP4" s="580"/>
      <c r="CQ4" s="580"/>
      <c r="CR4" s="580"/>
      <c r="CS4" s="580"/>
      <c r="CT4" s="581"/>
      <c r="CU4" s="579">
        <v>2010</v>
      </c>
      <c r="CV4" s="580"/>
      <c r="CW4" s="580"/>
      <c r="CX4" s="580"/>
      <c r="CY4" s="580"/>
      <c r="CZ4" s="580"/>
      <c r="DA4" s="580"/>
      <c r="DB4" s="580"/>
      <c r="DC4" s="580"/>
      <c r="DD4" s="580"/>
      <c r="DE4" s="580"/>
      <c r="DF4" s="581"/>
      <c r="DG4" s="579">
        <v>2011</v>
      </c>
      <c r="DH4" s="580"/>
      <c r="DI4" s="580"/>
      <c r="DJ4" s="580"/>
      <c r="DK4" s="580"/>
      <c r="DL4" s="580"/>
      <c r="DM4" s="580"/>
      <c r="DN4" s="580"/>
      <c r="DO4" s="580"/>
      <c r="DP4" s="580"/>
      <c r="DQ4" s="580"/>
      <c r="DR4" s="581"/>
      <c r="DS4" s="579">
        <v>2012</v>
      </c>
      <c r="DT4" s="580"/>
      <c r="DU4" s="580"/>
      <c r="DV4" s="580"/>
      <c r="DW4" s="580"/>
      <c r="DX4" s="580"/>
      <c r="DY4" s="580"/>
      <c r="DZ4" s="580"/>
      <c r="EA4" s="580"/>
      <c r="EB4" s="580"/>
      <c r="EC4" s="580"/>
      <c r="ED4" s="581"/>
      <c r="EE4" s="572">
        <v>2013</v>
      </c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4"/>
      <c r="EQ4" s="572">
        <v>2014</v>
      </c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4"/>
      <c r="FC4" s="572">
        <v>2015</v>
      </c>
      <c r="FD4" s="573"/>
      <c r="FE4" s="573"/>
      <c r="FF4" s="573"/>
      <c r="FG4" s="573"/>
      <c r="FH4" s="573"/>
      <c r="FI4" s="573"/>
      <c r="FJ4" s="573"/>
      <c r="FK4" s="573"/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2:182" x14ac:dyDescent="0.25">
      <c r="B6" s="74"/>
      <c r="C6" s="174"/>
      <c r="D6" s="64"/>
      <c r="E6" s="64"/>
      <c r="F6" s="64"/>
      <c r="G6" s="64"/>
      <c r="H6" s="65"/>
      <c r="I6" s="64"/>
      <c r="J6" s="64"/>
      <c r="K6" s="64"/>
      <c r="L6" s="64"/>
      <c r="M6" s="64"/>
      <c r="N6" s="66"/>
      <c r="O6" s="174"/>
      <c r="P6" s="64"/>
      <c r="Q6" s="64"/>
      <c r="R6" s="64"/>
      <c r="S6" s="64"/>
      <c r="T6" s="65"/>
      <c r="U6" s="64"/>
      <c r="V6" s="64"/>
      <c r="W6" s="64"/>
      <c r="X6" s="64"/>
      <c r="Y6" s="64"/>
      <c r="Z6" s="66"/>
      <c r="AA6" s="174"/>
      <c r="AB6" s="64"/>
      <c r="AC6" s="64"/>
      <c r="AD6" s="64"/>
      <c r="AE6" s="64"/>
      <c r="AF6" s="65"/>
      <c r="AG6" s="64"/>
      <c r="AH6" s="64"/>
      <c r="AI6" s="64"/>
      <c r="AJ6" s="64"/>
      <c r="AK6" s="64"/>
      <c r="AL6" s="66"/>
      <c r="AM6" s="174"/>
      <c r="AN6" s="64"/>
      <c r="AO6" s="64"/>
      <c r="AP6" s="64"/>
      <c r="AQ6" s="64"/>
      <c r="AR6" s="65"/>
      <c r="AS6" s="64"/>
      <c r="AT6" s="64"/>
      <c r="AU6" s="64"/>
      <c r="AV6" s="64"/>
      <c r="AW6" s="64"/>
      <c r="AX6" s="66"/>
      <c r="AY6" s="174"/>
      <c r="AZ6" s="64"/>
      <c r="BA6" s="64"/>
      <c r="BB6" s="64"/>
      <c r="BC6" s="64"/>
      <c r="BD6" s="65"/>
      <c r="BE6" s="64"/>
      <c r="BF6" s="64"/>
      <c r="BG6" s="64"/>
      <c r="BH6" s="64"/>
      <c r="BI6" s="64"/>
      <c r="BJ6" s="66"/>
      <c r="BK6" s="174"/>
      <c r="BL6" s="64"/>
      <c r="BM6" s="64"/>
      <c r="BN6" s="64"/>
      <c r="BO6" s="64"/>
      <c r="BP6" s="65"/>
      <c r="BQ6" s="64"/>
      <c r="BR6" s="64"/>
      <c r="BS6" s="64"/>
      <c r="BT6" s="64"/>
      <c r="BU6" s="64"/>
      <c r="BV6" s="66"/>
      <c r="BW6" s="174"/>
      <c r="BX6" s="64"/>
      <c r="BY6" s="64"/>
      <c r="BZ6" s="64"/>
      <c r="CA6" s="64"/>
      <c r="CB6" s="65"/>
      <c r="CC6" s="64"/>
      <c r="CD6" s="64"/>
      <c r="CE6" s="64"/>
      <c r="CF6" s="64"/>
      <c r="CG6" s="64"/>
      <c r="CH6" s="66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5">
      <c r="B7" s="55" t="s">
        <v>12</v>
      </c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74"/>
      <c r="P7" s="18"/>
      <c r="Q7" s="18"/>
      <c r="R7" s="18"/>
      <c r="S7" s="18"/>
      <c r="T7" s="19"/>
      <c r="U7" s="18"/>
      <c r="V7" s="18"/>
      <c r="W7" s="18"/>
      <c r="X7" s="18"/>
      <c r="Y7" s="18"/>
      <c r="Z7" s="20"/>
      <c r="AA7" s="74"/>
      <c r="AB7" s="18"/>
      <c r="AC7" s="18"/>
      <c r="AD7" s="18"/>
      <c r="AE7" s="18"/>
      <c r="AF7" s="19"/>
      <c r="AG7" s="18"/>
      <c r="AH7" s="18"/>
      <c r="AI7" s="18"/>
      <c r="AJ7" s="18"/>
      <c r="AK7" s="18"/>
      <c r="AL7" s="20"/>
      <c r="AM7" s="74"/>
      <c r="AN7" s="18"/>
      <c r="AO7" s="18"/>
      <c r="AP7" s="18"/>
      <c r="AQ7" s="18"/>
      <c r="AR7" s="19"/>
      <c r="AS7" s="18"/>
      <c r="AT7" s="18"/>
      <c r="AU7" s="18"/>
      <c r="AV7" s="18"/>
      <c r="AW7" s="18"/>
      <c r="AX7" s="20"/>
      <c r="AY7" s="74"/>
      <c r="AZ7" s="18"/>
      <c r="BA7" s="18"/>
      <c r="BB7" s="18"/>
      <c r="BC7" s="18"/>
      <c r="BD7" s="19"/>
      <c r="BE7" s="18"/>
      <c r="BF7" s="18"/>
      <c r="BG7" s="18"/>
      <c r="BH7" s="18"/>
      <c r="BI7" s="18"/>
      <c r="BJ7" s="20"/>
      <c r="BK7" s="74"/>
      <c r="BL7" s="18"/>
      <c r="BM7" s="18"/>
      <c r="BN7" s="18"/>
      <c r="BO7" s="18"/>
      <c r="BP7" s="19"/>
      <c r="BQ7" s="18"/>
      <c r="BR7" s="18"/>
      <c r="BS7" s="18"/>
      <c r="BT7" s="18"/>
      <c r="BU7" s="18"/>
      <c r="BV7" s="20"/>
      <c r="BW7" s="74"/>
      <c r="BX7" s="18"/>
      <c r="BY7" s="18"/>
      <c r="BZ7" s="18"/>
      <c r="CA7" s="18"/>
      <c r="CB7" s="19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x14ac:dyDescent="0.25">
      <c r="B8" s="3" t="s">
        <v>1</v>
      </c>
      <c r="C8" s="121">
        <v>141244</v>
      </c>
      <c r="D8" s="16">
        <v>142765</v>
      </c>
      <c r="E8" s="16">
        <v>143646</v>
      </c>
      <c r="F8" s="16">
        <v>143562</v>
      </c>
      <c r="G8" s="16">
        <v>143867</v>
      </c>
      <c r="H8" s="16">
        <v>144156</v>
      </c>
      <c r="I8" s="16">
        <v>145234</v>
      </c>
      <c r="J8" s="16">
        <v>145338</v>
      </c>
      <c r="K8" s="16">
        <v>143053</v>
      </c>
      <c r="L8" s="16">
        <v>141052</v>
      </c>
      <c r="M8" s="16">
        <v>139971</v>
      </c>
      <c r="N8" s="21">
        <v>140203</v>
      </c>
      <c r="O8" s="121">
        <v>143842</v>
      </c>
      <c r="P8" s="16">
        <v>128415</v>
      </c>
      <c r="Q8" s="16">
        <v>135663</v>
      </c>
      <c r="R8" s="16">
        <v>134108</v>
      </c>
      <c r="S8" s="16">
        <v>133947</v>
      </c>
      <c r="T8" s="16">
        <v>131628</v>
      </c>
      <c r="U8" s="16">
        <f>U10-U9</f>
        <v>136209</v>
      </c>
      <c r="V8" s="16">
        <f>V10-V9</f>
        <v>127855</v>
      </c>
      <c r="W8" s="16">
        <f>W10-W9</f>
        <v>125891</v>
      </c>
      <c r="X8" s="16">
        <v>131180</v>
      </c>
      <c r="Y8" s="16">
        <v>95407</v>
      </c>
      <c r="Z8" s="21">
        <v>113953</v>
      </c>
      <c r="AA8" s="121">
        <v>117811</v>
      </c>
      <c r="AB8" s="16">
        <v>112109</v>
      </c>
      <c r="AC8" s="16">
        <v>127652</v>
      </c>
      <c r="AD8" s="16">
        <v>114304</v>
      </c>
      <c r="AE8" s="16">
        <v>106624</v>
      </c>
      <c r="AF8" s="16">
        <v>117515</v>
      </c>
      <c r="AG8" s="16">
        <v>108845</v>
      </c>
      <c r="AH8" s="16">
        <v>115046</v>
      </c>
      <c r="AI8" s="16">
        <v>106984</v>
      </c>
      <c r="AJ8" s="16">
        <v>105114</v>
      </c>
      <c r="AK8" s="16">
        <v>99013</v>
      </c>
      <c r="AL8" s="21">
        <v>97609</v>
      </c>
      <c r="AM8" s="121">
        <v>103035</v>
      </c>
      <c r="AN8" s="16">
        <v>93198</v>
      </c>
      <c r="AO8" s="16">
        <v>101422</v>
      </c>
      <c r="AP8" s="16">
        <v>95920</v>
      </c>
      <c r="AQ8" s="16">
        <v>99550</v>
      </c>
      <c r="AR8" s="16">
        <v>102058</v>
      </c>
      <c r="AS8" s="16">
        <v>94573</v>
      </c>
      <c r="AT8" s="16">
        <v>110951</v>
      </c>
      <c r="AU8" s="16">
        <v>97401</v>
      </c>
      <c r="AV8" s="16">
        <v>95196</v>
      </c>
      <c r="AW8" s="16">
        <v>90317</v>
      </c>
      <c r="AX8" s="21">
        <v>88611</v>
      </c>
      <c r="AY8" s="121">
        <v>93545</v>
      </c>
      <c r="AZ8" s="16">
        <v>87616</v>
      </c>
      <c r="BA8" s="16">
        <v>100553</v>
      </c>
      <c r="BB8" s="16">
        <v>84777</v>
      </c>
      <c r="BC8" s="16">
        <v>94534</v>
      </c>
      <c r="BD8" s="16">
        <v>91853</v>
      </c>
      <c r="BE8" s="16">
        <v>81196</v>
      </c>
      <c r="BF8" s="16">
        <v>92849</v>
      </c>
      <c r="BG8" s="16">
        <v>77035</v>
      </c>
      <c r="BH8" s="16">
        <v>84016</v>
      </c>
      <c r="BI8" s="16">
        <v>73712</v>
      </c>
      <c r="BJ8" s="21">
        <v>69382</v>
      </c>
      <c r="BK8" s="121">
        <v>78120</v>
      </c>
      <c r="BL8" s="16">
        <v>72842</v>
      </c>
      <c r="BM8" s="16">
        <v>80652</v>
      </c>
      <c r="BN8" s="16">
        <v>71689</v>
      </c>
      <c r="BO8" s="16">
        <v>77849</v>
      </c>
      <c r="BP8" s="16">
        <v>73482</v>
      </c>
      <c r="BQ8" s="16">
        <v>71790</v>
      </c>
      <c r="BR8" s="16">
        <v>79087</v>
      </c>
      <c r="BS8" s="16">
        <v>62628</v>
      </c>
      <c r="BT8" s="16">
        <v>69253</v>
      </c>
      <c r="BU8" s="16">
        <v>68509</v>
      </c>
      <c r="BV8" s="21">
        <v>67750</v>
      </c>
      <c r="BW8" s="121">
        <v>66935</v>
      </c>
      <c r="BX8" s="16">
        <v>66594</v>
      </c>
      <c r="BY8" s="16">
        <v>66131</v>
      </c>
      <c r="BZ8" s="16">
        <v>65201</v>
      </c>
      <c r="CA8" s="16">
        <v>64167</v>
      </c>
      <c r="CB8" s="16">
        <v>62847</v>
      </c>
      <c r="CC8" s="16">
        <v>62266</v>
      </c>
      <c r="CD8" s="16">
        <v>61694</v>
      </c>
      <c r="CE8" s="16">
        <v>61225</v>
      </c>
      <c r="CF8" s="16">
        <v>60356</v>
      </c>
      <c r="CG8" s="16">
        <v>60193</v>
      </c>
      <c r="CH8" s="21">
        <v>59648</v>
      </c>
      <c r="CI8" s="71">
        <v>59465</v>
      </c>
      <c r="CJ8" s="69">
        <v>59126</v>
      </c>
      <c r="CK8" s="69">
        <v>59042</v>
      </c>
      <c r="CL8" s="69">
        <v>58540</v>
      </c>
      <c r="CM8" s="69">
        <v>58378</v>
      </c>
      <c r="CN8" s="69">
        <v>57740</v>
      </c>
      <c r="CO8" s="69">
        <v>57388</v>
      </c>
      <c r="CP8" s="69">
        <v>57053</v>
      </c>
      <c r="CQ8" s="69">
        <v>56296</v>
      </c>
      <c r="CR8" s="69">
        <v>55690</v>
      </c>
      <c r="CS8" s="69">
        <v>54831</v>
      </c>
      <c r="CT8" s="89">
        <v>54335</v>
      </c>
      <c r="CU8" s="69">
        <v>48872</v>
      </c>
      <c r="CV8" s="69">
        <v>53568</v>
      </c>
      <c r="CW8" s="69">
        <v>53137</v>
      </c>
      <c r="CX8" s="69">
        <v>52818</v>
      </c>
      <c r="CY8" s="69">
        <v>52798</v>
      </c>
      <c r="CZ8" s="69">
        <v>52550</v>
      </c>
      <c r="DA8" s="69">
        <v>52250</v>
      </c>
      <c r="DB8" s="69">
        <v>48720</v>
      </c>
      <c r="DC8" s="69">
        <v>51501</v>
      </c>
      <c r="DD8" s="69">
        <v>48945</v>
      </c>
      <c r="DE8" s="69">
        <v>47977</v>
      </c>
      <c r="DF8" s="89">
        <v>49761</v>
      </c>
      <c r="DG8" s="284">
        <v>44858</v>
      </c>
      <c r="DH8" s="284">
        <v>49461</v>
      </c>
      <c r="DI8" s="284">
        <v>49397</v>
      </c>
      <c r="DJ8" s="284">
        <v>47113</v>
      </c>
      <c r="DK8" s="284">
        <v>44593</v>
      </c>
      <c r="DL8" s="284">
        <v>49190</v>
      </c>
      <c r="DM8" s="284">
        <v>47019</v>
      </c>
      <c r="DN8" s="284">
        <v>49085</v>
      </c>
      <c r="DO8" s="284">
        <v>46572</v>
      </c>
      <c r="DP8" s="284">
        <v>45722</v>
      </c>
      <c r="DQ8" s="284">
        <v>47720</v>
      </c>
      <c r="DR8" s="284">
        <v>42806</v>
      </c>
      <c r="DS8" s="284">
        <v>42342</v>
      </c>
      <c r="DT8" s="284">
        <v>45801</v>
      </c>
      <c r="DU8" s="284">
        <v>48188</v>
      </c>
      <c r="DV8" s="362">
        <v>48247</v>
      </c>
      <c r="DW8" s="362">
        <v>48332</v>
      </c>
      <c r="DX8" s="362">
        <v>47965</v>
      </c>
      <c r="DY8" s="362">
        <v>48237</v>
      </c>
      <c r="DZ8" s="362">
        <v>48235</v>
      </c>
      <c r="EA8" s="362">
        <v>47939</v>
      </c>
      <c r="EB8" s="362">
        <v>48062</v>
      </c>
      <c r="EC8" s="362">
        <v>47919</v>
      </c>
      <c r="ED8" s="362">
        <v>47303</v>
      </c>
      <c r="EE8" s="362">
        <v>47367</v>
      </c>
      <c r="EF8" s="362">
        <v>47210</v>
      </c>
      <c r="EG8" s="362">
        <v>46739</v>
      </c>
      <c r="EH8" s="362">
        <v>46759</v>
      </c>
      <c r="EI8" s="362">
        <v>46843</v>
      </c>
      <c r="EJ8" s="362">
        <v>46478</v>
      </c>
      <c r="EK8" s="362">
        <v>46337</v>
      </c>
      <c r="EL8" s="362">
        <v>46270</v>
      </c>
      <c r="EM8" s="362">
        <v>45753</v>
      </c>
      <c r="EN8" s="362">
        <v>45234</v>
      </c>
      <c r="EO8" s="362">
        <v>44930</v>
      </c>
      <c r="EP8" s="362">
        <v>44390</v>
      </c>
      <c r="EQ8" s="362">
        <v>42797</v>
      </c>
      <c r="ER8" s="362">
        <v>43271</v>
      </c>
      <c r="ES8" s="362">
        <v>41916</v>
      </c>
      <c r="ET8" s="362">
        <v>43841</v>
      </c>
      <c r="EU8" s="362">
        <v>43698</v>
      </c>
      <c r="EV8" s="362">
        <v>43548</v>
      </c>
      <c r="EW8" s="362">
        <v>43059</v>
      </c>
      <c r="EX8" s="362">
        <v>42618</v>
      </c>
      <c r="EY8" s="362">
        <v>42383</v>
      </c>
      <c r="EZ8" s="362">
        <v>42089</v>
      </c>
      <c r="FA8" s="362">
        <v>41663</v>
      </c>
      <c r="FB8" s="362">
        <v>41491</v>
      </c>
      <c r="FC8" s="362">
        <v>41439</v>
      </c>
      <c r="FD8" s="362">
        <v>41066</v>
      </c>
      <c r="FE8" s="362">
        <v>40357</v>
      </c>
      <c r="FF8" s="362">
        <v>40074</v>
      </c>
      <c r="FG8" s="362">
        <v>39805</v>
      </c>
      <c r="FH8" s="362">
        <v>39490</v>
      </c>
      <c r="FI8" s="362">
        <v>39077</v>
      </c>
      <c r="FJ8" s="362">
        <v>38881</v>
      </c>
      <c r="FK8" s="362">
        <v>38149</v>
      </c>
      <c r="FL8" s="362">
        <v>37876</v>
      </c>
      <c r="FM8" s="362">
        <v>37409</v>
      </c>
      <c r="FN8" s="362">
        <v>36999</v>
      </c>
      <c r="FO8" s="362">
        <v>36863</v>
      </c>
      <c r="FP8" s="362">
        <v>36676</v>
      </c>
      <c r="FQ8" s="362">
        <v>36290</v>
      </c>
      <c r="FR8" s="362">
        <v>35830</v>
      </c>
      <c r="FS8" s="362">
        <v>35591</v>
      </c>
      <c r="FT8" s="362">
        <v>35109</v>
      </c>
    </row>
    <row r="9" spans="2:182" ht="13.8" thickBot="1" x14ac:dyDescent="0.3">
      <c r="B9" s="5" t="s">
        <v>8</v>
      </c>
      <c r="C9" s="175">
        <v>275</v>
      </c>
      <c r="D9" s="17">
        <v>671</v>
      </c>
      <c r="E9" s="17">
        <v>1024</v>
      </c>
      <c r="F9" s="17">
        <v>1308</v>
      </c>
      <c r="G9" s="17">
        <v>1528</v>
      </c>
      <c r="H9" s="17">
        <v>1882</v>
      </c>
      <c r="I9" s="17">
        <v>2638</v>
      </c>
      <c r="J9" s="17">
        <v>3829</v>
      </c>
      <c r="K9" s="17">
        <v>4336</v>
      </c>
      <c r="L9" s="17">
        <v>6007</v>
      </c>
      <c r="M9" s="17">
        <v>6681</v>
      </c>
      <c r="N9" s="22">
        <v>7448</v>
      </c>
      <c r="O9" s="175">
        <f>9475</f>
        <v>9475</v>
      </c>
      <c r="P9" s="17">
        <v>9404</v>
      </c>
      <c r="Q9" s="17">
        <v>10971</v>
      </c>
      <c r="R9" s="17">
        <v>11373</v>
      </c>
      <c r="S9" s="17">
        <v>12849</v>
      </c>
      <c r="T9" s="17">
        <v>15177</v>
      </c>
      <c r="U9" s="17">
        <v>18474</v>
      </c>
      <c r="V9" s="17">
        <v>19439</v>
      </c>
      <c r="W9" s="17">
        <v>21158</v>
      </c>
      <c r="X9" s="17">
        <f>X10-X8</f>
        <v>25730</v>
      </c>
      <c r="Y9" s="17">
        <f>Y10-Y8</f>
        <v>22387</v>
      </c>
      <c r="Z9" s="22">
        <f>Z10-Z8</f>
        <v>28060</v>
      </c>
      <c r="AA9" s="175">
        <v>29517</v>
      </c>
      <c r="AB9" s="17">
        <v>28879</v>
      </c>
      <c r="AC9" s="17">
        <v>34201</v>
      </c>
      <c r="AD9" s="17">
        <v>31407</v>
      </c>
      <c r="AE9" s="17">
        <v>30727</v>
      </c>
      <c r="AF9" s="17">
        <v>35363</v>
      </c>
      <c r="AG9" s="17">
        <v>34567</v>
      </c>
      <c r="AH9" s="17">
        <v>39272</v>
      </c>
      <c r="AI9" s="17">
        <v>38787</v>
      </c>
      <c r="AJ9" s="17">
        <v>39495</v>
      </c>
      <c r="AK9" s="17">
        <v>38054</v>
      </c>
      <c r="AL9" s="22">
        <v>39027</v>
      </c>
      <c r="AM9" s="175">
        <v>41882</v>
      </c>
      <c r="AN9" s="17">
        <v>39069</v>
      </c>
      <c r="AO9" s="17">
        <v>42571</v>
      </c>
      <c r="AP9" s="17">
        <v>41268</v>
      </c>
      <c r="AQ9" s="17">
        <v>42932</v>
      </c>
      <c r="AR9" s="17">
        <v>44864</v>
      </c>
      <c r="AS9" s="17">
        <v>43628</v>
      </c>
      <c r="AT9" s="17">
        <v>51748</v>
      </c>
      <c r="AU9" s="17">
        <v>48342</v>
      </c>
      <c r="AV9" s="17">
        <v>49088</v>
      </c>
      <c r="AW9" s="17">
        <v>48078</v>
      </c>
      <c r="AX9" s="22">
        <v>48762</v>
      </c>
      <c r="AY9" s="175">
        <v>52722</v>
      </c>
      <c r="AZ9" s="17">
        <v>50996</v>
      </c>
      <c r="BA9" s="17">
        <v>59265</v>
      </c>
      <c r="BB9" s="17">
        <v>52436</v>
      </c>
      <c r="BC9" s="17">
        <v>59579</v>
      </c>
      <c r="BD9" s="17">
        <v>61866</v>
      </c>
      <c r="BE9" s="17">
        <v>58048</v>
      </c>
      <c r="BF9" s="17">
        <v>69455</v>
      </c>
      <c r="BG9" s="17">
        <v>61522</v>
      </c>
      <c r="BH9" s="17">
        <v>69165</v>
      </c>
      <c r="BI9" s="17">
        <v>63424</v>
      </c>
      <c r="BJ9" s="22">
        <v>60994</v>
      </c>
      <c r="BK9" s="175">
        <v>68138</v>
      </c>
      <c r="BL9" s="17">
        <v>65307</v>
      </c>
      <c r="BM9" s="17">
        <v>72150</v>
      </c>
      <c r="BN9" s="17">
        <v>67107</v>
      </c>
      <c r="BO9" s="17">
        <v>75322</v>
      </c>
      <c r="BP9" s="17">
        <v>73163</v>
      </c>
      <c r="BQ9" s="17">
        <v>74536</v>
      </c>
      <c r="BR9" s="17">
        <v>83054</v>
      </c>
      <c r="BS9" s="17">
        <v>68438</v>
      </c>
      <c r="BT9" s="17">
        <v>78195</v>
      </c>
      <c r="BU9" s="17">
        <v>78921</v>
      </c>
      <c r="BV9" s="22">
        <v>79971</v>
      </c>
      <c r="BW9" s="175">
        <v>80224</v>
      </c>
      <c r="BX9" s="17">
        <v>80892</v>
      </c>
      <c r="BY9" s="17">
        <v>81991</v>
      </c>
      <c r="BZ9" s="17">
        <v>83015</v>
      </c>
      <c r="CA9" s="17">
        <v>84817</v>
      </c>
      <c r="CB9" s="17">
        <v>85063</v>
      </c>
      <c r="CC9" s="17">
        <v>86309</v>
      </c>
      <c r="CD9" s="17">
        <v>87326</v>
      </c>
      <c r="CE9" s="17">
        <v>87775</v>
      </c>
      <c r="CF9" s="17">
        <v>87321</v>
      </c>
      <c r="CG9" s="17">
        <v>90639</v>
      </c>
      <c r="CH9" s="22">
        <v>88745</v>
      </c>
      <c r="CI9" s="72">
        <v>87651</v>
      </c>
      <c r="CJ9" s="92">
        <v>88150</v>
      </c>
      <c r="CK9" s="92">
        <v>88475</v>
      </c>
      <c r="CL9" s="92">
        <v>89029</v>
      </c>
      <c r="CM9" s="92">
        <v>89812</v>
      </c>
      <c r="CN9" s="92">
        <v>90245</v>
      </c>
      <c r="CO9" s="92">
        <v>90757</v>
      </c>
      <c r="CP9" s="92">
        <v>92309</v>
      </c>
      <c r="CQ9" s="92">
        <v>92174</v>
      </c>
      <c r="CR9" s="92">
        <v>92176</v>
      </c>
      <c r="CS9" s="92">
        <v>92736</v>
      </c>
      <c r="CT9" s="93">
        <v>92965</v>
      </c>
      <c r="CU9" s="91">
        <v>85484</v>
      </c>
      <c r="CV9" s="92">
        <v>94414</v>
      </c>
      <c r="CW9" s="92">
        <v>94995</v>
      </c>
      <c r="CX9" s="295">
        <v>95342</v>
      </c>
      <c r="CY9" s="295">
        <v>95789</v>
      </c>
      <c r="CZ9" s="295">
        <v>95824</v>
      </c>
      <c r="DA9" s="92">
        <v>96079</v>
      </c>
      <c r="DB9" s="92">
        <v>90123</v>
      </c>
      <c r="DC9" s="92">
        <v>96866</v>
      </c>
      <c r="DD9" s="92">
        <v>92779</v>
      </c>
      <c r="DE9" s="92">
        <v>91767</v>
      </c>
      <c r="DF9" s="93">
        <v>96654</v>
      </c>
      <c r="DG9" s="284">
        <v>86606</v>
      </c>
      <c r="DH9" s="284">
        <v>98420</v>
      </c>
      <c r="DI9" s="284">
        <v>98569</v>
      </c>
      <c r="DJ9" s="284">
        <v>94743</v>
      </c>
      <c r="DK9" s="284">
        <v>90543</v>
      </c>
      <c r="DL9" s="284">
        <v>99624</v>
      </c>
      <c r="DM9" s="284">
        <v>95249</v>
      </c>
      <c r="DN9" s="284">
        <v>99610</v>
      </c>
      <c r="DO9" s="284">
        <v>95459</v>
      </c>
      <c r="DP9" s="287">
        <v>93998</v>
      </c>
      <c r="DQ9" s="287">
        <v>98077</v>
      </c>
      <c r="DR9" s="287">
        <v>88580</v>
      </c>
      <c r="DS9" s="287">
        <v>87559</v>
      </c>
      <c r="DT9" s="287">
        <v>95451</v>
      </c>
      <c r="DU9" s="287">
        <v>100813</v>
      </c>
      <c r="DV9" s="362">
        <v>100641</v>
      </c>
      <c r="DW9" s="362">
        <v>100875</v>
      </c>
      <c r="DX9" s="362">
        <v>99413</v>
      </c>
      <c r="DY9" s="362">
        <v>101419</v>
      </c>
      <c r="DZ9" s="362">
        <v>101621</v>
      </c>
      <c r="EA9" s="362">
        <v>101482</v>
      </c>
      <c r="EB9" s="362">
        <v>101486</v>
      </c>
      <c r="EC9" s="362">
        <v>102066</v>
      </c>
      <c r="ED9" s="362">
        <v>102015</v>
      </c>
      <c r="EE9" s="362">
        <v>102309</v>
      </c>
      <c r="EF9" s="362">
        <v>102453</v>
      </c>
      <c r="EG9" s="362">
        <v>102718</v>
      </c>
      <c r="EH9" s="362">
        <v>104055</v>
      </c>
      <c r="EI9" s="362">
        <v>103870</v>
      </c>
      <c r="EJ9" s="362">
        <v>103893</v>
      </c>
      <c r="EK9" s="362">
        <v>104734</v>
      </c>
      <c r="EL9" s="362">
        <v>105032</v>
      </c>
      <c r="EM9" s="362">
        <v>104999</v>
      </c>
      <c r="EN9" s="362">
        <v>105124</v>
      </c>
      <c r="EO9" s="362">
        <v>105409</v>
      </c>
      <c r="EP9" s="362">
        <v>104913</v>
      </c>
      <c r="EQ9" s="362">
        <v>101059</v>
      </c>
      <c r="ER9" s="362">
        <v>103883</v>
      </c>
      <c r="ES9" s="362">
        <v>101248</v>
      </c>
      <c r="ET9" s="362">
        <v>106886</v>
      </c>
      <c r="EU9" s="362">
        <v>107571</v>
      </c>
      <c r="EV9" s="362">
        <v>107335</v>
      </c>
      <c r="EW9" s="362">
        <v>108092</v>
      </c>
      <c r="EX9" s="362">
        <v>108234</v>
      </c>
      <c r="EY9" s="362">
        <v>106383</v>
      </c>
      <c r="EZ9" s="362">
        <v>110048</v>
      </c>
      <c r="FA9" s="362">
        <v>110151</v>
      </c>
      <c r="FB9" s="362">
        <v>109605</v>
      </c>
      <c r="FC9" s="362">
        <v>109775</v>
      </c>
      <c r="FD9" s="362">
        <v>110249</v>
      </c>
      <c r="FE9" s="362">
        <v>110209</v>
      </c>
      <c r="FF9" s="92">
        <v>111331</v>
      </c>
      <c r="FG9" s="92">
        <v>111617</v>
      </c>
      <c r="FH9" s="92">
        <v>112084</v>
      </c>
      <c r="FI9" s="92">
        <v>112647</v>
      </c>
      <c r="FJ9" s="92">
        <v>112806</v>
      </c>
      <c r="FK9" s="92">
        <v>112701</v>
      </c>
      <c r="FL9" s="284">
        <v>113836</v>
      </c>
      <c r="FM9" s="284">
        <v>113661</v>
      </c>
      <c r="FN9" s="284">
        <v>113029</v>
      </c>
      <c r="FO9" s="284">
        <v>114227</v>
      </c>
      <c r="FP9" s="284">
        <v>114610</v>
      </c>
      <c r="FQ9" s="284">
        <v>114454</v>
      </c>
      <c r="FR9" s="284">
        <v>115401</v>
      </c>
      <c r="FS9" s="284">
        <v>116360</v>
      </c>
      <c r="FT9" s="284">
        <v>115873</v>
      </c>
    </row>
    <row r="10" spans="2:182" s="1" customFormat="1" ht="13.8" thickTop="1" x14ac:dyDescent="0.25">
      <c r="B10" s="3" t="s">
        <v>9</v>
      </c>
      <c r="C10" s="176">
        <f t="shared" ref="C10:H10" si="0">SUM(C8:C9)</f>
        <v>141519</v>
      </c>
      <c r="D10" s="8">
        <f t="shared" si="0"/>
        <v>143436</v>
      </c>
      <c r="E10" s="8">
        <f t="shared" si="0"/>
        <v>144670</v>
      </c>
      <c r="F10" s="8">
        <f t="shared" si="0"/>
        <v>144870</v>
      </c>
      <c r="G10" s="8">
        <f t="shared" si="0"/>
        <v>145395</v>
      </c>
      <c r="H10" s="8">
        <f t="shared" si="0"/>
        <v>146038</v>
      </c>
      <c r="I10" s="8">
        <f t="shared" ref="I10:Q10" si="1">SUM(I8:I9)</f>
        <v>147872</v>
      </c>
      <c r="J10" s="8">
        <f t="shared" si="1"/>
        <v>149167</v>
      </c>
      <c r="K10" s="8">
        <f t="shared" si="1"/>
        <v>147389</v>
      </c>
      <c r="L10" s="8">
        <f t="shared" si="1"/>
        <v>147059</v>
      </c>
      <c r="M10" s="8">
        <f t="shared" si="1"/>
        <v>146652</v>
      </c>
      <c r="N10" s="9">
        <f t="shared" si="1"/>
        <v>147651</v>
      </c>
      <c r="O10" s="176">
        <f t="shared" si="1"/>
        <v>153317</v>
      </c>
      <c r="P10" s="8">
        <f t="shared" si="1"/>
        <v>137819</v>
      </c>
      <c r="Q10" s="8">
        <f t="shared" si="1"/>
        <v>146634</v>
      </c>
      <c r="R10" s="8">
        <f>SUM(R8:R9)</f>
        <v>145481</v>
      </c>
      <c r="S10" s="8">
        <f>SUM(S8:S9)</f>
        <v>146796</v>
      </c>
      <c r="T10" s="8">
        <f>SUM(T8:T9)</f>
        <v>146805</v>
      </c>
      <c r="U10" s="8">
        <v>154683</v>
      </c>
      <c r="V10" s="8">
        <v>147294</v>
      </c>
      <c r="W10" s="8">
        <v>147049</v>
      </c>
      <c r="X10" s="8">
        <v>156910</v>
      </c>
      <c r="Y10" s="8">
        <v>117794</v>
      </c>
      <c r="Z10" s="9">
        <v>142013</v>
      </c>
      <c r="AA10" s="176">
        <f t="shared" ref="AA10:AF10" si="2">SUM(AA8:AA9)</f>
        <v>147328</v>
      </c>
      <c r="AB10" s="8">
        <f t="shared" si="2"/>
        <v>140988</v>
      </c>
      <c r="AC10" s="8">
        <f t="shared" si="2"/>
        <v>161853</v>
      </c>
      <c r="AD10" s="8">
        <f t="shared" si="2"/>
        <v>145711</v>
      </c>
      <c r="AE10" s="8">
        <f t="shared" si="2"/>
        <v>137351</v>
      </c>
      <c r="AF10" s="8">
        <f t="shared" si="2"/>
        <v>152878</v>
      </c>
      <c r="AG10" s="8">
        <f t="shared" ref="AG10:AL10" si="3">SUM(AG8:AG9)</f>
        <v>143412</v>
      </c>
      <c r="AH10" s="8">
        <f t="shared" si="3"/>
        <v>154318</v>
      </c>
      <c r="AI10" s="8">
        <f t="shared" si="3"/>
        <v>145771</v>
      </c>
      <c r="AJ10" s="8">
        <f t="shared" si="3"/>
        <v>144609</v>
      </c>
      <c r="AK10" s="8">
        <f t="shared" si="3"/>
        <v>137067</v>
      </c>
      <c r="AL10" s="9">
        <f t="shared" si="3"/>
        <v>136636</v>
      </c>
      <c r="AM10" s="176">
        <f t="shared" ref="AM10:AR10" si="4">SUM(AM8:AM9)</f>
        <v>144917</v>
      </c>
      <c r="AN10" s="8">
        <f t="shared" si="4"/>
        <v>132267</v>
      </c>
      <c r="AO10" s="8">
        <f t="shared" si="4"/>
        <v>143993</v>
      </c>
      <c r="AP10" s="8">
        <f t="shared" si="4"/>
        <v>137188</v>
      </c>
      <c r="AQ10" s="8">
        <f t="shared" si="4"/>
        <v>142482</v>
      </c>
      <c r="AR10" s="8">
        <f t="shared" si="4"/>
        <v>146922</v>
      </c>
      <c r="AS10" s="8">
        <f t="shared" ref="AS10:AX10" si="5">SUM(AS8:AS9)</f>
        <v>138201</v>
      </c>
      <c r="AT10" s="8">
        <f t="shared" si="5"/>
        <v>162699</v>
      </c>
      <c r="AU10" s="8">
        <f t="shared" si="5"/>
        <v>145743</v>
      </c>
      <c r="AV10" s="8">
        <f t="shared" si="5"/>
        <v>144284</v>
      </c>
      <c r="AW10" s="8">
        <f t="shared" si="5"/>
        <v>138395</v>
      </c>
      <c r="AX10" s="9">
        <f t="shared" si="5"/>
        <v>137373</v>
      </c>
      <c r="AY10" s="176">
        <f t="shared" ref="AY10:BJ10" si="6">SUM(AY8:AY9)</f>
        <v>146267</v>
      </c>
      <c r="AZ10" s="8">
        <f t="shared" si="6"/>
        <v>138612</v>
      </c>
      <c r="BA10" s="8">
        <f t="shared" si="6"/>
        <v>159818</v>
      </c>
      <c r="BB10" s="8">
        <f t="shared" si="6"/>
        <v>137213</v>
      </c>
      <c r="BC10" s="8">
        <f t="shared" si="6"/>
        <v>154113</v>
      </c>
      <c r="BD10" s="8">
        <f t="shared" si="6"/>
        <v>153719</v>
      </c>
      <c r="BE10" s="8">
        <f t="shared" si="6"/>
        <v>139244</v>
      </c>
      <c r="BF10" s="8">
        <f t="shared" si="6"/>
        <v>162304</v>
      </c>
      <c r="BG10" s="8">
        <f t="shared" si="6"/>
        <v>138557</v>
      </c>
      <c r="BH10" s="8">
        <f t="shared" si="6"/>
        <v>153181</v>
      </c>
      <c r="BI10" s="8">
        <f t="shared" si="6"/>
        <v>137136</v>
      </c>
      <c r="BJ10" s="9">
        <f t="shared" si="6"/>
        <v>130376</v>
      </c>
      <c r="BK10" s="176">
        <f t="shared" ref="BK10:BP10" si="7">SUM(BK8:BK9)</f>
        <v>146258</v>
      </c>
      <c r="BL10" s="8">
        <f t="shared" si="7"/>
        <v>138149</v>
      </c>
      <c r="BM10" s="8">
        <f t="shared" si="7"/>
        <v>152802</v>
      </c>
      <c r="BN10" s="8">
        <f t="shared" si="7"/>
        <v>138796</v>
      </c>
      <c r="BO10" s="8">
        <f t="shared" si="7"/>
        <v>153171</v>
      </c>
      <c r="BP10" s="8">
        <f t="shared" si="7"/>
        <v>146645</v>
      </c>
      <c r="BQ10" s="8">
        <f t="shared" ref="BQ10:CB10" si="8">SUM(BQ8:BQ9)</f>
        <v>146326</v>
      </c>
      <c r="BR10" s="8">
        <f t="shared" si="8"/>
        <v>162141</v>
      </c>
      <c r="BS10" s="8">
        <f t="shared" si="8"/>
        <v>131066</v>
      </c>
      <c r="BT10" s="8">
        <f t="shared" si="8"/>
        <v>147448</v>
      </c>
      <c r="BU10" s="8">
        <f t="shared" si="8"/>
        <v>147430</v>
      </c>
      <c r="BV10" s="9">
        <f t="shared" si="8"/>
        <v>147721</v>
      </c>
      <c r="BW10" s="176">
        <f t="shared" si="8"/>
        <v>147159</v>
      </c>
      <c r="BX10" s="8">
        <f t="shared" si="8"/>
        <v>147486</v>
      </c>
      <c r="BY10" s="8">
        <f t="shared" si="8"/>
        <v>148122</v>
      </c>
      <c r="BZ10" s="8">
        <f t="shared" si="8"/>
        <v>148216</v>
      </c>
      <c r="CA10" s="8">
        <f t="shared" si="8"/>
        <v>148984</v>
      </c>
      <c r="CB10" s="8">
        <f t="shared" si="8"/>
        <v>147910</v>
      </c>
      <c r="CC10" s="8">
        <f t="shared" ref="CC10:CN10" si="9">SUM(CC8:CC9)</f>
        <v>148575</v>
      </c>
      <c r="CD10" s="8">
        <f t="shared" si="9"/>
        <v>149020</v>
      </c>
      <c r="CE10" s="8">
        <f t="shared" si="9"/>
        <v>149000</v>
      </c>
      <c r="CF10" s="8">
        <f t="shared" si="9"/>
        <v>147677</v>
      </c>
      <c r="CG10" s="8">
        <f t="shared" si="9"/>
        <v>150832</v>
      </c>
      <c r="CH10" s="9">
        <f t="shared" si="9"/>
        <v>148393</v>
      </c>
      <c r="CI10" s="106">
        <f t="shared" si="9"/>
        <v>147116</v>
      </c>
      <c r="CJ10" s="94">
        <f t="shared" si="9"/>
        <v>147276</v>
      </c>
      <c r="CK10" s="94">
        <f t="shared" si="9"/>
        <v>147517</v>
      </c>
      <c r="CL10" s="94">
        <f t="shared" si="9"/>
        <v>147569</v>
      </c>
      <c r="CM10" s="94">
        <f t="shared" si="9"/>
        <v>148190</v>
      </c>
      <c r="CN10" s="94">
        <f t="shared" si="9"/>
        <v>147985</v>
      </c>
      <c r="CO10" s="94">
        <f t="shared" ref="CO10:CT10" si="10">SUM(CO8:CO9)</f>
        <v>148145</v>
      </c>
      <c r="CP10" s="94">
        <f t="shared" si="10"/>
        <v>149362</v>
      </c>
      <c r="CQ10" s="94">
        <f t="shared" si="10"/>
        <v>148470</v>
      </c>
      <c r="CR10" s="94">
        <f t="shared" si="10"/>
        <v>147866</v>
      </c>
      <c r="CS10" s="94">
        <f t="shared" si="10"/>
        <v>147567</v>
      </c>
      <c r="CT10" s="107">
        <f t="shared" si="10"/>
        <v>147300</v>
      </c>
      <c r="CU10" s="95">
        <f t="shared" ref="CU10:DK10" si="11">SUM(CU8:CU9)</f>
        <v>134356</v>
      </c>
      <c r="CV10" s="95">
        <f t="shared" si="11"/>
        <v>147982</v>
      </c>
      <c r="CW10" s="95">
        <f t="shared" si="11"/>
        <v>148132</v>
      </c>
      <c r="CX10" s="95">
        <f t="shared" si="11"/>
        <v>148160</v>
      </c>
      <c r="CY10" s="95">
        <f t="shared" si="11"/>
        <v>148587</v>
      </c>
      <c r="CZ10" s="95">
        <f t="shared" si="11"/>
        <v>148374</v>
      </c>
      <c r="DA10" s="95">
        <f t="shared" si="11"/>
        <v>148329</v>
      </c>
      <c r="DB10" s="95">
        <f t="shared" si="11"/>
        <v>138843</v>
      </c>
      <c r="DC10" s="95">
        <f t="shared" si="11"/>
        <v>148367</v>
      </c>
      <c r="DD10" s="95">
        <f t="shared" si="11"/>
        <v>141724</v>
      </c>
      <c r="DE10" s="95">
        <f t="shared" si="11"/>
        <v>139744</v>
      </c>
      <c r="DF10" s="107">
        <f t="shared" si="11"/>
        <v>146415</v>
      </c>
      <c r="DG10" s="95">
        <f t="shared" si="11"/>
        <v>131464</v>
      </c>
      <c r="DH10" s="95">
        <f t="shared" si="11"/>
        <v>147881</v>
      </c>
      <c r="DI10" s="95">
        <f t="shared" si="11"/>
        <v>147966</v>
      </c>
      <c r="DJ10" s="95">
        <f t="shared" si="11"/>
        <v>141856</v>
      </c>
      <c r="DK10" s="95">
        <f t="shared" si="11"/>
        <v>135136</v>
      </c>
      <c r="DL10" s="95">
        <f t="shared" ref="DL10:DU10" si="12">SUM(DL8:DL9)</f>
        <v>148814</v>
      </c>
      <c r="DM10" s="95">
        <f t="shared" si="12"/>
        <v>142268</v>
      </c>
      <c r="DN10" s="95">
        <f t="shared" si="12"/>
        <v>148695</v>
      </c>
      <c r="DO10" s="95">
        <f t="shared" si="12"/>
        <v>142031</v>
      </c>
      <c r="DP10" s="95">
        <f t="shared" si="12"/>
        <v>139720</v>
      </c>
      <c r="DQ10" s="95">
        <f t="shared" si="12"/>
        <v>145797</v>
      </c>
      <c r="DR10" s="95">
        <f t="shared" si="12"/>
        <v>131386</v>
      </c>
      <c r="DS10" s="95">
        <f t="shared" si="12"/>
        <v>129901</v>
      </c>
      <c r="DT10" s="95">
        <f t="shared" si="12"/>
        <v>141252</v>
      </c>
      <c r="DU10" s="95">
        <f t="shared" si="12"/>
        <v>149001</v>
      </c>
      <c r="DV10" s="355">
        <f t="shared" ref="DV10:FQ10" si="13">SUM(DV8:DV9)</f>
        <v>148888</v>
      </c>
      <c r="DW10" s="355">
        <f t="shared" si="13"/>
        <v>149207</v>
      </c>
      <c r="DX10" s="355">
        <f t="shared" si="13"/>
        <v>147378</v>
      </c>
      <c r="DY10" s="355">
        <f t="shared" si="13"/>
        <v>149656</v>
      </c>
      <c r="DZ10" s="355">
        <f t="shared" si="13"/>
        <v>149856</v>
      </c>
      <c r="EA10" s="355">
        <f t="shared" si="13"/>
        <v>149421</v>
      </c>
      <c r="EB10" s="355">
        <f t="shared" si="13"/>
        <v>149548</v>
      </c>
      <c r="EC10" s="355">
        <f t="shared" si="13"/>
        <v>149985</v>
      </c>
      <c r="ED10" s="355">
        <f t="shared" si="13"/>
        <v>149318</v>
      </c>
      <c r="EE10" s="355">
        <f t="shared" si="13"/>
        <v>149676</v>
      </c>
      <c r="EF10" s="355">
        <f t="shared" si="13"/>
        <v>149663</v>
      </c>
      <c r="EG10" s="355">
        <f t="shared" si="13"/>
        <v>149457</v>
      </c>
      <c r="EH10" s="355">
        <f t="shared" si="13"/>
        <v>150814</v>
      </c>
      <c r="EI10" s="355">
        <f t="shared" si="13"/>
        <v>150713</v>
      </c>
      <c r="EJ10" s="355">
        <f t="shared" si="13"/>
        <v>150371</v>
      </c>
      <c r="EK10" s="355">
        <f t="shared" si="13"/>
        <v>151071</v>
      </c>
      <c r="EL10" s="355">
        <f t="shared" si="13"/>
        <v>151302</v>
      </c>
      <c r="EM10" s="355">
        <f t="shared" si="13"/>
        <v>150752</v>
      </c>
      <c r="EN10" s="355">
        <f t="shared" si="13"/>
        <v>150358</v>
      </c>
      <c r="EO10" s="355">
        <f t="shared" si="13"/>
        <v>150339</v>
      </c>
      <c r="EP10" s="355">
        <f t="shared" si="13"/>
        <v>149303</v>
      </c>
      <c r="EQ10" s="355">
        <f t="shared" si="13"/>
        <v>143856</v>
      </c>
      <c r="ER10" s="355">
        <f t="shared" si="13"/>
        <v>147154</v>
      </c>
      <c r="ES10" s="355">
        <f t="shared" si="13"/>
        <v>143164</v>
      </c>
      <c r="ET10" s="355">
        <f t="shared" si="13"/>
        <v>150727</v>
      </c>
      <c r="EU10" s="355">
        <f t="shared" si="13"/>
        <v>151269</v>
      </c>
      <c r="EV10" s="355">
        <f t="shared" si="13"/>
        <v>150883</v>
      </c>
      <c r="EW10" s="355">
        <f t="shared" si="13"/>
        <v>151151</v>
      </c>
      <c r="EX10" s="355">
        <f t="shared" si="13"/>
        <v>150852</v>
      </c>
      <c r="EY10" s="355">
        <f t="shared" si="13"/>
        <v>148766</v>
      </c>
      <c r="EZ10" s="355">
        <f t="shared" si="13"/>
        <v>152137</v>
      </c>
      <c r="FA10" s="355">
        <f t="shared" si="13"/>
        <v>151814</v>
      </c>
      <c r="FB10" s="355">
        <f t="shared" si="13"/>
        <v>151096</v>
      </c>
      <c r="FC10" s="355">
        <f t="shared" si="13"/>
        <v>151214</v>
      </c>
      <c r="FD10" s="355">
        <f t="shared" si="13"/>
        <v>151315</v>
      </c>
      <c r="FE10" s="355">
        <f t="shared" si="13"/>
        <v>150566</v>
      </c>
      <c r="FF10" s="355">
        <f t="shared" si="13"/>
        <v>151405</v>
      </c>
      <c r="FG10" s="355">
        <f t="shared" si="13"/>
        <v>151422</v>
      </c>
      <c r="FH10" s="355">
        <f t="shared" si="13"/>
        <v>151574</v>
      </c>
      <c r="FI10" s="355">
        <f t="shared" si="13"/>
        <v>151724</v>
      </c>
      <c r="FJ10" s="355">
        <f t="shared" si="13"/>
        <v>151687</v>
      </c>
      <c r="FK10" s="355">
        <f t="shared" si="13"/>
        <v>150850</v>
      </c>
      <c r="FL10" s="355">
        <f t="shared" si="13"/>
        <v>151712</v>
      </c>
      <c r="FM10" s="355">
        <f t="shared" si="13"/>
        <v>151070</v>
      </c>
      <c r="FN10" s="355">
        <f t="shared" si="13"/>
        <v>150028</v>
      </c>
      <c r="FO10" s="355">
        <f t="shared" si="13"/>
        <v>151090</v>
      </c>
      <c r="FP10" s="355">
        <f t="shared" si="13"/>
        <v>151286</v>
      </c>
      <c r="FQ10" s="355">
        <f t="shared" si="13"/>
        <v>150744</v>
      </c>
      <c r="FR10" s="355">
        <f t="shared" ref="FR10:FT10" si="14">SUM(FR8:FR9)</f>
        <v>151231</v>
      </c>
      <c r="FS10" s="355">
        <f t="shared" si="14"/>
        <v>151951</v>
      </c>
      <c r="FT10" s="355">
        <f t="shared" si="14"/>
        <v>150982</v>
      </c>
    </row>
    <row r="11" spans="2:182" s="188" customFormat="1" x14ac:dyDescent="0.25">
      <c r="B11" s="264" t="s">
        <v>10</v>
      </c>
      <c r="C11" s="268">
        <f t="shared" ref="C11:H11" si="15">SUM(C8)/C10</f>
        <v>0.99805679802712</v>
      </c>
      <c r="D11" s="259">
        <f t="shared" si="15"/>
        <v>0.99532195543657098</v>
      </c>
      <c r="E11" s="259">
        <f t="shared" si="15"/>
        <v>0.99292182207783231</v>
      </c>
      <c r="F11" s="259">
        <f t="shared" si="15"/>
        <v>0.99097121557258228</v>
      </c>
      <c r="G11" s="259">
        <f t="shared" si="15"/>
        <v>0.98949069775439324</v>
      </c>
      <c r="H11" s="259">
        <f t="shared" si="15"/>
        <v>0.98711294320656262</v>
      </c>
      <c r="I11" s="259">
        <f t="shared" ref="I11:Q11" si="16">SUM(I8)/I10</f>
        <v>0.98216024669984847</v>
      </c>
      <c r="J11" s="259">
        <f t="shared" si="16"/>
        <v>0.97433078361836067</v>
      </c>
      <c r="K11" s="259">
        <f t="shared" si="16"/>
        <v>0.97058125097531023</v>
      </c>
      <c r="L11" s="259">
        <f t="shared" si="16"/>
        <v>0.9591524490170612</v>
      </c>
      <c r="M11" s="259">
        <f t="shared" si="16"/>
        <v>0.95444317158988623</v>
      </c>
      <c r="N11" s="265">
        <f t="shared" si="16"/>
        <v>0.94955672497985111</v>
      </c>
      <c r="O11" s="268">
        <f t="shared" si="16"/>
        <v>0.93819993868912122</v>
      </c>
      <c r="P11" s="259">
        <f t="shared" si="16"/>
        <v>0.93176557658958492</v>
      </c>
      <c r="Q11" s="259">
        <f t="shared" si="16"/>
        <v>0.92518106305495318</v>
      </c>
      <c r="R11" s="259">
        <f t="shared" ref="R11:W11" si="17">SUM(R8)/R10</f>
        <v>0.92182484310666002</v>
      </c>
      <c r="S11" s="259">
        <f t="shared" si="17"/>
        <v>0.91247036703997386</v>
      </c>
      <c r="T11" s="259">
        <f t="shared" si="17"/>
        <v>0.89661796260345361</v>
      </c>
      <c r="U11" s="259">
        <f t="shared" si="17"/>
        <v>0.88056864684548397</v>
      </c>
      <c r="V11" s="259">
        <f t="shared" si="17"/>
        <v>0.86802585305579316</v>
      </c>
      <c r="W11" s="259">
        <f t="shared" si="17"/>
        <v>0.85611598854803506</v>
      </c>
      <c r="X11" s="259">
        <f t="shared" ref="X11:AC11" si="18">SUM(X8)/X10</f>
        <v>0.83602064877955518</v>
      </c>
      <c r="Y11" s="259">
        <f t="shared" si="18"/>
        <v>0.80994787510399513</v>
      </c>
      <c r="Z11" s="265">
        <f t="shared" si="18"/>
        <v>0.80241245519776361</v>
      </c>
      <c r="AA11" s="268">
        <f t="shared" si="18"/>
        <v>0.79965111859252824</v>
      </c>
      <c r="AB11" s="259">
        <f t="shared" si="18"/>
        <v>0.79516696456436009</v>
      </c>
      <c r="AC11" s="259">
        <f t="shared" si="18"/>
        <v>0.78869097267273391</v>
      </c>
      <c r="AD11" s="259">
        <f t="shared" ref="AD11:AI11" si="19">SUM(AD8)/AD10</f>
        <v>0.78445690442039384</v>
      </c>
      <c r="AE11" s="259">
        <f t="shared" si="19"/>
        <v>0.77628848716063226</v>
      </c>
      <c r="AF11" s="259">
        <f t="shared" si="19"/>
        <v>0.76868483365821116</v>
      </c>
      <c r="AG11" s="259">
        <f t="shared" si="19"/>
        <v>0.75896717150587123</v>
      </c>
      <c r="AH11" s="259">
        <f t="shared" si="19"/>
        <v>0.74551251312225408</v>
      </c>
      <c r="AI11" s="259">
        <f t="shared" si="19"/>
        <v>0.73391826906586355</v>
      </c>
      <c r="AJ11" s="259">
        <f t="shared" ref="AJ11:AO11" si="20">SUM(AJ8)/AJ10</f>
        <v>0.72688421882455445</v>
      </c>
      <c r="AK11" s="259">
        <f t="shared" si="20"/>
        <v>0.72236935221461041</v>
      </c>
      <c r="AL11" s="265">
        <f t="shared" si="20"/>
        <v>0.71437249333996899</v>
      </c>
      <c r="AM11" s="268">
        <f t="shared" si="20"/>
        <v>0.71099318920485521</v>
      </c>
      <c r="AN11" s="259">
        <f t="shared" si="20"/>
        <v>0.70462020004989911</v>
      </c>
      <c r="AO11" s="259">
        <f t="shared" si="20"/>
        <v>0.70435368385963204</v>
      </c>
      <c r="AP11" s="259">
        <f t="shared" ref="AP11:AU11" si="21">SUM(AP8)/AP10</f>
        <v>0.69918651777123364</v>
      </c>
      <c r="AQ11" s="259">
        <f t="shared" si="21"/>
        <v>0.6986847461433725</v>
      </c>
      <c r="AR11" s="259">
        <f t="shared" si="21"/>
        <v>0.69464069370141979</v>
      </c>
      <c r="AS11" s="259">
        <f t="shared" si="21"/>
        <v>0.68431487471147101</v>
      </c>
      <c r="AT11" s="259">
        <f t="shared" si="21"/>
        <v>0.68194027006926905</v>
      </c>
      <c r="AU11" s="259">
        <f t="shared" si="21"/>
        <v>0.66830653959366826</v>
      </c>
      <c r="AV11" s="259">
        <f t="shared" ref="AV11:BJ11" si="22">SUM(AV8)/AV10</f>
        <v>0.65978209642094754</v>
      </c>
      <c r="AW11" s="259">
        <f t="shared" si="22"/>
        <v>0.65260305646880301</v>
      </c>
      <c r="AX11" s="265">
        <f t="shared" si="22"/>
        <v>0.64503941822628896</v>
      </c>
      <c r="AY11" s="268">
        <f t="shared" si="22"/>
        <v>0.63954959081679397</v>
      </c>
      <c r="AZ11" s="259">
        <f t="shared" si="22"/>
        <v>0.63209534528035094</v>
      </c>
      <c r="BA11" s="259">
        <f t="shared" si="22"/>
        <v>0.62917193307387154</v>
      </c>
      <c r="BB11" s="259">
        <f t="shared" si="22"/>
        <v>0.61784962066276516</v>
      </c>
      <c r="BC11" s="259">
        <f t="shared" si="22"/>
        <v>0.61340704547961555</v>
      </c>
      <c r="BD11" s="259">
        <f t="shared" si="22"/>
        <v>0.59753836545905192</v>
      </c>
      <c r="BE11" s="259">
        <f t="shared" si="22"/>
        <v>0.58312027807302291</v>
      </c>
      <c r="BF11" s="259">
        <f t="shared" si="22"/>
        <v>0.57206846411671919</v>
      </c>
      <c r="BG11" s="259">
        <f t="shared" si="22"/>
        <v>0.55598057117287469</v>
      </c>
      <c r="BH11" s="259">
        <f t="shared" si="22"/>
        <v>0.54847533310266938</v>
      </c>
      <c r="BI11" s="259">
        <f t="shared" si="22"/>
        <v>0.53751020884377554</v>
      </c>
      <c r="BJ11" s="265">
        <f t="shared" si="22"/>
        <v>0.53216849726943605</v>
      </c>
      <c r="BK11" s="268">
        <f t="shared" ref="BK11:BP11" si="23">SUM(BK8)/BK10</f>
        <v>0.53412462908011871</v>
      </c>
      <c r="BL11" s="259">
        <f t="shared" si="23"/>
        <v>0.52727127956047459</v>
      </c>
      <c r="BM11" s="259">
        <f t="shared" si="23"/>
        <v>0.52782031648800409</v>
      </c>
      <c r="BN11" s="259">
        <f t="shared" si="23"/>
        <v>0.51650623937289264</v>
      </c>
      <c r="BO11" s="259">
        <f t="shared" si="23"/>
        <v>0.50824895051935415</v>
      </c>
      <c r="BP11" s="259">
        <f t="shared" si="23"/>
        <v>0.5010876606771455</v>
      </c>
      <c r="BQ11" s="259">
        <f t="shared" ref="BQ11:CB11" si="24">SUM(BQ8)/BQ10</f>
        <v>0.4906168418462884</v>
      </c>
      <c r="BR11" s="259">
        <f t="shared" si="24"/>
        <v>0.48776682023670753</v>
      </c>
      <c r="BS11" s="259">
        <f t="shared" si="24"/>
        <v>0.47783559428074407</v>
      </c>
      <c r="BT11" s="259">
        <f t="shared" si="24"/>
        <v>0.46967744560794317</v>
      </c>
      <c r="BU11" s="259">
        <f t="shared" si="24"/>
        <v>0.46468832666350135</v>
      </c>
      <c r="BV11" s="265">
        <f t="shared" si="24"/>
        <v>0.458634858957088</v>
      </c>
      <c r="BW11" s="268">
        <f t="shared" si="24"/>
        <v>0.45484815743515516</v>
      </c>
      <c r="BX11" s="259">
        <f t="shared" si="24"/>
        <v>0.45152760261990971</v>
      </c>
      <c r="BY11" s="259">
        <f t="shared" si="24"/>
        <v>0.44646305072845355</v>
      </c>
      <c r="BZ11" s="259">
        <f t="shared" si="24"/>
        <v>0.43990527338478974</v>
      </c>
      <c r="CA11" s="259">
        <f t="shared" si="24"/>
        <v>0.43069725608118992</v>
      </c>
      <c r="CB11" s="259">
        <f t="shared" si="24"/>
        <v>0.42490027719559192</v>
      </c>
      <c r="CC11" s="259">
        <f t="shared" ref="CC11:DK11" si="25">SUM(CC8)/CC10</f>
        <v>0.419088002692243</v>
      </c>
      <c r="CD11" s="259">
        <f t="shared" si="25"/>
        <v>0.41399812105757616</v>
      </c>
      <c r="CE11" s="259">
        <f t="shared" si="25"/>
        <v>0.4109060402684564</v>
      </c>
      <c r="CF11" s="259">
        <f t="shared" si="25"/>
        <v>0.40870277700657515</v>
      </c>
      <c r="CG11" s="259">
        <f t="shared" si="25"/>
        <v>0.39907314097804181</v>
      </c>
      <c r="CH11" s="265">
        <f t="shared" si="25"/>
        <v>0.40195966117000126</v>
      </c>
      <c r="CI11" s="258">
        <f t="shared" si="25"/>
        <v>0.40420484515620325</v>
      </c>
      <c r="CJ11" s="259">
        <f t="shared" si="25"/>
        <v>0.40146391808577092</v>
      </c>
      <c r="CK11" s="259">
        <f t="shared" si="25"/>
        <v>0.40023861656622628</v>
      </c>
      <c r="CL11" s="259">
        <f t="shared" si="25"/>
        <v>0.3966957829896523</v>
      </c>
      <c r="CM11" s="259">
        <f t="shared" si="25"/>
        <v>0.39394021189014106</v>
      </c>
      <c r="CN11" s="259">
        <f t="shared" si="25"/>
        <v>0.39017467986620263</v>
      </c>
      <c r="CO11" s="259">
        <f t="shared" si="25"/>
        <v>0.38737723176617506</v>
      </c>
      <c r="CP11" s="259">
        <f t="shared" si="25"/>
        <v>0.38197801314926155</v>
      </c>
      <c r="CQ11" s="259">
        <f t="shared" si="25"/>
        <v>0.37917424395500776</v>
      </c>
      <c r="CR11" s="259">
        <f t="shared" si="25"/>
        <v>0.37662478189712306</v>
      </c>
      <c r="CS11" s="259">
        <f t="shared" si="25"/>
        <v>0.3715668137185143</v>
      </c>
      <c r="CT11" s="265">
        <f t="shared" si="25"/>
        <v>0.36887304820095046</v>
      </c>
      <c r="CU11" s="259">
        <f t="shared" si="25"/>
        <v>0.36375003721456428</v>
      </c>
      <c r="CV11" s="259">
        <f t="shared" si="25"/>
        <v>0.36198997175332137</v>
      </c>
      <c r="CW11" s="259">
        <f t="shared" si="25"/>
        <v>0.35871384980962923</v>
      </c>
      <c r="CX11" s="259">
        <f t="shared" si="25"/>
        <v>0.3564929805615551</v>
      </c>
      <c r="CY11" s="259">
        <f t="shared" si="25"/>
        <v>0.35533391211882603</v>
      </c>
      <c r="CZ11" s="259">
        <f t="shared" si="25"/>
        <v>0.35417256392629437</v>
      </c>
      <c r="DA11" s="259">
        <f t="shared" si="25"/>
        <v>0.35225748167924009</v>
      </c>
      <c r="DB11" s="259">
        <f t="shared" si="25"/>
        <v>0.35089993733929692</v>
      </c>
      <c r="DC11" s="259">
        <f t="shared" si="25"/>
        <v>0.34711896850377777</v>
      </c>
      <c r="DD11" s="259">
        <f t="shared" si="25"/>
        <v>0.34535435070983039</v>
      </c>
      <c r="DE11" s="259">
        <f t="shared" si="25"/>
        <v>0.3433206434623311</v>
      </c>
      <c r="DF11" s="265">
        <f t="shared" si="25"/>
        <v>0.33986271898371068</v>
      </c>
      <c r="DG11" s="259">
        <f t="shared" si="25"/>
        <v>0.34121888882127427</v>
      </c>
      <c r="DH11" s="259">
        <f t="shared" si="25"/>
        <v>0.33446487378365036</v>
      </c>
      <c r="DI11" s="259">
        <f t="shared" si="25"/>
        <v>0.33384020653393348</v>
      </c>
      <c r="DJ11" s="259">
        <f t="shared" si="25"/>
        <v>0.3321184863523573</v>
      </c>
      <c r="DK11" s="259">
        <f t="shared" si="25"/>
        <v>0.32998608808903623</v>
      </c>
      <c r="DL11" s="259">
        <f t="shared" ref="DL11:DR11" si="26">SUM(DL8)/DL10</f>
        <v>0.33054685715053689</v>
      </c>
      <c r="DM11" s="259">
        <f t="shared" si="26"/>
        <v>0.33049596536114939</v>
      </c>
      <c r="DN11" s="259">
        <f t="shared" si="26"/>
        <v>0.33010524899963012</v>
      </c>
      <c r="DO11" s="259">
        <f t="shared" si="26"/>
        <v>0.32790024712914784</v>
      </c>
      <c r="DP11" s="259">
        <f t="shared" si="26"/>
        <v>0.32724019467506443</v>
      </c>
      <c r="DQ11" s="259">
        <f t="shared" si="26"/>
        <v>0.32730440269690048</v>
      </c>
      <c r="DR11" s="259">
        <f t="shared" si="26"/>
        <v>0.32580335804423605</v>
      </c>
      <c r="DS11" s="259">
        <f t="shared" ref="DS11:FQ11" si="27">SUM(DS8)/DS10</f>
        <v>0.32595592027775</v>
      </c>
      <c r="DT11" s="259">
        <f t="shared" si="27"/>
        <v>0.3242502761022853</v>
      </c>
      <c r="DU11" s="259">
        <f t="shared" si="27"/>
        <v>0.32340722545486272</v>
      </c>
      <c r="DV11" s="282">
        <f t="shared" si="27"/>
        <v>0.32404894954596741</v>
      </c>
      <c r="DW11" s="282">
        <f t="shared" si="27"/>
        <v>0.32392582117460977</v>
      </c>
      <c r="DX11" s="282">
        <f t="shared" si="27"/>
        <v>0.32545563109826431</v>
      </c>
      <c r="DY11" s="282">
        <f t="shared" si="27"/>
        <v>0.32231918533169401</v>
      </c>
      <c r="DZ11" s="282">
        <f t="shared" si="27"/>
        <v>0.32187566730728168</v>
      </c>
      <c r="EA11" s="282">
        <f t="shared" si="27"/>
        <v>0.32083174386465091</v>
      </c>
      <c r="EB11" s="282">
        <f t="shared" si="27"/>
        <v>0.32138176371466015</v>
      </c>
      <c r="EC11" s="282">
        <f t="shared" si="27"/>
        <v>0.31949194919491947</v>
      </c>
      <c r="ED11" s="282">
        <f t="shared" si="27"/>
        <v>0.3167936886376726</v>
      </c>
      <c r="EE11" s="282">
        <f t="shared" si="27"/>
        <v>0.31646356129239156</v>
      </c>
      <c r="EF11" s="282">
        <f t="shared" si="27"/>
        <v>0.31544202641935548</v>
      </c>
      <c r="EG11" s="282">
        <f t="shared" si="27"/>
        <v>0.31272539927872228</v>
      </c>
      <c r="EH11" s="282">
        <f t="shared" si="27"/>
        <v>0.31004416035646559</v>
      </c>
      <c r="EI11" s="282">
        <f t="shared" si="27"/>
        <v>0.31080928652471917</v>
      </c>
      <c r="EJ11" s="282">
        <f t="shared" si="27"/>
        <v>0.30908885356883975</v>
      </c>
      <c r="EK11" s="282">
        <f t="shared" si="27"/>
        <v>0.30672332876594449</v>
      </c>
      <c r="EL11" s="282">
        <f t="shared" si="27"/>
        <v>0.30581221662634994</v>
      </c>
      <c r="EM11" s="282">
        <f t="shared" si="27"/>
        <v>0.30349846104860961</v>
      </c>
      <c r="EN11" s="282">
        <f t="shared" si="27"/>
        <v>0.30084199044946064</v>
      </c>
      <c r="EO11" s="282">
        <f t="shared" si="27"/>
        <v>0.2988579144466838</v>
      </c>
      <c r="EP11" s="282">
        <f t="shared" si="27"/>
        <v>0.29731485636591359</v>
      </c>
      <c r="EQ11" s="282">
        <f t="shared" si="27"/>
        <v>0.29749888777666555</v>
      </c>
      <c r="ER11" s="282">
        <f t="shared" si="27"/>
        <v>0.29405248922897104</v>
      </c>
      <c r="ES11" s="282">
        <f t="shared" si="27"/>
        <v>0.29278310189712498</v>
      </c>
      <c r="ET11" s="282">
        <f t="shared" si="27"/>
        <v>0.29086361434912128</v>
      </c>
      <c r="EU11" s="282">
        <f t="shared" si="27"/>
        <v>0.28887610812526032</v>
      </c>
      <c r="EV11" s="282">
        <f t="shared" si="27"/>
        <v>0.2886209844714116</v>
      </c>
      <c r="EW11" s="282">
        <f t="shared" si="27"/>
        <v>0.28487406633101997</v>
      </c>
      <c r="EX11" s="282">
        <f t="shared" si="27"/>
        <v>0.28251531302203486</v>
      </c>
      <c r="EY11" s="282">
        <f t="shared" si="27"/>
        <v>0.28489708669991798</v>
      </c>
      <c r="EZ11" s="282">
        <f t="shared" si="27"/>
        <v>0.27665196500522554</v>
      </c>
      <c r="FA11" s="282">
        <f t="shared" si="27"/>
        <v>0.27443450538158537</v>
      </c>
      <c r="FB11" s="282">
        <f t="shared" si="27"/>
        <v>0.27460025414306138</v>
      </c>
      <c r="FC11" s="282">
        <f t="shared" si="27"/>
        <v>0.27404208605023345</v>
      </c>
      <c r="FD11" s="282">
        <f t="shared" si="27"/>
        <v>0.27139411162145194</v>
      </c>
      <c r="FE11" s="282">
        <f t="shared" si="27"/>
        <v>0.26803528020934342</v>
      </c>
      <c r="FF11" s="282">
        <f t="shared" si="27"/>
        <v>0.26468082295829065</v>
      </c>
      <c r="FG11" s="282">
        <f t="shared" si="27"/>
        <v>0.26287461531349476</v>
      </c>
      <c r="FH11" s="282">
        <f t="shared" si="27"/>
        <v>0.2605328090569623</v>
      </c>
      <c r="FI11" s="282">
        <f t="shared" si="27"/>
        <v>0.25755318868471699</v>
      </c>
      <c r="FJ11" s="282">
        <f t="shared" si="27"/>
        <v>0.25632387745818691</v>
      </c>
      <c r="FK11" s="282">
        <f t="shared" si="27"/>
        <v>0.25289360291680479</v>
      </c>
      <c r="FL11" s="282">
        <f t="shared" si="27"/>
        <v>0.24965724530689729</v>
      </c>
      <c r="FM11" s="282">
        <f t="shared" si="27"/>
        <v>0.24762692791421195</v>
      </c>
      <c r="FN11" s="282">
        <f t="shared" si="27"/>
        <v>0.24661396539312661</v>
      </c>
      <c r="FO11" s="282">
        <f t="shared" si="27"/>
        <v>0.24398040902773183</v>
      </c>
      <c r="FP11" s="282">
        <f t="shared" si="27"/>
        <v>0.2424282484830057</v>
      </c>
      <c r="FQ11" s="282">
        <f t="shared" si="27"/>
        <v>0.24073926657114048</v>
      </c>
      <c r="FR11" s="282">
        <f t="shared" ref="FR11:FT11" si="28">SUM(FR8)/FR10</f>
        <v>0.23692232412666714</v>
      </c>
      <c r="FS11" s="282">
        <f t="shared" si="28"/>
        <v>0.23422682312061124</v>
      </c>
      <c r="FT11" s="282">
        <f t="shared" si="28"/>
        <v>0.23253765349511862</v>
      </c>
    </row>
    <row r="12" spans="2:182" s="188" customFormat="1" ht="13.8" thickBot="1" x14ac:dyDescent="0.3">
      <c r="B12" s="266" t="s">
        <v>11</v>
      </c>
      <c r="C12" s="269">
        <f t="shared" ref="C12:H12" si="29">SUM(C9/C10)</f>
        <v>1.9432019728799666E-3</v>
      </c>
      <c r="D12" s="261">
        <f t="shared" si="29"/>
        <v>4.6780445634289859E-3</v>
      </c>
      <c r="E12" s="261">
        <f t="shared" si="29"/>
        <v>7.0781779221676918E-3</v>
      </c>
      <c r="F12" s="261">
        <f t="shared" si="29"/>
        <v>9.0287844274176843E-3</v>
      </c>
      <c r="G12" s="261">
        <f t="shared" si="29"/>
        <v>1.0509302245606795E-2</v>
      </c>
      <c r="H12" s="261">
        <f t="shared" si="29"/>
        <v>1.2887056793437324E-2</v>
      </c>
      <c r="I12" s="261">
        <f t="shared" ref="I12:Q12" si="30">SUM(I9/I10)</f>
        <v>1.7839753300151483E-2</v>
      </c>
      <c r="J12" s="261">
        <f t="shared" si="30"/>
        <v>2.5669216381639371E-2</v>
      </c>
      <c r="K12" s="261">
        <f t="shared" si="30"/>
        <v>2.9418749024689765E-2</v>
      </c>
      <c r="L12" s="261">
        <f t="shared" si="30"/>
        <v>4.0847550982938824E-2</v>
      </c>
      <c r="M12" s="261">
        <f t="shared" si="30"/>
        <v>4.5556828410113735E-2</v>
      </c>
      <c r="N12" s="267">
        <f t="shared" si="30"/>
        <v>5.0443275020148864E-2</v>
      </c>
      <c r="O12" s="269">
        <f t="shared" si="30"/>
        <v>6.1800061310878771E-2</v>
      </c>
      <c r="P12" s="261">
        <f t="shared" si="30"/>
        <v>6.8234423410415107E-2</v>
      </c>
      <c r="Q12" s="261">
        <f t="shared" si="30"/>
        <v>7.4818936945046849E-2</v>
      </c>
      <c r="R12" s="261">
        <f t="shared" ref="R12:W12" si="31">SUM(R9/R10)</f>
        <v>7.8175156893340023E-2</v>
      </c>
      <c r="S12" s="261">
        <f t="shared" si="31"/>
        <v>8.7529632960026152E-2</v>
      </c>
      <c r="T12" s="261">
        <f t="shared" si="31"/>
        <v>0.10338203739654644</v>
      </c>
      <c r="U12" s="261">
        <f t="shared" si="31"/>
        <v>0.11943135315451602</v>
      </c>
      <c r="V12" s="261">
        <f t="shared" si="31"/>
        <v>0.13197414694420684</v>
      </c>
      <c r="W12" s="261">
        <f t="shared" si="31"/>
        <v>0.143884011451965</v>
      </c>
      <c r="X12" s="261">
        <f t="shared" ref="X12:AC12" si="32">SUM(X9/X10)</f>
        <v>0.16397935122044485</v>
      </c>
      <c r="Y12" s="261">
        <f t="shared" si="32"/>
        <v>0.1900521248960049</v>
      </c>
      <c r="Z12" s="267">
        <f t="shared" si="32"/>
        <v>0.19758754480223642</v>
      </c>
      <c r="AA12" s="269">
        <f t="shared" si="32"/>
        <v>0.20034888140747176</v>
      </c>
      <c r="AB12" s="261">
        <f t="shared" si="32"/>
        <v>0.20483303543563991</v>
      </c>
      <c r="AC12" s="261">
        <f t="shared" si="32"/>
        <v>0.21130902732726609</v>
      </c>
      <c r="AD12" s="261">
        <f t="shared" ref="AD12:AI12" si="33">SUM(AD9/AD10)</f>
        <v>0.21554309557960621</v>
      </c>
      <c r="AE12" s="261">
        <f t="shared" si="33"/>
        <v>0.22371151283936774</v>
      </c>
      <c r="AF12" s="261">
        <f t="shared" si="33"/>
        <v>0.23131516634178886</v>
      </c>
      <c r="AG12" s="261">
        <f t="shared" si="33"/>
        <v>0.2410328284941288</v>
      </c>
      <c r="AH12" s="261">
        <f t="shared" si="33"/>
        <v>0.25448748687774597</v>
      </c>
      <c r="AI12" s="261">
        <f t="shared" si="33"/>
        <v>0.2660817309341364</v>
      </c>
      <c r="AJ12" s="261">
        <f t="shared" ref="AJ12:AO12" si="34">SUM(AJ9/AJ10)</f>
        <v>0.27311578117544549</v>
      </c>
      <c r="AK12" s="261">
        <f t="shared" si="34"/>
        <v>0.27763064778538965</v>
      </c>
      <c r="AL12" s="267">
        <f t="shared" si="34"/>
        <v>0.28562750666003101</v>
      </c>
      <c r="AM12" s="269">
        <f t="shared" si="34"/>
        <v>0.28900681079514479</v>
      </c>
      <c r="AN12" s="261">
        <f t="shared" si="34"/>
        <v>0.29537979995010094</v>
      </c>
      <c r="AO12" s="261">
        <f t="shared" si="34"/>
        <v>0.29564631614036796</v>
      </c>
      <c r="AP12" s="261">
        <f t="shared" ref="AP12:AU12" si="35">SUM(AP9/AP10)</f>
        <v>0.30081348222876636</v>
      </c>
      <c r="AQ12" s="261">
        <f t="shared" si="35"/>
        <v>0.3013152538566275</v>
      </c>
      <c r="AR12" s="261">
        <f t="shared" si="35"/>
        <v>0.30535930629858021</v>
      </c>
      <c r="AS12" s="261">
        <f t="shared" si="35"/>
        <v>0.31568512528852904</v>
      </c>
      <c r="AT12" s="261">
        <f t="shared" si="35"/>
        <v>0.31805972993073101</v>
      </c>
      <c r="AU12" s="261">
        <f t="shared" si="35"/>
        <v>0.33169346040633169</v>
      </c>
      <c r="AV12" s="261">
        <f>SUM(AV9/AV10)</f>
        <v>0.34021790357905241</v>
      </c>
      <c r="AW12" s="261">
        <f>SUM(AW9/AW10)</f>
        <v>0.34739694353119693</v>
      </c>
      <c r="AX12" s="267">
        <f>SUM(AX9/AX10)</f>
        <v>0.35496058177371098</v>
      </c>
      <c r="AY12" s="269">
        <f t="shared" ref="AY12:BG12" si="36">SUM(AY9/AY10)</f>
        <v>0.36045040918320603</v>
      </c>
      <c r="AZ12" s="261">
        <f t="shared" si="36"/>
        <v>0.36790465471964912</v>
      </c>
      <c r="BA12" s="261">
        <f t="shared" si="36"/>
        <v>0.37082806692612846</v>
      </c>
      <c r="BB12" s="261">
        <f t="shared" si="36"/>
        <v>0.38215037933723484</v>
      </c>
      <c r="BC12" s="261">
        <f t="shared" si="36"/>
        <v>0.38659295452038439</v>
      </c>
      <c r="BD12" s="261">
        <f t="shared" si="36"/>
        <v>0.40246163454094808</v>
      </c>
      <c r="BE12" s="261">
        <f t="shared" si="36"/>
        <v>0.41687972192697709</v>
      </c>
      <c r="BF12" s="261">
        <f t="shared" si="36"/>
        <v>0.42793153588328076</v>
      </c>
      <c r="BG12" s="261">
        <f t="shared" si="36"/>
        <v>0.44401942882712531</v>
      </c>
      <c r="BH12" s="261">
        <f t="shared" ref="BH12:BM12" si="37">SUM(BH9/BH10)</f>
        <v>0.45152466689733062</v>
      </c>
      <c r="BI12" s="261">
        <f t="shared" si="37"/>
        <v>0.46248979115622446</v>
      </c>
      <c r="BJ12" s="267">
        <f t="shared" si="37"/>
        <v>0.4678315027305639</v>
      </c>
      <c r="BK12" s="269">
        <f t="shared" si="37"/>
        <v>0.46587537091988129</v>
      </c>
      <c r="BL12" s="261">
        <f t="shared" si="37"/>
        <v>0.47272872043952546</v>
      </c>
      <c r="BM12" s="261">
        <f t="shared" si="37"/>
        <v>0.47217968351199591</v>
      </c>
      <c r="BN12" s="261">
        <f t="shared" ref="BN12:BS12" si="38">SUM(BN9/BN10)</f>
        <v>0.48349376062710742</v>
      </c>
      <c r="BO12" s="261">
        <f t="shared" si="38"/>
        <v>0.4917510494806458</v>
      </c>
      <c r="BP12" s="261">
        <f t="shared" si="38"/>
        <v>0.4989123393228545</v>
      </c>
      <c r="BQ12" s="261">
        <f t="shared" si="38"/>
        <v>0.5093831581537116</v>
      </c>
      <c r="BR12" s="261">
        <f t="shared" si="38"/>
        <v>0.51223317976329241</v>
      </c>
      <c r="BS12" s="261">
        <f t="shared" si="38"/>
        <v>0.52216440571925593</v>
      </c>
      <c r="BT12" s="261">
        <f>SUM(BT9/BT10)</f>
        <v>0.53032255439205689</v>
      </c>
      <c r="BU12" s="261">
        <f>SUM(BU9/BU10)</f>
        <v>0.53531167333649865</v>
      </c>
      <c r="BV12" s="267">
        <f>SUM(BV9/BV10)</f>
        <v>0.541365141042912</v>
      </c>
      <c r="BW12" s="269">
        <f t="shared" ref="BW12:CB12" si="39">SUM(BW9/BW10)</f>
        <v>0.54515184256484484</v>
      </c>
      <c r="BX12" s="261">
        <f t="shared" si="39"/>
        <v>0.54847239738009035</v>
      </c>
      <c r="BY12" s="261">
        <f t="shared" si="39"/>
        <v>0.5535369492715464</v>
      </c>
      <c r="BZ12" s="261">
        <f t="shared" si="39"/>
        <v>0.5600947266152102</v>
      </c>
      <c r="CA12" s="261">
        <f t="shared" si="39"/>
        <v>0.56930274391881008</v>
      </c>
      <c r="CB12" s="261">
        <f t="shared" si="39"/>
        <v>0.57509972280440813</v>
      </c>
      <c r="CC12" s="261">
        <f t="shared" ref="CC12:DK12" si="40">SUM(CC9/CC10)</f>
        <v>0.580911997307757</v>
      </c>
      <c r="CD12" s="261">
        <f t="shared" si="40"/>
        <v>0.58600187894242384</v>
      </c>
      <c r="CE12" s="261">
        <f t="shared" si="40"/>
        <v>0.58909395973154366</v>
      </c>
      <c r="CF12" s="261">
        <f t="shared" si="40"/>
        <v>0.5912972229934248</v>
      </c>
      <c r="CG12" s="261">
        <f t="shared" si="40"/>
        <v>0.60092685902195819</v>
      </c>
      <c r="CH12" s="267">
        <f t="shared" si="40"/>
        <v>0.59804033882999874</v>
      </c>
      <c r="CI12" s="260">
        <f t="shared" si="40"/>
        <v>0.59579515484379675</v>
      </c>
      <c r="CJ12" s="261">
        <f t="shared" si="40"/>
        <v>0.59853608191422902</v>
      </c>
      <c r="CK12" s="261">
        <f t="shared" si="40"/>
        <v>0.59976138343377372</v>
      </c>
      <c r="CL12" s="261">
        <f t="shared" si="40"/>
        <v>0.60330421701034775</v>
      </c>
      <c r="CM12" s="261">
        <f t="shared" si="40"/>
        <v>0.60605978810985894</v>
      </c>
      <c r="CN12" s="261">
        <f t="shared" si="40"/>
        <v>0.60982532013379731</v>
      </c>
      <c r="CO12" s="261">
        <f t="shared" si="40"/>
        <v>0.612622768233825</v>
      </c>
      <c r="CP12" s="261">
        <f t="shared" si="40"/>
        <v>0.6180219868507385</v>
      </c>
      <c r="CQ12" s="261">
        <f t="shared" si="40"/>
        <v>0.62082575604499224</v>
      </c>
      <c r="CR12" s="261">
        <f t="shared" si="40"/>
        <v>0.62337521810287688</v>
      </c>
      <c r="CS12" s="261">
        <f t="shared" si="40"/>
        <v>0.6284331862814857</v>
      </c>
      <c r="CT12" s="267">
        <f t="shared" si="40"/>
        <v>0.63112695179904954</v>
      </c>
      <c r="CU12" s="261">
        <f t="shared" si="40"/>
        <v>0.63624996278543566</v>
      </c>
      <c r="CV12" s="261">
        <f t="shared" si="40"/>
        <v>0.63801002824667863</v>
      </c>
      <c r="CW12" s="261">
        <f t="shared" si="40"/>
        <v>0.64128615019037072</v>
      </c>
      <c r="CX12" s="261">
        <f t="shared" si="40"/>
        <v>0.6435070194384449</v>
      </c>
      <c r="CY12" s="261">
        <f t="shared" si="40"/>
        <v>0.64466608788117397</v>
      </c>
      <c r="CZ12" s="261">
        <f t="shared" si="40"/>
        <v>0.64582743607370563</v>
      </c>
      <c r="DA12" s="261">
        <f t="shared" si="40"/>
        <v>0.64774251832075991</v>
      </c>
      <c r="DB12" s="261">
        <f t="shared" si="40"/>
        <v>0.64910006266070308</v>
      </c>
      <c r="DC12" s="261">
        <f t="shared" si="40"/>
        <v>0.65288103149622223</v>
      </c>
      <c r="DD12" s="261">
        <f t="shared" si="40"/>
        <v>0.65464564929016966</v>
      </c>
      <c r="DE12" s="261">
        <f t="shared" si="40"/>
        <v>0.65667935653766885</v>
      </c>
      <c r="DF12" s="267">
        <f t="shared" si="40"/>
        <v>0.66013728101628932</v>
      </c>
      <c r="DG12" s="261">
        <f t="shared" si="40"/>
        <v>0.65878111117872573</v>
      </c>
      <c r="DH12" s="261">
        <f t="shared" si="40"/>
        <v>0.66553512621634958</v>
      </c>
      <c r="DI12" s="261">
        <f t="shared" si="40"/>
        <v>0.66615979346606657</v>
      </c>
      <c r="DJ12" s="261">
        <f t="shared" si="40"/>
        <v>0.6678815136476427</v>
      </c>
      <c r="DK12" s="261">
        <f t="shared" si="40"/>
        <v>0.67001391191096382</v>
      </c>
      <c r="DL12" s="261">
        <f t="shared" ref="DL12:DR12" si="41">SUM(DL9/DL10)</f>
        <v>0.66945314284946311</v>
      </c>
      <c r="DM12" s="261">
        <f t="shared" si="41"/>
        <v>0.66950403463885066</v>
      </c>
      <c r="DN12" s="261">
        <f t="shared" si="41"/>
        <v>0.66989475100036988</v>
      </c>
      <c r="DO12" s="261">
        <f t="shared" si="41"/>
        <v>0.67209975287085211</v>
      </c>
      <c r="DP12" s="261">
        <f t="shared" si="41"/>
        <v>0.67275980532493562</v>
      </c>
      <c r="DQ12" s="261">
        <f t="shared" si="41"/>
        <v>0.67269559730309947</v>
      </c>
      <c r="DR12" s="261">
        <f t="shared" si="41"/>
        <v>0.6741966419557639</v>
      </c>
      <c r="DS12" s="261">
        <f t="shared" ref="DS12:FQ12" si="42">SUM(DS9/DS10)</f>
        <v>0.67404407972225</v>
      </c>
      <c r="DT12" s="261">
        <f t="shared" si="42"/>
        <v>0.6757497238977147</v>
      </c>
      <c r="DU12" s="261">
        <f t="shared" si="42"/>
        <v>0.67659277454513733</v>
      </c>
      <c r="DV12" s="354">
        <f t="shared" si="42"/>
        <v>0.67595105045403259</v>
      </c>
      <c r="DW12" s="354">
        <f t="shared" si="42"/>
        <v>0.67607417882539023</v>
      </c>
      <c r="DX12" s="354">
        <f t="shared" si="42"/>
        <v>0.67454436890173564</v>
      </c>
      <c r="DY12" s="354">
        <f t="shared" si="42"/>
        <v>0.67768081466830599</v>
      </c>
      <c r="DZ12" s="354">
        <f t="shared" si="42"/>
        <v>0.67812433269271832</v>
      </c>
      <c r="EA12" s="354">
        <f t="shared" si="42"/>
        <v>0.67916825613534915</v>
      </c>
      <c r="EB12" s="354">
        <f t="shared" si="42"/>
        <v>0.67861823628533979</v>
      </c>
      <c r="EC12" s="354">
        <f t="shared" si="42"/>
        <v>0.68050805080508048</v>
      </c>
      <c r="ED12" s="354">
        <f t="shared" si="42"/>
        <v>0.68320631136232735</v>
      </c>
      <c r="EE12" s="354">
        <f t="shared" si="42"/>
        <v>0.68353643870760838</v>
      </c>
      <c r="EF12" s="354">
        <f t="shared" si="42"/>
        <v>0.68455797358064452</v>
      </c>
      <c r="EG12" s="354">
        <f t="shared" si="42"/>
        <v>0.68727460072127766</v>
      </c>
      <c r="EH12" s="354">
        <f t="shared" si="42"/>
        <v>0.68995583964353446</v>
      </c>
      <c r="EI12" s="354">
        <f t="shared" si="42"/>
        <v>0.68919071347528083</v>
      </c>
      <c r="EJ12" s="354">
        <f t="shared" si="42"/>
        <v>0.69091114643116025</v>
      </c>
      <c r="EK12" s="354">
        <f t="shared" si="42"/>
        <v>0.69327667123405556</v>
      </c>
      <c r="EL12" s="354">
        <f t="shared" si="42"/>
        <v>0.69418778337365006</v>
      </c>
      <c r="EM12" s="354">
        <f t="shared" si="42"/>
        <v>0.69650153895139033</v>
      </c>
      <c r="EN12" s="354">
        <f t="shared" si="42"/>
        <v>0.69915800955053942</v>
      </c>
      <c r="EO12" s="354">
        <f t="shared" si="42"/>
        <v>0.70114208555331614</v>
      </c>
      <c r="EP12" s="354">
        <f t="shared" si="42"/>
        <v>0.70268514363408641</v>
      </c>
      <c r="EQ12" s="354">
        <f t="shared" si="42"/>
        <v>0.70250111222333445</v>
      </c>
      <c r="ER12" s="354">
        <f t="shared" si="42"/>
        <v>0.70594751077102902</v>
      </c>
      <c r="ES12" s="354">
        <f t="shared" si="42"/>
        <v>0.70721689810287502</v>
      </c>
      <c r="ET12" s="354">
        <f t="shared" si="42"/>
        <v>0.70913638565087878</v>
      </c>
      <c r="EU12" s="354">
        <f t="shared" si="42"/>
        <v>0.71112389187473968</v>
      </c>
      <c r="EV12" s="354">
        <f t="shared" si="42"/>
        <v>0.7113790155285884</v>
      </c>
      <c r="EW12" s="354">
        <f t="shared" si="42"/>
        <v>0.71512593366898003</v>
      </c>
      <c r="EX12" s="354">
        <f t="shared" si="42"/>
        <v>0.71748468697796519</v>
      </c>
      <c r="EY12" s="354">
        <f t="shared" si="42"/>
        <v>0.71510291330008202</v>
      </c>
      <c r="EZ12" s="354">
        <f t="shared" si="42"/>
        <v>0.7233480349947744</v>
      </c>
      <c r="FA12" s="354">
        <f t="shared" si="42"/>
        <v>0.72556549461841469</v>
      </c>
      <c r="FB12" s="354">
        <f t="shared" si="42"/>
        <v>0.72539974585693867</v>
      </c>
      <c r="FC12" s="354">
        <f t="shared" si="42"/>
        <v>0.72595791394976661</v>
      </c>
      <c r="FD12" s="354">
        <f t="shared" si="42"/>
        <v>0.72860588837854812</v>
      </c>
      <c r="FE12" s="354">
        <f t="shared" si="42"/>
        <v>0.73196471979065658</v>
      </c>
      <c r="FF12" s="354">
        <f t="shared" si="42"/>
        <v>0.73531917704170935</v>
      </c>
      <c r="FG12" s="354">
        <f t="shared" si="42"/>
        <v>0.73712538468650524</v>
      </c>
      <c r="FH12" s="354">
        <f t="shared" si="42"/>
        <v>0.7394671909430377</v>
      </c>
      <c r="FI12" s="354">
        <f t="shared" si="42"/>
        <v>0.74244681131528301</v>
      </c>
      <c r="FJ12" s="354">
        <f t="shared" si="42"/>
        <v>0.74367612254181303</v>
      </c>
      <c r="FK12" s="354">
        <f t="shared" si="42"/>
        <v>0.74710639708319526</v>
      </c>
      <c r="FL12" s="354">
        <f t="shared" si="42"/>
        <v>0.75034275469310274</v>
      </c>
      <c r="FM12" s="354">
        <f t="shared" si="42"/>
        <v>0.75237307208578807</v>
      </c>
      <c r="FN12" s="354">
        <f t="shared" si="42"/>
        <v>0.75338603460687337</v>
      </c>
      <c r="FO12" s="354">
        <f t="shared" si="42"/>
        <v>0.75601959097226823</v>
      </c>
      <c r="FP12" s="354">
        <f t="shared" si="42"/>
        <v>0.7575717515169943</v>
      </c>
      <c r="FQ12" s="354">
        <f t="shared" si="42"/>
        <v>0.75926073342885947</v>
      </c>
      <c r="FR12" s="354">
        <f t="shared" ref="FR12:FT12" si="43">SUM(FR9/FR10)</f>
        <v>0.76307767587333286</v>
      </c>
      <c r="FS12" s="354">
        <f t="shared" si="43"/>
        <v>0.76577317687938873</v>
      </c>
      <c r="FT12" s="354">
        <f t="shared" si="43"/>
        <v>0.76746234650488143</v>
      </c>
    </row>
    <row r="13" spans="2:182" x14ac:dyDescent="0.25">
      <c r="B13" s="3"/>
      <c r="C13" s="81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20"/>
      <c r="O13" s="81"/>
      <c r="P13" s="18"/>
      <c r="Q13" s="18"/>
      <c r="R13" s="18"/>
      <c r="S13" s="18"/>
      <c r="T13" s="19"/>
      <c r="U13" s="18"/>
      <c r="V13" s="18"/>
      <c r="W13" s="18"/>
      <c r="X13" s="18"/>
      <c r="Y13" s="18"/>
      <c r="Z13" s="20"/>
      <c r="AA13" s="81"/>
      <c r="AB13" s="18"/>
      <c r="AC13" s="18"/>
      <c r="AD13" s="18"/>
      <c r="AE13" s="18"/>
      <c r="AF13" s="19"/>
      <c r="AG13" s="18"/>
      <c r="AH13" s="18"/>
      <c r="AI13" s="18"/>
      <c r="AJ13" s="18"/>
      <c r="AK13" s="18"/>
      <c r="AL13" s="20"/>
      <c r="AM13" s="81"/>
      <c r="AN13" s="18"/>
      <c r="AO13" s="18"/>
      <c r="AP13" s="18"/>
      <c r="AQ13" s="18"/>
      <c r="AR13" s="19"/>
      <c r="AS13" s="18"/>
      <c r="AT13" s="18"/>
      <c r="AU13" s="18"/>
      <c r="AV13" s="18"/>
      <c r="AW13" s="18"/>
      <c r="AX13" s="20"/>
      <c r="AY13" s="81"/>
      <c r="AZ13" s="18"/>
      <c r="BA13" s="18"/>
      <c r="BB13" s="18"/>
      <c r="BC13" s="18"/>
      <c r="BD13" s="19"/>
      <c r="BE13" s="18"/>
      <c r="BF13" s="18"/>
      <c r="BG13" s="18"/>
      <c r="BH13" s="18"/>
      <c r="BI13" s="18"/>
      <c r="BJ13" s="20"/>
      <c r="BK13" s="81"/>
      <c r="BL13" s="18"/>
      <c r="BM13" s="18"/>
      <c r="BN13" s="18"/>
      <c r="BO13" s="18"/>
      <c r="BP13" s="19"/>
      <c r="BQ13" s="18"/>
      <c r="BR13" s="18"/>
      <c r="BS13" s="18"/>
      <c r="BT13" s="18"/>
      <c r="BU13" s="18"/>
      <c r="BV13" s="20"/>
      <c r="BW13" s="81"/>
      <c r="BX13" s="18"/>
      <c r="BY13" s="18"/>
      <c r="BZ13" s="18"/>
      <c r="CA13" s="18"/>
      <c r="CB13" s="19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V13" s="302"/>
      <c r="DW13" s="302"/>
      <c r="DX13" s="302"/>
      <c r="DZ13" s="362"/>
    </row>
    <row r="14" spans="2:182" x14ac:dyDescent="0.25">
      <c r="B14" s="55" t="s">
        <v>13</v>
      </c>
      <c r="C14" s="81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20"/>
      <c r="O14" s="81"/>
      <c r="P14" s="18"/>
      <c r="Q14" s="18"/>
      <c r="R14" s="18"/>
      <c r="S14" s="18"/>
      <c r="T14" s="19"/>
      <c r="U14" s="18"/>
      <c r="V14" s="18"/>
      <c r="W14" s="18"/>
      <c r="X14" s="18"/>
      <c r="Y14" s="18"/>
      <c r="Z14" s="20"/>
      <c r="AA14" s="81"/>
      <c r="AB14" s="18"/>
      <c r="AC14" s="18"/>
      <c r="AD14" s="18"/>
      <c r="AE14" s="18"/>
      <c r="AF14" s="19"/>
      <c r="AG14" s="18"/>
      <c r="AH14" s="18"/>
      <c r="AI14" s="18"/>
      <c r="AJ14" s="18"/>
      <c r="AK14" s="18"/>
      <c r="AL14" s="20"/>
      <c r="AM14" s="81"/>
      <c r="AN14" s="18"/>
      <c r="AO14" s="18"/>
      <c r="AP14" s="18"/>
      <c r="AQ14" s="18"/>
      <c r="AR14" s="19"/>
      <c r="AS14" s="18"/>
      <c r="AT14" s="18"/>
      <c r="AU14" s="18"/>
      <c r="AV14" s="18"/>
      <c r="AW14" s="18"/>
      <c r="AX14" s="20"/>
      <c r="AY14" s="81"/>
      <c r="AZ14" s="18"/>
      <c r="BA14" s="18"/>
      <c r="BB14" s="18"/>
      <c r="BC14" s="18"/>
      <c r="BD14" s="19"/>
      <c r="BE14" s="18"/>
      <c r="BF14" s="18"/>
      <c r="BG14" s="18"/>
      <c r="BH14" s="18"/>
      <c r="BI14" s="18"/>
      <c r="BJ14" s="20"/>
      <c r="BK14" s="81"/>
      <c r="BL14" s="18"/>
      <c r="BM14" s="18"/>
      <c r="BN14" s="18"/>
      <c r="BO14" s="18"/>
      <c r="BP14" s="19"/>
      <c r="BQ14" s="18"/>
      <c r="BR14" s="18"/>
      <c r="BS14" s="18"/>
      <c r="BT14" s="18"/>
      <c r="BU14" s="18"/>
      <c r="BV14" s="20"/>
      <c r="BW14" s="81"/>
      <c r="BX14" s="18"/>
      <c r="BY14" s="18"/>
      <c r="BZ14" s="18"/>
      <c r="CA14" s="18"/>
      <c r="CB14" s="19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338"/>
      <c r="DV14" s="302"/>
      <c r="DW14" s="302"/>
      <c r="DX14" s="302"/>
      <c r="DZ14" s="362"/>
    </row>
    <row r="15" spans="2:182" x14ac:dyDescent="0.25">
      <c r="B15" s="3"/>
      <c r="C15" s="81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20"/>
      <c r="O15" s="81"/>
      <c r="P15" s="18"/>
      <c r="Q15" s="18"/>
      <c r="R15" s="18"/>
      <c r="S15" s="18"/>
      <c r="T15" s="19"/>
      <c r="U15" s="18"/>
      <c r="V15" s="18"/>
      <c r="W15" s="18"/>
      <c r="X15" s="18"/>
      <c r="Y15" s="18"/>
      <c r="Z15" s="20"/>
      <c r="AA15" s="81"/>
      <c r="AB15" s="18"/>
      <c r="AC15" s="18"/>
      <c r="AD15" s="18"/>
      <c r="AE15" s="18"/>
      <c r="AF15" s="19"/>
      <c r="AG15" s="18"/>
      <c r="AH15" s="18"/>
      <c r="AI15" s="18"/>
      <c r="AJ15" s="18"/>
      <c r="AK15" s="18"/>
      <c r="AL15" s="20"/>
      <c r="AM15" s="81"/>
      <c r="AN15" s="18"/>
      <c r="AO15" s="18"/>
      <c r="AP15" s="18"/>
      <c r="AQ15" s="18"/>
      <c r="AR15" s="19"/>
      <c r="AS15" s="18"/>
      <c r="AT15" s="18"/>
      <c r="AU15" s="18"/>
      <c r="AV15" s="18"/>
      <c r="AW15" s="18"/>
      <c r="AX15" s="20"/>
      <c r="AY15" s="81"/>
      <c r="AZ15" s="18"/>
      <c r="BA15" s="18"/>
      <c r="BB15" s="18"/>
      <c r="BC15" s="18"/>
      <c r="BD15" s="19"/>
      <c r="BE15" s="18"/>
      <c r="BF15" s="18"/>
      <c r="BG15" s="18"/>
      <c r="BH15" s="18"/>
      <c r="BI15" s="18"/>
      <c r="BJ15" s="20"/>
      <c r="BK15" s="81"/>
      <c r="BL15" s="18"/>
      <c r="BM15" s="18"/>
      <c r="BN15" s="18"/>
      <c r="BO15" s="18"/>
      <c r="BP15" s="19"/>
      <c r="BQ15" s="18"/>
      <c r="BR15" s="18"/>
      <c r="BS15" s="18"/>
      <c r="BT15" s="18"/>
      <c r="BU15" s="18"/>
      <c r="BV15" s="20"/>
      <c r="BW15" s="81"/>
      <c r="BX15" s="18"/>
      <c r="BY15" s="18"/>
      <c r="BZ15" s="18"/>
      <c r="CA15" s="18"/>
      <c r="CB15" s="19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  <c r="DZ15" s="362"/>
    </row>
    <row r="16" spans="2:182" x14ac:dyDescent="0.25">
      <c r="B16" s="3" t="s">
        <v>1</v>
      </c>
      <c r="C16" s="121">
        <v>36913</v>
      </c>
      <c r="D16" s="16">
        <v>37182</v>
      </c>
      <c r="E16" s="16">
        <v>36889</v>
      </c>
      <c r="F16" s="16">
        <v>36476</v>
      </c>
      <c r="G16" s="16">
        <v>36332</v>
      </c>
      <c r="H16" s="16">
        <v>36405</v>
      </c>
      <c r="I16" s="16">
        <v>36644</v>
      </c>
      <c r="J16" s="16">
        <v>36655</v>
      </c>
      <c r="K16" s="16">
        <v>36478</v>
      </c>
      <c r="L16" s="16">
        <v>36105</v>
      </c>
      <c r="M16" s="16">
        <v>35720</v>
      </c>
      <c r="N16" s="21">
        <v>34065</v>
      </c>
      <c r="O16" s="121">
        <f>22194+13435</f>
        <v>35629</v>
      </c>
      <c r="P16" s="16">
        <f>19724+11899</f>
        <v>31623</v>
      </c>
      <c r="Q16" s="16">
        <f>20816+12600</f>
        <v>33416</v>
      </c>
      <c r="R16" s="16">
        <f>20610+12577</f>
        <v>33187</v>
      </c>
      <c r="S16" s="16">
        <f>20597+12523</f>
        <v>33120</v>
      </c>
      <c r="T16" s="16">
        <f>20391+12400</f>
        <v>32791</v>
      </c>
      <c r="U16" s="16">
        <f>U18-U17</f>
        <v>34072</v>
      </c>
      <c r="V16" s="16">
        <f>V18-V17</f>
        <v>32180</v>
      </c>
      <c r="W16" s="16">
        <f>W18-W17</f>
        <v>31997</v>
      </c>
      <c r="X16" s="16">
        <f>22045+12327</f>
        <v>34372</v>
      </c>
      <c r="Y16" s="16">
        <f>17332+9546</f>
        <v>26878</v>
      </c>
      <c r="Z16" s="21">
        <f>20043+10814</f>
        <v>30857</v>
      </c>
      <c r="AA16" s="121">
        <f>20390+10127</f>
        <v>30517</v>
      </c>
      <c r="AB16" s="16">
        <f>18898+9210</f>
        <v>28108</v>
      </c>
      <c r="AC16" s="16">
        <f>22432+11078</f>
        <v>33510</v>
      </c>
      <c r="AD16" s="16">
        <f>19879+9677</f>
        <v>29556</v>
      </c>
      <c r="AE16" s="16">
        <f>18852+9114</f>
        <v>27966</v>
      </c>
      <c r="AF16" s="16">
        <f>20497+9921</f>
        <v>30418</v>
      </c>
      <c r="AG16" s="16">
        <f>19249+9128</f>
        <v>28377</v>
      </c>
      <c r="AH16" s="16">
        <f>20213+9525</f>
        <v>29738</v>
      </c>
      <c r="AI16" s="16">
        <f>18747+8717</f>
        <v>27464</v>
      </c>
      <c r="AJ16" s="16">
        <f>18606+8264</f>
        <v>26870</v>
      </c>
      <c r="AK16" s="16">
        <f>17708+7692</f>
        <v>25400</v>
      </c>
      <c r="AL16" s="21">
        <f>17554+7520</f>
        <v>25074</v>
      </c>
      <c r="AM16" s="121">
        <f>18347+7778</f>
        <v>26125</v>
      </c>
      <c r="AN16" s="16">
        <f>16508+6558</f>
        <v>23066</v>
      </c>
      <c r="AO16" s="16">
        <f>18322+7863</f>
        <v>26185</v>
      </c>
      <c r="AP16" s="16">
        <f>17185+7112</f>
        <v>24297</v>
      </c>
      <c r="AQ16" s="16">
        <f>17621+7257</f>
        <v>24878</v>
      </c>
      <c r="AR16" s="16">
        <f>18429+6707</f>
        <v>25136</v>
      </c>
      <c r="AS16" s="16">
        <f>18039+5593</f>
        <v>23632</v>
      </c>
      <c r="AT16" s="16">
        <f>20539+6148</f>
        <v>26687</v>
      </c>
      <c r="AU16" s="16">
        <f>19275+4974</f>
        <v>24249</v>
      </c>
      <c r="AV16" s="16">
        <f>19338+4510</f>
        <v>23848</v>
      </c>
      <c r="AW16" s="16">
        <f>18535+4418</f>
        <v>22953</v>
      </c>
      <c r="AX16" s="21">
        <f>18359+4449</f>
        <v>22808</v>
      </c>
      <c r="AY16" s="121">
        <f>19019+4745</f>
        <v>23764</v>
      </c>
      <c r="AZ16" s="16">
        <f>17573+4377</f>
        <v>21950</v>
      </c>
      <c r="BA16" s="16">
        <f>20836+5350</f>
        <v>26186</v>
      </c>
      <c r="BB16" s="16">
        <f>17610+4403</f>
        <v>22013</v>
      </c>
      <c r="BC16" s="16">
        <f>19070+4913</f>
        <v>23983</v>
      </c>
      <c r="BD16" s="16">
        <f>18735+4823</f>
        <v>23558</v>
      </c>
      <c r="BE16" s="16">
        <f>17239+4304</f>
        <v>21543</v>
      </c>
      <c r="BF16" s="16">
        <f>19111+4859</f>
        <v>23970</v>
      </c>
      <c r="BG16" s="16">
        <f>23802+5038</f>
        <v>28840</v>
      </c>
      <c r="BH16" s="16">
        <f>17597+4411</f>
        <v>22008</v>
      </c>
      <c r="BI16" s="16">
        <f>15975+3935</f>
        <v>19910</v>
      </c>
      <c r="BJ16" s="21">
        <f>15165+3643</f>
        <v>18808</v>
      </c>
      <c r="BK16" s="121">
        <f>16419+4124</f>
        <v>20543</v>
      </c>
      <c r="BL16" s="16">
        <f>15405+3720</f>
        <v>19125</v>
      </c>
      <c r="BM16" s="16">
        <f>16741+4142</f>
        <v>20883</v>
      </c>
      <c r="BN16" s="16">
        <f>15218+3733</f>
        <v>18951</v>
      </c>
      <c r="BO16" s="16">
        <f>16583+4114</f>
        <v>20697</v>
      </c>
      <c r="BP16" s="16">
        <f>15983+3838</f>
        <v>19821</v>
      </c>
      <c r="BQ16" s="16">
        <f>15143+3806</f>
        <v>18949</v>
      </c>
      <c r="BR16" s="16">
        <f>16112+4119</f>
        <v>20231</v>
      </c>
      <c r="BS16" s="16">
        <f>13625+3322</f>
        <v>16947</v>
      </c>
      <c r="BT16" s="16">
        <f>14715+3651</f>
        <v>18366</v>
      </c>
      <c r="BU16" s="16">
        <f>14604+3555</f>
        <v>18159</v>
      </c>
      <c r="BV16" s="21">
        <f>14318+3449</f>
        <v>17767</v>
      </c>
      <c r="BW16" s="121">
        <f>14191+3435</f>
        <v>17626</v>
      </c>
      <c r="BX16" s="16">
        <f>13902+3416</f>
        <v>17318</v>
      </c>
      <c r="BY16" s="16">
        <f>13885+3358</f>
        <v>17243</v>
      </c>
      <c r="BZ16" s="16">
        <f>13925+3286</f>
        <v>17211</v>
      </c>
      <c r="CA16" s="16">
        <f>13826+3304</f>
        <v>17130</v>
      </c>
      <c r="CB16" s="16">
        <f>13709+3247</f>
        <v>16956</v>
      </c>
      <c r="CC16" s="16">
        <f>13615+3189</f>
        <v>16804</v>
      </c>
      <c r="CD16" s="16">
        <f>13392+3115</f>
        <v>16507</v>
      </c>
      <c r="CE16" s="16">
        <f>13209+3040</f>
        <v>16249</v>
      </c>
      <c r="CF16" s="16">
        <v>16249</v>
      </c>
      <c r="CG16" s="16">
        <f>13038+2918</f>
        <v>15956</v>
      </c>
      <c r="CH16" s="21">
        <f>12911+2859</f>
        <v>15770</v>
      </c>
      <c r="CI16" s="69">
        <f>12828+2830</f>
        <v>15658</v>
      </c>
      <c r="CJ16" s="69">
        <f>12755+2797</f>
        <v>15552</v>
      </c>
      <c r="CK16" s="69">
        <f>12652+2779</f>
        <v>15431</v>
      </c>
      <c r="CL16" s="69">
        <f>12592+2778</f>
        <v>15370</v>
      </c>
      <c r="CM16" s="69">
        <f>12542+2750</f>
        <v>15292</v>
      </c>
      <c r="CN16" s="69">
        <f>12485+2721</f>
        <v>15206</v>
      </c>
      <c r="CO16" s="69">
        <f>12326+2660</f>
        <v>14986</v>
      </c>
      <c r="CP16" s="69">
        <f>12218+2642</f>
        <v>14860</v>
      </c>
      <c r="CQ16" s="69">
        <f>12057+2558</f>
        <v>14615</v>
      </c>
      <c r="CR16" s="69">
        <f>11990+2492</f>
        <v>14482</v>
      </c>
      <c r="CS16" s="69">
        <f>11862+2414</f>
        <v>14276</v>
      </c>
      <c r="CT16" s="89">
        <f>11721+2388</f>
        <v>14109</v>
      </c>
      <c r="CU16" s="69">
        <f>10362+2048</f>
        <v>12410</v>
      </c>
      <c r="CV16" s="275">
        <f>11543+2320</f>
        <v>13863</v>
      </c>
      <c r="CW16" s="69">
        <f>11393+2325</f>
        <v>13718</v>
      </c>
      <c r="CX16" s="69">
        <f>11311+2299</f>
        <v>13610</v>
      </c>
      <c r="CY16" s="69">
        <f>11288+2313</f>
        <v>13601</v>
      </c>
      <c r="CZ16" s="69">
        <f>11223+2287</f>
        <v>13510</v>
      </c>
      <c r="DA16" s="69">
        <f>11122+2253</f>
        <v>13375</v>
      </c>
      <c r="DB16" s="69">
        <f>10552+2132</f>
        <v>12684</v>
      </c>
      <c r="DC16" s="69">
        <f>11030+2178</f>
        <v>13208</v>
      </c>
      <c r="DD16" s="275">
        <f>10258+2047</f>
        <v>12305</v>
      </c>
      <c r="DE16" s="69">
        <f>10354+2035</f>
        <v>12389</v>
      </c>
      <c r="DF16" s="89">
        <f>10624+2075</f>
        <v>12699</v>
      </c>
      <c r="DG16" s="69">
        <f>9191+1751</f>
        <v>10942</v>
      </c>
      <c r="DH16" s="69">
        <f>10117+1977</f>
        <v>12094</v>
      </c>
      <c r="DI16" s="69">
        <f>9989+1956</f>
        <v>11945</v>
      </c>
      <c r="DJ16" s="69">
        <f>9249+1800</f>
        <v>11049</v>
      </c>
      <c r="DK16" s="69">
        <f>8606+1685</f>
        <v>10291</v>
      </c>
      <c r="DL16" s="69">
        <f>9715+1897</f>
        <v>11612</v>
      </c>
      <c r="DM16" s="69">
        <f>9020+1741</f>
        <v>10761</v>
      </c>
      <c r="DN16" s="69">
        <f>9390+1847</f>
        <v>11237</v>
      </c>
      <c r="DO16" s="69">
        <f>8724+1708</f>
        <v>10432</v>
      </c>
      <c r="DP16" s="69">
        <f>8472+1610</f>
        <v>10082</v>
      </c>
      <c r="DQ16" s="69">
        <f>8965+1681</f>
        <v>10646</v>
      </c>
      <c r="DR16" s="69">
        <f>7726+1478</f>
        <v>9204</v>
      </c>
      <c r="DS16" s="69">
        <f>7835+1494</f>
        <v>9329</v>
      </c>
      <c r="DT16" s="69">
        <f>8598+1657</f>
        <v>10255</v>
      </c>
      <c r="DU16" s="69">
        <f>8967+1669</f>
        <v>10636</v>
      </c>
      <c r="DV16" s="359">
        <f>9002+1648</f>
        <v>10650</v>
      </c>
      <c r="DW16" s="359">
        <f>8834+1621</f>
        <v>10455</v>
      </c>
      <c r="DX16" s="359">
        <f>8668+1587</f>
        <v>10255</v>
      </c>
      <c r="DY16" s="359">
        <f>8661+1595</f>
        <v>10256</v>
      </c>
      <c r="DZ16" s="359">
        <f>8598+1607</f>
        <v>10205</v>
      </c>
      <c r="EA16" s="359">
        <f>8497+1586</f>
        <v>10083</v>
      </c>
      <c r="EB16" s="359">
        <f>8487+1561</f>
        <v>10048</v>
      </c>
      <c r="EC16" s="359">
        <f>8366+1535</f>
        <v>9901</v>
      </c>
      <c r="ED16" s="359">
        <f>8288+1514</f>
        <v>9802</v>
      </c>
      <c r="EE16" s="359">
        <f>8153+1491</f>
        <v>9644</v>
      </c>
      <c r="EF16" s="359">
        <f>8038+1491</f>
        <v>9529</v>
      </c>
      <c r="EG16" s="359">
        <f>7876+1462</f>
        <v>9338</v>
      </c>
      <c r="EH16" s="359">
        <f>7778+1434</f>
        <v>9212</v>
      </c>
      <c r="EI16" s="359">
        <f>7716+1412</f>
        <v>9128</v>
      </c>
      <c r="EJ16" s="359">
        <f>7637+1406</f>
        <v>9043</v>
      </c>
      <c r="EK16" s="359">
        <f>7527+1371</f>
        <v>8898</v>
      </c>
      <c r="EL16" s="359">
        <f>7502+1346</f>
        <v>8848</v>
      </c>
      <c r="EM16" s="359">
        <f>7489+1293</f>
        <v>8782</v>
      </c>
      <c r="EN16" s="359">
        <f>7421+1276</f>
        <v>8697</v>
      </c>
      <c r="EO16" s="359">
        <f>7348+1260</f>
        <v>8608</v>
      </c>
      <c r="EP16" s="359">
        <f>7246+1241</f>
        <v>8487</v>
      </c>
      <c r="EQ16" s="359">
        <f>6722+1152</f>
        <v>7874</v>
      </c>
      <c r="ER16" s="359">
        <f>7017+1217</f>
        <v>8234</v>
      </c>
      <c r="ES16" s="359">
        <f>6637+1219</f>
        <v>7856</v>
      </c>
      <c r="ET16" s="359">
        <f>6958+1224</f>
        <v>8182</v>
      </c>
      <c r="EU16" s="359">
        <f>6933+1210</f>
        <v>8143</v>
      </c>
      <c r="EV16" s="359">
        <f>6931+1211</f>
        <v>8142</v>
      </c>
      <c r="EW16" s="359">
        <f>6881+1196</f>
        <v>8077</v>
      </c>
      <c r="EX16" s="359">
        <f>6819+1194</f>
        <v>8013</v>
      </c>
      <c r="EY16" s="359">
        <f>6789+1178</f>
        <v>7967</v>
      </c>
      <c r="EZ16" s="68">
        <f>6739+1167</f>
        <v>7906</v>
      </c>
      <c r="FA16" s="68">
        <f>6691+1163</f>
        <v>7854</v>
      </c>
      <c r="FB16" s="68">
        <f>6626+1140</f>
        <v>7766</v>
      </c>
      <c r="FC16" s="68">
        <f>6606+1137</f>
        <v>7743</v>
      </c>
      <c r="FD16" s="68">
        <f>6565+1116</f>
        <v>7681</v>
      </c>
      <c r="FE16" s="68">
        <f>6467+1099</f>
        <v>7566</v>
      </c>
      <c r="FF16" s="68">
        <f>6419+1084</f>
        <v>7503</v>
      </c>
      <c r="FG16" s="68">
        <f>6364+1078</f>
        <v>7442</v>
      </c>
      <c r="FH16" s="68">
        <f>6300+1038</f>
        <v>7338</v>
      </c>
      <c r="FI16" s="68">
        <f>6176+1023</f>
        <v>7199</v>
      </c>
      <c r="FJ16" s="68">
        <f>6164+1008</f>
        <v>7172</v>
      </c>
      <c r="FK16" s="68">
        <f>5943+988</f>
        <v>6931</v>
      </c>
      <c r="FL16" s="68">
        <f>5875+963</f>
        <v>6838</v>
      </c>
      <c r="FM16" s="68">
        <f>5742+953</f>
        <v>6695</v>
      </c>
      <c r="FN16" s="68">
        <f>5635+933</f>
        <v>6568</v>
      </c>
      <c r="FO16" s="68">
        <f>5565+919</f>
        <v>6484</v>
      </c>
      <c r="FP16" s="68">
        <f>5394+893</f>
        <v>6287</v>
      </c>
      <c r="FQ16" s="68">
        <f>5328+872</f>
        <v>6200</v>
      </c>
      <c r="FR16" s="68">
        <f>5254+842</f>
        <v>6096</v>
      </c>
      <c r="FS16" s="68">
        <f>5134+813</f>
        <v>5947</v>
      </c>
      <c r="FT16" s="68">
        <f>5072+795</f>
        <v>5867</v>
      </c>
    </row>
    <row r="17" spans="2:176" ht="13.8" thickBot="1" x14ac:dyDescent="0.3">
      <c r="B17" s="5" t="s">
        <v>8</v>
      </c>
      <c r="C17" s="175">
        <v>1544</v>
      </c>
      <c r="D17" s="17">
        <v>2093</v>
      </c>
      <c r="E17" s="17">
        <v>2711</v>
      </c>
      <c r="F17" s="17">
        <v>3036</v>
      </c>
      <c r="G17" s="17">
        <v>3208</v>
      </c>
      <c r="H17" s="17">
        <v>3310</v>
      </c>
      <c r="I17" s="17">
        <v>3501</v>
      </c>
      <c r="J17" s="17">
        <v>3708</v>
      </c>
      <c r="K17" s="17">
        <v>3800</v>
      </c>
      <c r="L17" s="17">
        <v>4199</v>
      </c>
      <c r="M17" s="17">
        <v>4298</v>
      </c>
      <c r="N17" s="22">
        <v>4539</v>
      </c>
      <c r="O17" s="175">
        <f>2297+3174</f>
        <v>5471</v>
      </c>
      <c r="P17" s="17">
        <f>2174+2878</f>
        <v>5052</v>
      </c>
      <c r="Q17" s="17">
        <f>2431+3168</f>
        <v>5599</v>
      </c>
      <c r="R17" s="17">
        <f>2508+3085</f>
        <v>5593</v>
      </c>
      <c r="S17" s="17">
        <f>3191+2610</f>
        <v>5801</v>
      </c>
      <c r="T17" s="17">
        <f>2781+3384</f>
        <v>6165</v>
      </c>
      <c r="U17" s="17">
        <f>3025+3681</f>
        <v>6706</v>
      </c>
      <c r="V17" s="17">
        <f>2853+3736</f>
        <v>6589</v>
      </c>
      <c r="W17" s="17">
        <f>2848+4068</f>
        <v>6916</v>
      </c>
      <c r="X17" s="17">
        <f>3195+4805</f>
        <v>8000</v>
      </c>
      <c r="Y17" s="17">
        <f>2602+3897</f>
        <v>6499</v>
      </c>
      <c r="Z17" s="22">
        <f>3221+4836</f>
        <v>8057</v>
      </c>
      <c r="AA17" s="175">
        <f>3574+5042</f>
        <v>8616</v>
      </c>
      <c r="AB17" s="17">
        <f>3394+4797</f>
        <v>8191</v>
      </c>
      <c r="AC17" s="17">
        <f>4310+6008</f>
        <v>10318</v>
      </c>
      <c r="AD17" s="17">
        <f>3785+5332</f>
        <v>9117</v>
      </c>
      <c r="AE17" s="17">
        <f>3659+5168</f>
        <v>8827</v>
      </c>
      <c r="AF17" s="17">
        <f>4295+6028</f>
        <v>10323</v>
      </c>
      <c r="AG17" s="17">
        <f>4103+5829</f>
        <v>9932</v>
      </c>
      <c r="AH17" s="17">
        <f>4491+6496</f>
        <v>10987</v>
      </c>
      <c r="AI17" s="17">
        <f>4448+6447</f>
        <v>10895</v>
      </c>
      <c r="AJ17" s="17">
        <f>4772+6817</f>
        <v>11589</v>
      </c>
      <c r="AK17" s="17">
        <f>4718+6680</f>
        <v>11398</v>
      </c>
      <c r="AL17" s="22">
        <f>4843+6791</f>
        <v>11634</v>
      </c>
      <c r="AM17" s="175">
        <f>5216+7351</f>
        <v>12567</v>
      </c>
      <c r="AN17" s="17">
        <f>4127+6538</f>
        <v>10665</v>
      </c>
      <c r="AO17" s="17">
        <f>5714+7770</f>
        <v>13484</v>
      </c>
      <c r="AP17" s="17">
        <f>5283+7223</f>
        <v>12506</v>
      </c>
      <c r="AQ17" s="17">
        <f>5443+7604</f>
        <v>13047</v>
      </c>
      <c r="AR17" s="17">
        <f>5980+7647</f>
        <v>13627</v>
      </c>
      <c r="AS17" s="17">
        <f>6002+7108</f>
        <v>13110</v>
      </c>
      <c r="AT17" s="17">
        <f>7342+8196</f>
        <v>15538</v>
      </c>
      <c r="AU17" s="17">
        <f>7080+7180</f>
        <v>14260</v>
      </c>
      <c r="AV17" s="17">
        <f>7301+7004</f>
        <v>14305</v>
      </c>
      <c r="AW17" s="17">
        <f>7095+6876</f>
        <v>13971</v>
      </c>
      <c r="AX17" s="22">
        <f>7017+6907</f>
        <v>13924</v>
      </c>
      <c r="AY17" s="175">
        <f>7514+7375</f>
        <v>14889</v>
      </c>
      <c r="AZ17" s="17">
        <f>7011+6821</f>
        <v>13832</v>
      </c>
      <c r="BA17" s="17">
        <f>8681+8484</f>
        <v>17165</v>
      </c>
      <c r="BB17" s="17">
        <f>7195+7547</f>
        <v>14742</v>
      </c>
      <c r="BC17" s="17">
        <f>8493+8138</f>
        <v>16631</v>
      </c>
      <c r="BD17" s="17">
        <f>8559+8190</f>
        <v>16749</v>
      </c>
      <c r="BE17" s="17">
        <f>7973+7570</f>
        <v>15543</v>
      </c>
      <c r="BF17" s="17">
        <f>9313+8749</f>
        <v>18062</v>
      </c>
      <c r="BG17" s="17">
        <f>10591+8970</f>
        <v>19561</v>
      </c>
      <c r="BH17" s="17">
        <f>9778+8607</f>
        <v>18385</v>
      </c>
      <c r="BI17" s="17">
        <f>9257+8098</f>
        <v>17355</v>
      </c>
      <c r="BJ17" s="22">
        <f>8716+7616</f>
        <v>16332</v>
      </c>
      <c r="BK17" s="175">
        <f>9892+8703</f>
        <v>18595</v>
      </c>
      <c r="BL17" s="17">
        <f>9710+8268</f>
        <v>17978</v>
      </c>
      <c r="BM17" s="17">
        <f>10693+9165</f>
        <v>19858</v>
      </c>
      <c r="BN17" s="17">
        <f>9805+8455</f>
        <v>18260</v>
      </c>
      <c r="BO17" s="17">
        <f>10917+9338</f>
        <v>20255</v>
      </c>
      <c r="BP17" s="17">
        <f>10566+9000</f>
        <v>19566</v>
      </c>
      <c r="BQ17" s="17">
        <f>11308+9133</f>
        <v>20441</v>
      </c>
      <c r="BR17" s="17">
        <f>12438+9924</f>
        <v>22362</v>
      </c>
      <c r="BS17" s="17">
        <f>10530+8392</f>
        <v>18922</v>
      </c>
      <c r="BT17" s="17">
        <f>11815+9368</f>
        <v>21183</v>
      </c>
      <c r="BU17" s="17">
        <f>11949+9471</f>
        <v>21420</v>
      </c>
      <c r="BV17" s="22">
        <f>12190+9516</f>
        <v>21706</v>
      </c>
      <c r="BW17" s="175">
        <f>12304+9686</f>
        <v>21990</v>
      </c>
      <c r="BX17" s="17">
        <f>12336+9689</f>
        <v>22025</v>
      </c>
      <c r="BY17" s="17">
        <f>9732+12386</f>
        <v>22118</v>
      </c>
      <c r="BZ17" s="17">
        <f>12521+9779</f>
        <v>22300</v>
      </c>
      <c r="CA17" s="17">
        <f>12704+9917</f>
        <v>22621</v>
      </c>
      <c r="CB17" s="17">
        <f>12773+10029</f>
        <v>22802</v>
      </c>
      <c r="CC17" s="17">
        <f>12891+10081</f>
        <v>22972</v>
      </c>
      <c r="CD17" s="17">
        <f>12981+10182</f>
        <v>23163</v>
      </c>
      <c r="CE17" s="17">
        <f>13075+10261</f>
        <v>23336</v>
      </c>
      <c r="CF17" s="17">
        <f>10337+13164</f>
        <v>23501</v>
      </c>
      <c r="CG17" s="17">
        <f>13748+10592</f>
        <v>24340</v>
      </c>
      <c r="CH17" s="22">
        <f>14263+10729</f>
        <v>24992</v>
      </c>
      <c r="CI17" s="72">
        <f>13247+10355</f>
        <v>23602</v>
      </c>
      <c r="CJ17" s="92">
        <f>13374+10447</f>
        <v>23821</v>
      </c>
      <c r="CK17" s="92">
        <f>13399+10453</f>
        <v>23852</v>
      </c>
      <c r="CL17" s="92">
        <f>13479+10435</f>
        <v>23914</v>
      </c>
      <c r="CM17" s="92">
        <f>13599+10492</f>
        <v>24091</v>
      </c>
      <c r="CN17" s="92">
        <f>13679+10494</f>
        <v>24173</v>
      </c>
      <c r="CO17" s="92">
        <f>13794+10519</f>
        <v>24313</v>
      </c>
      <c r="CP17" s="92">
        <f>13938+10570</f>
        <v>24508</v>
      </c>
      <c r="CQ17" s="92">
        <f>14061+10637</f>
        <v>24698</v>
      </c>
      <c r="CR17" s="92">
        <f>14163+10674</f>
        <v>24837</v>
      </c>
      <c r="CS17" s="92">
        <f>14337+10733</f>
        <v>25070</v>
      </c>
      <c r="CT17" s="93">
        <f>14403+10777</f>
        <v>25180</v>
      </c>
      <c r="CU17" s="91">
        <f>12836+9586</f>
        <v>22422</v>
      </c>
      <c r="CV17" s="92">
        <f>14493+10950</f>
        <v>25443</v>
      </c>
      <c r="CW17" s="92">
        <f>14504+10913</f>
        <v>25417</v>
      </c>
      <c r="CX17" s="92">
        <f>14565+10951</f>
        <v>25516</v>
      </c>
      <c r="CY17" s="92">
        <f>14564+10994</f>
        <v>25558</v>
      </c>
      <c r="CZ17" s="92">
        <f>14654+11033</f>
        <v>25687</v>
      </c>
      <c r="DA17" s="92">
        <f>14738+11085</f>
        <v>25823</v>
      </c>
      <c r="DB17" s="92">
        <f>14221+10574</f>
        <v>24795</v>
      </c>
      <c r="DC17" s="92">
        <f>14912+11077</f>
        <v>25989</v>
      </c>
      <c r="DD17" s="92">
        <f>14304+10561</f>
        <v>24865</v>
      </c>
      <c r="DE17" s="92">
        <f>14503+10720</f>
        <v>25223</v>
      </c>
      <c r="DF17" s="93">
        <f>15543+11420</f>
        <v>26963</v>
      </c>
      <c r="DG17" s="69">
        <f>13405+9804</f>
        <v>23209</v>
      </c>
      <c r="DH17" s="69">
        <f>15463+11268</f>
        <v>26731</v>
      </c>
      <c r="DI17" s="69">
        <f>15508+11267</f>
        <v>26775</v>
      </c>
      <c r="DJ17" s="69">
        <f>14610+10466</f>
        <v>25076</v>
      </c>
      <c r="DK17" s="69">
        <f>13949+9943</f>
        <v>23892</v>
      </c>
      <c r="DL17" s="69">
        <f>15926+11419</f>
        <v>27345</v>
      </c>
      <c r="DM17" s="69">
        <f>14918+10606</f>
        <v>25524</v>
      </c>
      <c r="DN17" s="69">
        <f>16055+11522</f>
        <v>27577</v>
      </c>
      <c r="DO17" s="92">
        <f>15319+10903</f>
        <v>26222</v>
      </c>
      <c r="DP17" s="92">
        <f>15295+10609</f>
        <v>25904</v>
      </c>
      <c r="DQ17" s="92">
        <f>16122+11246</f>
        <v>27368</v>
      </c>
      <c r="DR17" s="92">
        <f>14046+9930</f>
        <v>23976</v>
      </c>
      <c r="DS17" s="92">
        <f>14122+10094</f>
        <v>24216</v>
      </c>
      <c r="DT17" s="92">
        <f>15803+11223</f>
        <v>27026</v>
      </c>
      <c r="DU17" s="92">
        <f>16786+11622</f>
        <v>28408</v>
      </c>
      <c r="DV17" s="352">
        <f>16992+11546</f>
        <v>28538</v>
      </c>
      <c r="DW17" s="352">
        <f>17053+11545</f>
        <v>28598</v>
      </c>
      <c r="DX17" s="352">
        <f>17103+11752</f>
        <v>28855</v>
      </c>
      <c r="DY17" s="352">
        <f>17330+11780</f>
        <v>29110</v>
      </c>
      <c r="DZ17" s="352">
        <f>17297+11846</f>
        <v>29143</v>
      </c>
      <c r="EA17" s="352">
        <f>17327+11848</f>
        <v>29175</v>
      </c>
      <c r="EB17" s="352">
        <f>17345+11885</f>
        <v>29230</v>
      </c>
      <c r="EC17" s="352">
        <f>17491+11913</f>
        <v>29404</v>
      </c>
      <c r="ED17" s="352">
        <f>17461+11957</f>
        <v>29418</v>
      </c>
      <c r="EE17" s="352">
        <f>17402+11931</f>
        <v>29333</v>
      </c>
      <c r="EF17" s="352">
        <f>17799+12196</f>
        <v>29995</v>
      </c>
      <c r="EG17" s="352">
        <f>17782+12145</f>
        <v>29927</v>
      </c>
      <c r="EH17" s="352">
        <f>17847+12125</f>
        <v>29972</v>
      </c>
      <c r="EI17" s="352">
        <f>17735+11742</f>
        <v>29477</v>
      </c>
      <c r="EJ17" s="352">
        <f>18478+12673</f>
        <v>31151</v>
      </c>
      <c r="EK17" s="352">
        <f>18331+12382</f>
        <v>30713</v>
      </c>
      <c r="EL17" s="352">
        <f>18512+12363</f>
        <v>30875</v>
      </c>
      <c r="EM17" s="352">
        <f>18631+12242</f>
        <v>30873</v>
      </c>
      <c r="EN17" s="352">
        <f>18694+12218</f>
        <v>30912</v>
      </c>
      <c r="EO17" s="352">
        <f>18856+12227</f>
        <v>31083</v>
      </c>
      <c r="EP17" s="352">
        <f>18694+12220</f>
        <v>30914</v>
      </c>
      <c r="EQ17" s="352">
        <f>17714+11383</f>
        <v>29097</v>
      </c>
      <c r="ER17" s="352">
        <f>18766+12408</f>
        <v>31174</v>
      </c>
      <c r="ES17" s="352">
        <f>17783+12390</f>
        <v>30173</v>
      </c>
      <c r="ET17" s="352">
        <f>18830+12480</f>
        <v>31310</v>
      </c>
      <c r="EU17" s="352">
        <f>18974+12526</f>
        <v>31500</v>
      </c>
      <c r="EV17" s="352">
        <f>18894+12553</f>
        <v>31447</v>
      </c>
      <c r="EW17" s="352">
        <f>19262+12790</f>
        <v>32052</v>
      </c>
      <c r="EX17" s="352">
        <f>19157+12662</f>
        <v>31819</v>
      </c>
      <c r="EY17" s="352">
        <f>19229+12630</f>
        <v>31859</v>
      </c>
      <c r="EZ17" s="352">
        <f>19118+12477</f>
        <v>31595</v>
      </c>
      <c r="FA17" s="352">
        <f>19372+12709</f>
        <v>32081</v>
      </c>
      <c r="FB17" s="352">
        <f>19565+12779</f>
        <v>32344</v>
      </c>
      <c r="FC17" s="352">
        <f>19282+12641</f>
        <v>31923</v>
      </c>
      <c r="FD17" s="352">
        <f>19422+12894</f>
        <v>32316</v>
      </c>
      <c r="FE17" s="352">
        <f>19529+12793</f>
        <v>32322</v>
      </c>
      <c r="FF17" s="352">
        <f>19489+12795</f>
        <v>32284</v>
      </c>
      <c r="FG17" s="352">
        <f>19578+12760</f>
        <v>32338</v>
      </c>
      <c r="FH17" s="352">
        <f>19641+12899</f>
        <v>32540</v>
      </c>
      <c r="FI17" s="352">
        <f>19458+12967</f>
        <v>32425</v>
      </c>
      <c r="FJ17" s="352">
        <f>20488+12915</f>
        <v>33403</v>
      </c>
      <c r="FK17" s="352">
        <f>20154+12930</f>
        <v>33084</v>
      </c>
      <c r="FL17" s="352">
        <f>20187+12909</f>
        <v>33096</v>
      </c>
      <c r="FM17" s="352">
        <f>20332+12903</f>
        <v>33235</v>
      </c>
      <c r="FN17" s="352">
        <f>20442+12853</f>
        <v>33295</v>
      </c>
      <c r="FO17" s="352">
        <f>20205+12646</f>
        <v>32851</v>
      </c>
      <c r="FP17" s="352">
        <f>20844+13232</f>
        <v>34076</v>
      </c>
      <c r="FQ17" s="352">
        <f>20745+12961</f>
        <v>33706</v>
      </c>
      <c r="FR17" s="352">
        <f>20760+12832</f>
        <v>33592</v>
      </c>
      <c r="FS17" s="352">
        <f>21106+12821</f>
        <v>33927</v>
      </c>
      <c r="FT17" s="352">
        <f>21092+12775</f>
        <v>33867</v>
      </c>
    </row>
    <row r="18" spans="2:176" ht="13.8" thickTop="1" x14ac:dyDescent="0.25">
      <c r="B18" s="3" t="s">
        <v>9</v>
      </c>
      <c r="C18" s="176">
        <f t="shared" ref="C18:H18" si="44">SUM(C16:C17)</f>
        <v>38457</v>
      </c>
      <c r="D18" s="8">
        <f t="shared" si="44"/>
        <v>39275</v>
      </c>
      <c r="E18" s="8">
        <f t="shared" si="44"/>
        <v>39600</v>
      </c>
      <c r="F18" s="8">
        <f t="shared" si="44"/>
        <v>39512</v>
      </c>
      <c r="G18" s="8">
        <f t="shared" si="44"/>
        <v>39540</v>
      </c>
      <c r="H18" s="8">
        <f t="shared" si="44"/>
        <v>39715</v>
      </c>
      <c r="I18" s="8">
        <f t="shared" ref="I18:Q18" si="45">SUM(I16:I17)</f>
        <v>40145</v>
      </c>
      <c r="J18" s="8">
        <f t="shared" si="45"/>
        <v>40363</v>
      </c>
      <c r="K18" s="8">
        <f t="shared" si="45"/>
        <v>40278</v>
      </c>
      <c r="L18" s="8">
        <f t="shared" si="45"/>
        <v>40304</v>
      </c>
      <c r="M18" s="8">
        <f t="shared" si="45"/>
        <v>40018</v>
      </c>
      <c r="N18" s="10">
        <f t="shared" si="45"/>
        <v>38604</v>
      </c>
      <c r="O18" s="176">
        <f t="shared" si="45"/>
        <v>41100</v>
      </c>
      <c r="P18" s="8">
        <f t="shared" si="45"/>
        <v>36675</v>
      </c>
      <c r="Q18" s="8">
        <f t="shared" si="45"/>
        <v>39015</v>
      </c>
      <c r="R18" s="8">
        <f>SUM(R16:R17)</f>
        <v>38780</v>
      </c>
      <c r="S18" s="8">
        <f>SUM(S16:S17)</f>
        <v>38921</v>
      </c>
      <c r="T18" s="8">
        <f>SUM(T16:T17)</f>
        <v>38956</v>
      </c>
      <c r="U18" s="8">
        <f>24466+16312</f>
        <v>40778</v>
      </c>
      <c r="V18" s="8">
        <f>23219+15550</f>
        <v>38769</v>
      </c>
      <c r="W18" s="8">
        <f>23369+15544</f>
        <v>38913</v>
      </c>
      <c r="X18" s="8">
        <f t="shared" ref="X18:AC18" si="46">SUM(X16:X17)</f>
        <v>42372</v>
      </c>
      <c r="Y18" s="8">
        <f t="shared" si="46"/>
        <v>33377</v>
      </c>
      <c r="Z18" s="10">
        <f t="shared" si="46"/>
        <v>38914</v>
      </c>
      <c r="AA18" s="176">
        <f t="shared" si="46"/>
        <v>39133</v>
      </c>
      <c r="AB18" s="8">
        <f t="shared" si="46"/>
        <v>36299</v>
      </c>
      <c r="AC18" s="8">
        <f t="shared" si="46"/>
        <v>43828</v>
      </c>
      <c r="AD18" s="8">
        <f t="shared" ref="AD18:AI18" si="47">SUM(AD16:AD17)</f>
        <v>38673</v>
      </c>
      <c r="AE18" s="8">
        <f t="shared" si="47"/>
        <v>36793</v>
      </c>
      <c r="AF18" s="8">
        <f t="shared" si="47"/>
        <v>40741</v>
      </c>
      <c r="AG18" s="8">
        <f t="shared" si="47"/>
        <v>38309</v>
      </c>
      <c r="AH18" s="8">
        <f t="shared" si="47"/>
        <v>40725</v>
      </c>
      <c r="AI18" s="8">
        <f t="shared" si="47"/>
        <v>38359</v>
      </c>
      <c r="AJ18" s="8">
        <f t="shared" ref="AJ18:AO18" si="48">SUM(AJ16:AJ17)</f>
        <v>38459</v>
      </c>
      <c r="AK18" s="8">
        <f t="shared" si="48"/>
        <v>36798</v>
      </c>
      <c r="AL18" s="10">
        <f t="shared" si="48"/>
        <v>36708</v>
      </c>
      <c r="AM18" s="176">
        <f t="shared" si="48"/>
        <v>38692</v>
      </c>
      <c r="AN18" s="8">
        <f t="shared" si="48"/>
        <v>33731</v>
      </c>
      <c r="AO18" s="8">
        <f t="shared" si="48"/>
        <v>39669</v>
      </c>
      <c r="AP18" s="8">
        <f t="shared" ref="AP18:AU18" si="49">SUM(AP16:AP17)</f>
        <v>36803</v>
      </c>
      <c r="AQ18" s="8">
        <f t="shared" si="49"/>
        <v>37925</v>
      </c>
      <c r="AR18" s="8">
        <f t="shared" si="49"/>
        <v>38763</v>
      </c>
      <c r="AS18" s="8">
        <f t="shared" si="49"/>
        <v>36742</v>
      </c>
      <c r="AT18" s="8">
        <f t="shared" si="49"/>
        <v>42225</v>
      </c>
      <c r="AU18" s="8">
        <f t="shared" si="49"/>
        <v>38509</v>
      </c>
      <c r="AV18" s="8">
        <f t="shared" ref="AV18:BJ18" si="50">SUM(AV16:AV17)</f>
        <v>38153</v>
      </c>
      <c r="AW18" s="8">
        <f t="shared" si="50"/>
        <v>36924</v>
      </c>
      <c r="AX18" s="10">
        <f t="shared" si="50"/>
        <v>36732</v>
      </c>
      <c r="AY18" s="176">
        <f t="shared" si="50"/>
        <v>38653</v>
      </c>
      <c r="AZ18" s="8">
        <f t="shared" si="50"/>
        <v>35782</v>
      </c>
      <c r="BA18" s="8">
        <f t="shared" si="50"/>
        <v>43351</v>
      </c>
      <c r="BB18" s="8">
        <f t="shared" si="50"/>
        <v>36755</v>
      </c>
      <c r="BC18" s="8">
        <f t="shared" si="50"/>
        <v>40614</v>
      </c>
      <c r="BD18" s="8">
        <f t="shared" si="50"/>
        <v>40307</v>
      </c>
      <c r="BE18" s="8">
        <f t="shared" si="50"/>
        <v>37086</v>
      </c>
      <c r="BF18" s="8">
        <f t="shared" si="50"/>
        <v>42032</v>
      </c>
      <c r="BG18" s="8">
        <f t="shared" si="50"/>
        <v>48401</v>
      </c>
      <c r="BH18" s="8">
        <f t="shared" si="50"/>
        <v>40393</v>
      </c>
      <c r="BI18" s="8">
        <f t="shared" si="50"/>
        <v>37265</v>
      </c>
      <c r="BJ18" s="10">
        <f t="shared" si="50"/>
        <v>35140</v>
      </c>
      <c r="BK18" s="176">
        <f t="shared" ref="BK18:BP18" si="51">SUM(BK16:BK17)</f>
        <v>39138</v>
      </c>
      <c r="BL18" s="8">
        <f t="shared" si="51"/>
        <v>37103</v>
      </c>
      <c r="BM18" s="8">
        <f t="shared" si="51"/>
        <v>40741</v>
      </c>
      <c r="BN18" s="8">
        <f t="shared" si="51"/>
        <v>37211</v>
      </c>
      <c r="BO18" s="8">
        <f t="shared" si="51"/>
        <v>40952</v>
      </c>
      <c r="BP18" s="8">
        <f t="shared" si="51"/>
        <v>39387</v>
      </c>
      <c r="BQ18" s="8">
        <f t="shared" ref="BQ18:CB18" si="52">SUM(BQ16:BQ17)</f>
        <v>39390</v>
      </c>
      <c r="BR18" s="8">
        <f t="shared" si="52"/>
        <v>42593</v>
      </c>
      <c r="BS18" s="8">
        <f t="shared" si="52"/>
        <v>35869</v>
      </c>
      <c r="BT18" s="8">
        <f t="shared" si="52"/>
        <v>39549</v>
      </c>
      <c r="BU18" s="8">
        <f t="shared" si="52"/>
        <v>39579</v>
      </c>
      <c r="BV18" s="10">
        <f t="shared" si="52"/>
        <v>39473</v>
      </c>
      <c r="BW18" s="176">
        <f t="shared" si="52"/>
        <v>39616</v>
      </c>
      <c r="BX18" s="8">
        <f t="shared" si="52"/>
        <v>39343</v>
      </c>
      <c r="BY18" s="8">
        <f t="shared" si="52"/>
        <v>39361</v>
      </c>
      <c r="BZ18" s="8">
        <f t="shared" si="52"/>
        <v>39511</v>
      </c>
      <c r="CA18" s="8">
        <f t="shared" si="52"/>
        <v>39751</v>
      </c>
      <c r="CB18" s="8">
        <f t="shared" si="52"/>
        <v>39758</v>
      </c>
      <c r="CC18" s="8">
        <f t="shared" ref="CC18:CN18" si="53">SUM(CC16:CC17)</f>
        <v>39776</v>
      </c>
      <c r="CD18" s="8">
        <f t="shared" si="53"/>
        <v>39670</v>
      </c>
      <c r="CE18" s="8">
        <f t="shared" si="53"/>
        <v>39585</v>
      </c>
      <c r="CF18" s="8">
        <f t="shared" si="53"/>
        <v>39750</v>
      </c>
      <c r="CG18" s="8">
        <f t="shared" si="53"/>
        <v>40296</v>
      </c>
      <c r="CH18" s="9">
        <f t="shared" si="53"/>
        <v>40762</v>
      </c>
      <c r="CI18" s="106">
        <f t="shared" si="53"/>
        <v>39260</v>
      </c>
      <c r="CJ18" s="94">
        <f t="shared" si="53"/>
        <v>39373</v>
      </c>
      <c r="CK18" s="94">
        <f t="shared" si="53"/>
        <v>39283</v>
      </c>
      <c r="CL18" s="94">
        <f t="shared" si="53"/>
        <v>39284</v>
      </c>
      <c r="CM18" s="94">
        <f t="shared" si="53"/>
        <v>39383</v>
      </c>
      <c r="CN18" s="94">
        <f t="shared" si="53"/>
        <v>39379</v>
      </c>
      <c r="CO18" s="94">
        <f t="shared" ref="CO18:CT18" si="54">SUM(CO16:CO17)</f>
        <v>39299</v>
      </c>
      <c r="CP18" s="94">
        <f t="shared" si="54"/>
        <v>39368</v>
      </c>
      <c r="CQ18" s="94">
        <f t="shared" si="54"/>
        <v>39313</v>
      </c>
      <c r="CR18" s="94">
        <f t="shared" si="54"/>
        <v>39319</v>
      </c>
      <c r="CS18" s="94">
        <f t="shared" si="54"/>
        <v>39346</v>
      </c>
      <c r="CT18" s="107">
        <f t="shared" si="54"/>
        <v>39289</v>
      </c>
      <c r="CU18" s="95">
        <f t="shared" ref="CU18:DK18" si="55">SUM(CU16:CU17)</f>
        <v>34832</v>
      </c>
      <c r="CV18" s="95">
        <f t="shared" si="55"/>
        <v>39306</v>
      </c>
      <c r="CW18" s="95">
        <f t="shared" si="55"/>
        <v>39135</v>
      </c>
      <c r="CX18" s="95">
        <f t="shared" si="55"/>
        <v>39126</v>
      </c>
      <c r="CY18" s="95">
        <f t="shared" si="55"/>
        <v>39159</v>
      </c>
      <c r="CZ18" s="95">
        <f t="shared" si="55"/>
        <v>39197</v>
      </c>
      <c r="DA18" s="95">
        <f t="shared" si="55"/>
        <v>39198</v>
      </c>
      <c r="DB18" s="95">
        <f t="shared" si="55"/>
        <v>37479</v>
      </c>
      <c r="DC18" s="95">
        <f t="shared" si="55"/>
        <v>39197</v>
      </c>
      <c r="DD18" s="95">
        <f t="shared" si="55"/>
        <v>37170</v>
      </c>
      <c r="DE18" s="95">
        <f t="shared" si="55"/>
        <v>37612</v>
      </c>
      <c r="DF18" s="107">
        <f t="shared" si="55"/>
        <v>39662</v>
      </c>
      <c r="DG18" s="95">
        <f t="shared" si="55"/>
        <v>34151</v>
      </c>
      <c r="DH18" s="95">
        <f t="shared" si="55"/>
        <v>38825</v>
      </c>
      <c r="DI18" s="95">
        <f t="shared" si="55"/>
        <v>38720</v>
      </c>
      <c r="DJ18" s="95">
        <f t="shared" si="55"/>
        <v>36125</v>
      </c>
      <c r="DK18" s="95">
        <f t="shared" si="55"/>
        <v>34183</v>
      </c>
      <c r="DL18" s="95">
        <f t="shared" ref="DL18:DR18" si="56">SUM(DL16:DL17)</f>
        <v>38957</v>
      </c>
      <c r="DM18" s="95">
        <f t="shared" si="56"/>
        <v>36285</v>
      </c>
      <c r="DN18" s="95">
        <f t="shared" si="56"/>
        <v>38814</v>
      </c>
      <c r="DO18" s="94">
        <f t="shared" si="56"/>
        <v>36654</v>
      </c>
      <c r="DP18" s="95">
        <f t="shared" si="56"/>
        <v>35986</v>
      </c>
      <c r="DQ18" s="95">
        <f t="shared" si="56"/>
        <v>38014</v>
      </c>
      <c r="DR18" s="95">
        <f t="shared" si="56"/>
        <v>33180</v>
      </c>
      <c r="DS18" s="95">
        <f t="shared" ref="DS18:FQ18" si="57">SUM(DS16:DS17)</f>
        <v>33545</v>
      </c>
      <c r="DT18" s="95">
        <f t="shared" si="57"/>
        <v>37281</v>
      </c>
      <c r="DU18" s="95">
        <f t="shared" si="57"/>
        <v>39044</v>
      </c>
      <c r="DV18" s="355">
        <f t="shared" si="57"/>
        <v>39188</v>
      </c>
      <c r="DW18" s="355">
        <f t="shared" si="57"/>
        <v>39053</v>
      </c>
      <c r="DX18" s="355">
        <f t="shared" si="57"/>
        <v>39110</v>
      </c>
      <c r="DY18" s="355">
        <f t="shared" si="57"/>
        <v>39366</v>
      </c>
      <c r="DZ18" s="355">
        <f t="shared" si="57"/>
        <v>39348</v>
      </c>
      <c r="EA18" s="355">
        <f t="shared" si="57"/>
        <v>39258</v>
      </c>
      <c r="EB18" s="355">
        <f t="shared" si="57"/>
        <v>39278</v>
      </c>
      <c r="EC18" s="355">
        <f t="shared" si="57"/>
        <v>39305</v>
      </c>
      <c r="ED18" s="355">
        <f t="shared" si="57"/>
        <v>39220</v>
      </c>
      <c r="EE18" s="355">
        <f t="shared" si="57"/>
        <v>38977</v>
      </c>
      <c r="EF18" s="355">
        <f t="shared" si="57"/>
        <v>39524</v>
      </c>
      <c r="EG18" s="355">
        <f t="shared" si="57"/>
        <v>39265</v>
      </c>
      <c r="EH18" s="355">
        <f t="shared" si="57"/>
        <v>39184</v>
      </c>
      <c r="EI18" s="355">
        <f t="shared" si="57"/>
        <v>38605</v>
      </c>
      <c r="EJ18" s="355">
        <f t="shared" si="57"/>
        <v>40194</v>
      </c>
      <c r="EK18" s="355">
        <f t="shared" si="57"/>
        <v>39611</v>
      </c>
      <c r="EL18" s="355">
        <f t="shared" si="57"/>
        <v>39723</v>
      </c>
      <c r="EM18" s="355">
        <f t="shared" si="57"/>
        <v>39655</v>
      </c>
      <c r="EN18" s="355">
        <f t="shared" si="57"/>
        <v>39609</v>
      </c>
      <c r="EO18" s="355">
        <f t="shared" si="57"/>
        <v>39691</v>
      </c>
      <c r="EP18" s="355">
        <f t="shared" si="57"/>
        <v>39401</v>
      </c>
      <c r="EQ18" s="355">
        <f t="shared" si="57"/>
        <v>36971</v>
      </c>
      <c r="ER18" s="355">
        <f t="shared" si="57"/>
        <v>39408</v>
      </c>
      <c r="ES18" s="355">
        <f t="shared" si="57"/>
        <v>38029</v>
      </c>
      <c r="ET18" s="355">
        <f t="shared" si="57"/>
        <v>39492</v>
      </c>
      <c r="EU18" s="355">
        <f t="shared" si="57"/>
        <v>39643</v>
      </c>
      <c r="EV18" s="355">
        <f t="shared" si="57"/>
        <v>39589</v>
      </c>
      <c r="EW18" s="355">
        <f t="shared" si="57"/>
        <v>40129</v>
      </c>
      <c r="EX18" s="355">
        <f t="shared" si="57"/>
        <v>39832</v>
      </c>
      <c r="EY18" s="355">
        <f t="shared" si="57"/>
        <v>39826</v>
      </c>
      <c r="EZ18" s="355">
        <f t="shared" si="57"/>
        <v>39501</v>
      </c>
      <c r="FA18" s="355">
        <f t="shared" si="57"/>
        <v>39935</v>
      </c>
      <c r="FB18" s="355">
        <f t="shared" si="57"/>
        <v>40110</v>
      </c>
      <c r="FC18" s="355">
        <f t="shared" si="57"/>
        <v>39666</v>
      </c>
      <c r="FD18" s="355">
        <f t="shared" si="57"/>
        <v>39997</v>
      </c>
      <c r="FE18" s="355">
        <f t="shared" si="57"/>
        <v>39888</v>
      </c>
      <c r="FF18" s="355">
        <f t="shared" si="57"/>
        <v>39787</v>
      </c>
      <c r="FG18" s="355">
        <f t="shared" si="57"/>
        <v>39780</v>
      </c>
      <c r="FH18" s="355">
        <f t="shared" si="57"/>
        <v>39878</v>
      </c>
      <c r="FI18" s="355">
        <f t="shared" si="57"/>
        <v>39624</v>
      </c>
      <c r="FJ18" s="355">
        <f t="shared" si="57"/>
        <v>40575</v>
      </c>
      <c r="FK18" s="355">
        <f t="shared" si="57"/>
        <v>40015</v>
      </c>
      <c r="FL18" s="355">
        <f t="shared" si="57"/>
        <v>39934</v>
      </c>
      <c r="FM18" s="355">
        <f t="shared" si="57"/>
        <v>39930</v>
      </c>
      <c r="FN18" s="355">
        <f t="shared" si="57"/>
        <v>39863</v>
      </c>
      <c r="FO18" s="355">
        <f t="shared" si="57"/>
        <v>39335</v>
      </c>
      <c r="FP18" s="355">
        <f t="shared" si="57"/>
        <v>40363</v>
      </c>
      <c r="FQ18" s="355">
        <f t="shared" si="57"/>
        <v>39906</v>
      </c>
      <c r="FR18" s="355">
        <f t="shared" ref="FR18:FT18" si="58">SUM(FR16:FR17)</f>
        <v>39688</v>
      </c>
      <c r="FS18" s="355">
        <f t="shared" si="58"/>
        <v>39874</v>
      </c>
      <c r="FT18" s="355">
        <f t="shared" si="58"/>
        <v>39734</v>
      </c>
    </row>
    <row r="19" spans="2:176" s="188" customFormat="1" x14ac:dyDescent="0.25">
      <c r="B19" s="264" t="s">
        <v>10</v>
      </c>
      <c r="C19" s="268">
        <f t="shared" ref="C19:H19" si="59">SUM(C16)/C18</f>
        <v>0.95985126244896901</v>
      </c>
      <c r="D19" s="259">
        <f t="shared" si="59"/>
        <v>0.94670910248249518</v>
      </c>
      <c r="E19" s="259">
        <f t="shared" si="59"/>
        <v>0.93154040404040406</v>
      </c>
      <c r="F19" s="259">
        <f t="shared" si="59"/>
        <v>0.92316258351893099</v>
      </c>
      <c r="G19" s="259">
        <f t="shared" si="59"/>
        <v>0.91886697015680319</v>
      </c>
      <c r="H19" s="259">
        <f t="shared" si="59"/>
        <v>0.91665617524864662</v>
      </c>
      <c r="I19" s="259">
        <f t="shared" ref="I19:Q19" si="60">SUM(I16)/I18</f>
        <v>0.91279113214597085</v>
      </c>
      <c r="J19" s="259">
        <f t="shared" si="60"/>
        <v>0.90813368679235928</v>
      </c>
      <c r="K19" s="259">
        <f t="shared" si="60"/>
        <v>0.90565569293410797</v>
      </c>
      <c r="L19" s="259">
        <f t="shared" si="60"/>
        <v>0.89581679237792777</v>
      </c>
      <c r="M19" s="259">
        <f t="shared" si="60"/>
        <v>0.89259833075116202</v>
      </c>
      <c r="N19" s="265">
        <f t="shared" si="60"/>
        <v>0.88242151072427732</v>
      </c>
      <c r="O19" s="268">
        <f t="shared" si="60"/>
        <v>0.86688564476885643</v>
      </c>
      <c r="P19" s="259">
        <f t="shared" si="60"/>
        <v>0.86224948875255625</v>
      </c>
      <c r="Q19" s="259">
        <f t="shared" si="60"/>
        <v>0.85649109316929384</v>
      </c>
      <c r="R19" s="259">
        <f t="shared" ref="R19:W19" si="61">SUM(R16)/R18</f>
        <v>0.8557761732851985</v>
      </c>
      <c r="S19" s="259">
        <f t="shared" si="61"/>
        <v>0.85095449757200481</v>
      </c>
      <c r="T19" s="259">
        <f t="shared" si="61"/>
        <v>0.84174453229284318</v>
      </c>
      <c r="U19" s="259">
        <f t="shared" si="61"/>
        <v>0.83554858011672961</v>
      </c>
      <c r="V19" s="259">
        <f t="shared" si="61"/>
        <v>0.83004462328148776</v>
      </c>
      <c r="W19" s="259">
        <f t="shared" si="61"/>
        <v>0.82227019248066202</v>
      </c>
      <c r="X19" s="259">
        <f t="shared" ref="X19:AC19" si="62">SUM(X16)/X18</f>
        <v>0.81119607287831585</v>
      </c>
      <c r="Y19" s="259">
        <f t="shared" si="62"/>
        <v>0.80528507654971981</v>
      </c>
      <c r="Z19" s="265">
        <f t="shared" si="62"/>
        <v>0.79295369275839034</v>
      </c>
      <c r="AA19" s="268">
        <f t="shared" si="62"/>
        <v>0.77982776684639565</v>
      </c>
      <c r="AB19" s="259">
        <f t="shared" si="62"/>
        <v>0.77434640072729277</v>
      </c>
      <c r="AC19" s="259">
        <f t="shared" si="62"/>
        <v>0.76457972072647618</v>
      </c>
      <c r="AD19" s="259">
        <f t="shared" ref="AD19:AI19" si="63">SUM(AD16)/AD18</f>
        <v>0.76425413078892246</v>
      </c>
      <c r="AE19" s="259">
        <f t="shared" si="63"/>
        <v>0.76009023455548608</v>
      </c>
      <c r="AF19" s="259">
        <f t="shared" si="63"/>
        <v>0.74661888515254904</v>
      </c>
      <c r="AG19" s="259">
        <f t="shared" si="63"/>
        <v>0.7407397739434598</v>
      </c>
      <c r="AH19" s="259">
        <f t="shared" si="63"/>
        <v>0.73021485573971767</v>
      </c>
      <c r="AI19" s="259">
        <f t="shared" si="63"/>
        <v>0.71597278344065274</v>
      </c>
      <c r="AJ19" s="259">
        <f t="shared" ref="AJ19:AO19" si="64">SUM(AJ16)/AJ18</f>
        <v>0.69866611196338957</v>
      </c>
      <c r="AK19" s="259">
        <f t="shared" si="64"/>
        <v>0.69025490515788901</v>
      </c>
      <c r="AL19" s="265">
        <f t="shared" si="64"/>
        <v>0.68306636155606404</v>
      </c>
      <c r="AM19" s="268">
        <f t="shared" si="64"/>
        <v>0.67520417657396881</v>
      </c>
      <c r="AN19" s="259">
        <f t="shared" si="64"/>
        <v>0.68382200349826572</v>
      </c>
      <c r="AO19" s="259">
        <f t="shared" si="64"/>
        <v>0.66008722176006451</v>
      </c>
      <c r="AP19" s="259">
        <f t="shared" ref="AP19:AU19" si="65">SUM(AP16)/AP18</f>
        <v>0.66019074531967503</v>
      </c>
      <c r="AQ19" s="259">
        <f t="shared" si="65"/>
        <v>0.65597890573500328</v>
      </c>
      <c r="AR19" s="259">
        <f t="shared" si="65"/>
        <v>0.64845342207775458</v>
      </c>
      <c r="AS19" s="259">
        <f t="shared" si="65"/>
        <v>0.64318763268194434</v>
      </c>
      <c r="AT19" s="259">
        <f t="shared" si="65"/>
        <v>0.63201894612196563</v>
      </c>
      <c r="AU19" s="259">
        <f t="shared" si="65"/>
        <v>0.62969695395881486</v>
      </c>
      <c r="AV19" s="259">
        <f t="shared" ref="AV19:BJ19" si="66">SUM(AV16)/AV18</f>
        <v>0.62506224936440125</v>
      </c>
      <c r="AW19" s="259">
        <f t="shared" si="66"/>
        <v>0.62162820929476759</v>
      </c>
      <c r="AX19" s="265">
        <f t="shared" si="66"/>
        <v>0.62092997930959382</v>
      </c>
      <c r="AY19" s="268">
        <f t="shared" si="66"/>
        <v>0.61480350813649653</v>
      </c>
      <c r="AZ19" s="259">
        <f t="shared" si="66"/>
        <v>0.61343692359286794</v>
      </c>
      <c r="BA19" s="259">
        <f t="shared" si="66"/>
        <v>0.60404604276717955</v>
      </c>
      <c r="BB19" s="259">
        <f t="shared" si="66"/>
        <v>0.59891171269215071</v>
      </c>
      <c r="BC19" s="259">
        <f t="shared" si="66"/>
        <v>0.59051066134830354</v>
      </c>
      <c r="BD19" s="259">
        <f t="shared" si="66"/>
        <v>0.58446423698116956</v>
      </c>
      <c r="BE19" s="259">
        <f t="shared" si="66"/>
        <v>0.58089305937550562</v>
      </c>
      <c r="BF19" s="259">
        <f t="shared" si="66"/>
        <v>0.57027978682908265</v>
      </c>
      <c r="BG19" s="259">
        <f t="shared" si="66"/>
        <v>0.59585545753186919</v>
      </c>
      <c r="BH19" s="259">
        <f t="shared" si="66"/>
        <v>0.5448468794097987</v>
      </c>
      <c r="BI19" s="259">
        <f t="shared" si="66"/>
        <v>0.53428149738360387</v>
      </c>
      <c r="BJ19" s="265">
        <f t="shared" si="66"/>
        <v>0.53523050654524762</v>
      </c>
      <c r="BK19" s="268">
        <f t="shared" ref="BK19:BP19" si="67">SUM(BK16)/BK18</f>
        <v>0.52488629975982426</v>
      </c>
      <c r="BL19" s="259">
        <f t="shared" si="67"/>
        <v>0.51545697113440958</v>
      </c>
      <c r="BM19" s="259">
        <f t="shared" si="67"/>
        <v>0.51257946540340193</v>
      </c>
      <c r="BN19" s="259">
        <f t="shared" si="67"/>
        <v>0.50928488887694501</v>
      </c>
      <c r="BO19" s="259">
        <f t="shared" si="67"/>
        <v>0.50539656182848214</v>
      </c>
      <c r="BP19" s="259">
        <f t="shared" si="67"/>
        <v>0.50323710869068472</v>
      </c>
      <c r="BQ19" s="259">
        <f t="shared" ref="BQ19:CB19" si="68">SUM(BQ16)/BQ18</f>
        <v>0.48106118304138107</v>
      </c>
      <c r="BR19" s="259">
        <f t="shared" si="68"/>
        <v>0.47498415232549951</v>
      </c>
      <c r="BS19" s="259">
        <f t="shared" si="68"/>
        <v>0.47246926315202542</v>
      </c>
      <c r="BT19" s="259">
        <f t="shared" si="68"/>
        <v>0.46438595160433893</v>
      </c>
      <c r="BU19" s="259">
        <f t="shared" si="68"/>
        <v>0.45880391116501174</v>
      </c>
      <c r="BV19" s="265">
        <f t="shared" si="68"/>
        <v>0.45010513515567602</v>
      </c>
      <c r="BW19" s="268">
        <f t="shared" si="68"/>
        <v>0.44492124394184168</v>
      </c>
      <c r="BX19" s="259">
        <f t="shared" si="68"/>
        <v>0.44017995577358104</v>
      </c>
      <c r="BY19" s="259">
        <f t="shared" si="68"/>
        <v>0.43807321968445923</v>
      </c>
      <c r="BZ19" s="259">
        <f t="shared" si="68"/>
        <v>0.43560021259902304</v>
      </c>
      <c r="CA19" s="259">
        <f t="shared" si="68"/>
        <v>0.43093255515584511</v>
      </c>
      <c r="CB19" s="259">
        <f t="shared" si="68"/>
        <v>0.42648020524171237</v>
      </c>
      <c r="CC19" s="259">
        <f t="shared" ref="CC19:DK19" si="69">SUM(CC16)/CC18</f>
        <v>0.42246580852775545</v>
      </c>
      <c r="CD19" s="259">
        <f t="shared" si="69"/>
        <v>0.41610789009326948</v>
      </c>
      <c r="CE19" s="259">
        <f t="shared" si="69"/>
        <v>0.41048376910445877</v>
      </c>
      <c r="CF19" s="259">
        <f t="shared" si="69"/>
        <v>0.40877987421383649</v>
      </c>
      <c r="CG19" s="259">
        <f t="shared" si="69"/>
        <v>0.39596982330752434</v>
      </c>
      <c r="CH19" s="265">
        <f t="shared" si="69"/>
        <v>0.3868799371964084</v>
      </c>
      <c r="CI19" s="258">
        <f t="shared" si="69"/>
        <v>0.3988283239938869</v>
      </c>
      <c r="CJ19" s="259">
        <f t="shared" si="69"/>
        <v>0.39499149163132097</v>
      </c>
      <c r="CK19" s="259">
        <f t="shared" si="69"/>
        <v>0.39281623093959217</v>
      </c>
      <c r="CL19" s="259">
        <f t="shared" si="69"/>
        <v>0.39125343651359334</v>
      </c>
      <c r="CM19" s="259">
        <f t="shared" si="69"/>
        <v>0.38828936343092196</v>
      </c>
      <c r="CN19" s="259">
        <f t="shared" si="69"/>
        <v>0.38614489956575843</v>
      </c>
      <c r="CO19" s="259">
        <f t="shared" si="69"/>
        <v>0.38133285834245145</v>
      </c>
      <c r="CP19" s="259">
        <f t="shared" si="69"/>
        <v>0.37746393009550905</v>
      </c>
      <c r="CQ19" s="259">
        <f t="shared" si="69"/>
        <v>0.37175997761554702</v>
      </c>
      <c r="CR19" s="259">
        <f t="shared" si="69"/>
        <v>0.36832065922327628</v>
      </c>
      <c r="CS19" s="259">
        <f t="shared" si="69"/>
        <v>0.3628323082397194</v>
      </c>
      <c r="CT19" s="265">
        <f t="shared" si="69"/>
        <v>0.35910814731858792</v>
      </c>
      <c r="CU19" s="259">
        <f t="shared" si="69"/>
        <v>0.35628158015617822</v>
      </c>
      <c r="CV19" s="259">
        <f t="shared" si="69"/>
        <v>0.35269424515341169</v>
      </c>
      <c r="CW19" s="259">
        <f t="shared" si="69"/>
        <v>0.35053021591925387</v>
      </c>
      <c r="CX19" s="259">
        <f t="shared" si="69"/>
        <v>0.34785053417165057</v>
      </c>
      <c r="CY19" s="259">
        <f t="shared" si="69"/>
        <v>0.34732756199085779</v>
      </c>
      <c r="CZ19" s="259">
        <f t="shared" si="69"/>
        <v>0.34466923489042528</v>
      </c>
      <c r="DA19" s="259">
        <f t="shared" si="69"/>
        <v>0.34121638859125464</v>
      </c>
      <c r="DB19" s="259">
        <f t="shared" si="69"/>
        <v>0.33842952053149766</v>
      </c>
      <c r="DC19" s="259">
        <f t="shared" si="69"/>
        <v>0.33696456361456234</v>
      </c>
      <c r="DD19" s="259">
        <f t="shared" si="69"/>
        <v>0.3310465429109497</v>
      </c>
      <c r="DE19" s="259">
        <f t="shared" si="69"/>
        <v>0.32938955652451346</v>
      </c>
      <c r="DF19" s="265">
        <f t="shared" si="69"/>
        <v>0.32018052543996772</v>
      </c>
      <c r="DG19" s="259">
        <f t="shared" si="69"/>
        <v>0.32040057392170068</v>
      </c>
      <c r="DH19" s="259">
        <f t="shared" si="69"/>
        <v>0.3115003219575016</v>
      </c>
      <c r="DI19" s="259">
        <f t="shared" si="69"/>
        <v>0.30849690082644626</v>
      </c>
      <c r="DJ19" s="259">
        <f t="shared" si="69"/>
        <v>0.30585467128027682</v>
      </c>
      <c r="DK19" s="259">
        <f t="shared" si="69"/>
        <v>0.30105608050785476</v>
      </c>
      <c r="DL19" s="259">
        <f t="shared" ref="DL19:DR19" si="70">SUM(DL16)/DL18</f>
        <v>0.29807223348820494</v>
      </c>
      <c r="DM19" s="259">
        <f t="shared" si="70"/>
        <v>0.29656883009508062</v>
      </c>
      <c r="DN19" s="259">
        <f t="shared" si="70"/>
        <v>0.28950894007316946</v>
      </c>
      <c r="DO19" s="259">
        <f t="shared" si="70"/>
        <v>0.28460740983248761</v>
      </c>
      <c r="DP19" s="259">
        <f t="shared" si="70"/>
        <v>0.28016450841994106</v>
      </c>
      <c r="DQ19" s="259">
        <f t="shared" si="70"/>
        <v>0.28005471668332721</v>
      </c>
      <c r="DR19" s="259">
        <f t="shared" si="70"/>
        <v>0.2773960216998192</v>
      </c>
      <c r="DS19" s="259">
        <f>SUM(DS16)/DS18</f>
        <v>0.27810403935012667</v>
      </c>
      <c r="DT19" s="259">
        <f>SUM(DT16)/DT18</f>
        <v>0.27507309353289877</v>
      </c>
      <c r="DU19" s="259">
        <f>SUM(DU16)/DU18</f>
        <v>0.2724106136666325</v>
      </c>
      <c r="DV19" s="282">
        <f t="shared" ref="DV19:FQ19" si="71">SUM(DV16)/DV18</f>
        <v>0.27176686740839034</v>
      </c>
      <c r="DW19" s="282">
        <f t="shared" si="71"/>
        <v>0.2677131078278237</v>
      </c>
      <c r="DX19" s="282">
        <f t="shared" si="71"/>
        <v>0.26220915366913833</v>
      </c>
      <c r="DY19" s="282">
        <f t="shared" si="71"/>
        <v>0.26052939084489152</v>
      </c>
      <c r="DZ19" s="282">
        <f t="shared" si="71"/>
        <v>0.25935244485107251</v>
      </c>
      <c r="EA19" s="282">
        <f t="shared" si="71"/>
        <v>0.25683937031942533</v>
      </c>
      <c r="EB19" s="282">
        <f t="shared" si="71"/>
        <v>0.25581750598299302</v>
      </c>
      <c r="EC19" s="282">
        <f t="shared" si="71"/>
        <v>0.25190179366492815</v>
      </c>
      <c r="ED19" s="282">
        <f t="shared" si="71"/>
        <v>0.24992350841407446</v>
      </c>
      <c r="EE19" s="282">
        <f t="shared" si="71"/>
        <v>0.24742797034148345</v>
      </c>
      <c r="EF19" s="282">
        <f t="shared" si="71"/>
        <v>0.24109401882400566</v>
      </c>
      <c r="EG19" s="282">
        <f t="shared" si="71"/>
        <v>0.23781994142365975</v>
      </c>
      <c r="EH19" s="282">
        <f t="shared" si="71"/>
        <v>0.23509595753368723</v>
      </c>
      <c r="EI19" s="282">
        <f t="shared" si="71"/>
        <v>0.23644605621033546</v>
      </c>
      <c r="EJ19" s="282">
        <f t="shared" si="71"/>
        <v>0.22498382843210429</v>
      </c>
      <c r="EK19" s="282">
        <f t="shared" si="71"/>
        <v>0.22463457120496833</v>
      </c>
      <c r="EL19" s="282">
        <f t="shared" si="71"/>
        <v>0.2227424917554062</v>
      </c>
      <c r="EM19" s="282">
        <f t="shared" si="71"/>
        <v>0.2214600933047535</v>
      </c>
      <c r="EN19" s="282">
        <f t="shared" si="71"/>
        <v>0.21957130955085966</v>
      </c>
      <c r="EO19" s="282">
        <f t="shared" si="71"/>
        <v>0.21687536217278477</v>
      </c>
      <c r="EP19" s="282">
        <f t="shared" si="71"/>
        <v>0.21540062434963581</v>
      </c>
      <c r="EQ19" s="282">
        <f t="shared" si="71"/>
        <v>0.21297773930918829</v>
      </c>
      <c r="ER19" s="282">
        <f t="shared" si="71"/>
        <v>0.20894234673162809</v>
      </c>
      <c r="ES19" s="282">
        <f t="shared" si="71"/>
        <v>0.20657918956585763</v>
      </c>
      <c r="ET19" s="282">
        <f t="shared" si="71"/>
        <v>0.20718120125595058</v>
      </c>
      <c r="EU19" s="282">
        <f t="shared" si="71"/>
        <v>0.20540826879903135</v>
      </c>
      <c r="EV19" s="282">
        <f t="shared" si="71"/>
        <v>0.20566318926974664</v>
      </c>
      <c r="EW19" s="282">
        <f t="shared" si="71"/>
        <v>0.20127588527000423</v>
      </c>
      <c r="EX19" s="282">
        <f t="shared" si="71"/>
        <v>0.20116991363727657</v>
      </c>
      <c r="EY19" s="282">
        <f t="shared" si="71"/>
        <v>0.20004519660523276</v>
      </c>
      <c r="EZ19" s="282">
        <f t="shared" si="71"/>
        <v>0.2001468317257791</v>
      </c>
      <c r="FA19" s="282">
        <f t="shared" si="71"/>
        <v>0.19666958808063104</v>
      </c>
      <c r="FB19" s="282">
        <f t="shared" si="71"/>
        <v>0.19361755173273498</v>
      </c>
      <c r="FC19" s="282">
        <f t="shared" si="71"/>
        <v>0.19520496142792315</v>
      </c>
      <c r="FD19" s="282">
        <f t="shared" si="71"/>
        <v>0.19203940295522165</v>
      </c>
      <c r="FE19" s="282">
        <f t="shared" si="71"/>
        <v>0.18968110709987968</v>
      </c>
      <c r="FF19" s="282">
        <f t="shared" si="71"/>
        <v>0.18857918415562872</v>
      </c>
      <c r="FG19" s="282">
        <f t="shared" si="71"/>
        <v>0.18707893413775767</v>
      </c>
      <c r="FH19" s="282">
        <f t="shared" si="71"/>
        <v>0.18401123426450675</v>
      </c>
      <c r="FI19" s="282">
        <f t="shared" si="71"/>
        <v>0.1816828184938421</v>
      </c>
      <c r="FJ19" s="282">
        <f t="shared" si="71"/>
        <v>0.17675908810844115</v>
      </c>
      <c r="FK19" s="282">
        <f t="shared" si="71"/>
        <v>0.17321004623266276</v>
      </c>
      <c r="FL19" s="282">
        <f t="shared" si="71"/>
        <v>0.17123253368057295</v>
      </c>
      <c r="FM19" s="282">
        <f t="shared" si="71"/>
        <v>0.16766841973453545</v>
      </c>
      <c r="FN19" s="282">
        <f t="shared" si="71"/>
        <v>0.16476431778842535</v>
      </c>
      <c r="FO19" s="282">
        <f t="shared" si="71"/>
        <v>0.16484047286131945</v>
      </c>
      <c r="FP19" s="282">
        <f t="shared" si="71"/>
        <v>0.15576146470777694</v>
      </c>
      <c r="FQ19" s="282">
        <f t="shared" si="71"/>
        <v>0.15536510800380895</v>
      </c>
      <c r="FR19" s="282">
        <f t="shared" ref="FR19:FT19" si="72">SUM(FR16)/FR18</f>
        <v>0.1535980649062689</v>
      </c>
      <c r="FS19" s="282">
        <f t="shared" si="72"/>
        <v>0.14914480613933892</v>
      </c>
      <c r="FT19" s="282">
        <f t="shared" si="72"/>
        <v>0.14765691850807872</v>
      </c>
    </row>
    <row r="20" spans="2:176" s="188" customFormat="1" ht="13.8" thickBot="1" x14ac:dyDescent="0.3">
      <c r="B20" s="266" t="s">
        <v>11</v>
      </c>
      <c r="C20" s="269">
        <f t="shared" ref="C20:H20" si="73">SUM(C17/C18)</f>
        <v>4.0148737551031023E-2</v>
      </c>
      <c r="D20" s="261">
        <f t="shared" si="73"/>
        <v>5.3290897517504772E-2</v>
      </c>
      <c r="E20" s="261">
        <f t="shared" si="73"/>
        <v>6.8459595959595956E-2</v>
      </c>
      <c r="F20" s="261">
        <f t="shared" si="73"/>
        <v>7.6837416481069037E-2</v>
      </c>
      <c r="G20" s="261">
        <f t="shared" si="73"/>
        <v>8.1133029843196758E-2</v>
      </c>
      <c r="H20" s="261">
        <f t="shared" si="73"/>
        <v>8.3343824751353393E-2</v>
      </c>
      <c r="I20" s="261">
        <f t="shared" ref="I20:Q20" si="74">SUM(I17/I18)</f>
        <v>8.7208867854029148E-2</v>
      </c>
      <c r="J20" s="261">
        <f t="shared" si="74"/>
        <v>9.186631320764066E-2</v>
      </c>
      <c r="K20" s="261">
        <f t="shared" si="74"/>
        <v>9.4344307065892044E-2</v>
      </c>
      <c r="L20" s="261">
        <f t="shared" si="74"/>
        <v>0.10418320762207225</v>
      </c>
      <c r="M20" s="261">
        <f t="shared" si="74"/>
        <v>0.10740166924883802</v>
      </c>
      <c r="N20" s="267">
        <f t="shared" si="74"/>
        <v>0.11757848927572272</v>
      </c>
      <c r="O20" s="269">
        <f t="shared" si="74"/>
        <v>0.13311435523114354</v>
      </c>
      <c r="P20" s="261">
        <f t="shared" si="74"/>
        <v>0.13775051124744375</v>
      </c>
      <c r="Q20" s="261">
        <f t="shared" si="74"/>
        <v>0.14350890683070613</v>
      </c>
      <c r="R20" s="261">
        <f t="shared" ref="R20:W20" si="75">SUM(R17/R18)</f>
        <v>0.14422382671480144</v>
      </c>
      <c r="S20" s="261">
        <f t="shared" si="75"/>
        <v>0.14904550242799516</v>
      </c>
      <c r="T20" s="261">
        <f t="shared" si="75"/>
        <v>0.15825546770715679</v>
      </c>
      <c r="U20" s="261">
        <f t="shared" si="75"/>
        <v>0.16445141988327039</v>
      </c>
      <c r="V20" s="261">
        <f t="shared" si="75"/>
        <v>0.16995537671851221</v>
      </c>
      <c r="W20" s="261">
        <f t="shared" si="75"/>
        <v>0.17772980751933801</v>
      </c>
      <c r="X20" s="261">
        <f t="shared" ref="X20:AC20" si="76">SUM(X17/X18)</f>
        <v>0.18880392712168412</v>
      </c>
      <c r="Y20" s="261">
        <f t="shared" si="76"/>
        <v>0.19471492345028013</v>
      </c>
      <c r="Z20" s="267">
        <f t="shared" si="76"/>
        <v>0.20704630724160972</v>
      </c>
      <c r="AA20" s="269">
        <f t="shared" si="76"/>
        <v>0.22017223315360437</v>
      </c>
      <c r="AB20" s="261">
        <f t="shared" si="76"/>
        <v>0.22565359927270723</v>
      </c>
      <c r="AC20" s="261">
        <f t="shared" si="76"/>
        <v>0.23542027927352377</v>
      </c>
      <c r="AD20" s="261">
        <f t="shared" ref="AD20:AI20" si="77">SUM(AD17/AD18)</f>
        <v>0.23574586921107749</v>
      </c>
      <c r="AE20" s="261">
        <f t="shared" si="77"/>
        <v>0.23990976544451389</v>
      </c>
      <c r="AF20" s="261">
        <f t="shared" si="77"/>
        <v>0.25338111484745096</v>
      </c>
      <c r="AG20" s="261">
        <f t="shared" si="77"/>
        <v>0.25926022605654025</v>
      </c>
      <c r="AH20" s="261">
        <f t="shared" si="77"/>
        <v>0.26978514426028238</v>
      </c>
      <c r="AI20" s="261">
        <f t="shared" si="77"/>
        <v>0.28402721655934721</v>
      </c>
      <c r="AJ20" s="261">
        <f t="shared" ref="AJ20:AO20" si="78">SUM(AJ17/AJ18)</f>
        <v>0.30133388803661043</v>
      </c>
      <c r="AK20" s="261">
        <f t="shared" si="78"/>
        <v>0.30974509484211099</v>
      </c>
      <c r="AL20" s="267">
        <f t="shared" si="78"/>
        <v>0.31693363844393591</v>
      </c>
      <c r="AM20" s="269">
        <f t="shared" si="78"/>
        <v>0.32479582342603119</v>
      </c>
      <c r="AN20" s="261">
        <f t="shared" si="78"/>
        <v>0.31617799650173428</v>
      </c>
      <c r="AO20" s="261">
        <f t="shared" si="78"/>
        <v>0.33991277823993549</v>
      </c>
      <c r="AP20" s="261">
        <f t="shared" ref="AP20:AU20" si="79">SUM(AP17/AP18)</f>
        <v>0.33980925468032497</v>
      </c>
      <c r="AQ20" s="261">
        <f t="shared" si="79"/>
        <v>0.34402109426499672</v>
      </c>
      <c r="AR20" s="261">
        <f t="shared" si="79"/>
        <v>0.35154657792224542</v>
      </c>
      <c r="AS20" s="261">
        <f t="shared" si="79"/>
        <v>0.35681236731805566</v>
      </c>
      <c r="AT20" s="261">
        <f t="shared" si="79"/>
        <v>0.36798105387803431</v>
      </c>
      <c r="AU20" s="261">
        <f t="shared" si="79"/>
        <v>0.37030304604118519</v>
      </c>
      <c r="AV20" s="261">
        <f>SUM(AV17/AV18)</f>
        <v>0.37493775063559875</v>
      </c>
      <c r="AW20" s="261">
        <f>SUM(AW17/AW18)</f>
        <v>0.37837179070523236</v>
      </c>
      <c r="AX20" s="267">
        <f>SUM(AX17/AX18)</f>
        <v>0.37907002069040618</v>
      </c>
      <c r="AY20" s="269">
        <f t="shared" ref="AY20:BG20" si="80">SUM(AY17/AY18)</f>
        <v>0.38519649186350347</v>
      </c>
      <c r="AZ20" s="261">
        <f t="shared" si="80"/>
        <v>0.38656307640713206</v>
      </c>
      <c r="BA20" s="261">
        <f t="shared" si="80"/>
        <v>0.39595395723282045</v>
      </c>
      <c r="BB20" s="261">
        <f t="shared" si="80"/>
        <v>0.40108828730784929</v>
      </c>
      <c r="BC20" s="261">
        <f t="shared" si="80"/>
        <v>0.40948933865169646</v>
      </c>
      <c r="BD20" s="261">
        <f t="shared" si="80"/>
        <v>0.4155357630188305</v>
      </c>
      <c r="BE20" s="261">
        <f t="shared" si="80"/>
        <v>0.41910694062449444</v>
      </c>
      <c r="BF20" s="261">
        <f t="shared" si="80"/>
        <v>0.42972021317091741</v>
      </c>
      <c r="BG20" s="261">
        <f t="shared" si="80"/>
        <v>0.40414454246813081</v>
      </c>
      <c r="BH20" s="261">
        <f t="shared" ref="BH20:BM20" si="81">SUM(BH17/BH18)</f>
        <v>0.4551531205902013</v>
      </c>
      <c r="BI20" s="261">
        <f t="shared" si="81"/>
        <v>0.46571850261639608</v>
      </c>
      <c r="BJ20" s="267">
        <f t="shared" si="81"/>
        <v>0.46476949345475244</v>
      </c>
      <c r="BK20" s="269">
        <f t="shared" si="81"/>
        <v>0.4751137002401758</v>
      </c>
      <c r="BL20" s="261">
        <f t="shared" si="81"/>
        <v>0.48454302886559036</v>
      </c>
      <c r="BM20" s="261">
        <f t="shared" si="81"/>
        <v>0.48742053459659801</v>
      </c>
      <c r="BN20" s="261">
        <f t="shared" ref="BN20:BS20" si="82">SUM(BN17/BN18)</f>
        <v>0.49071511112305499</v>
      </c>
      <c r="BO20" s="261">
        <f t="shared" si="82"/>
        <v>0.49460343817151786</v>
      </c>
      <c r="BP20" s="261">
        <f t="shared" si="82"/>
        <v>0.49676289130931528</v>
      </c>
      <c r="BQ20" s="261">
        <f t="shared" si="82"/>
        <v>0.51893881695861899</v>
      </c>
      <c r="BR20" s="261">
        <f t="shared" si="82"/>
        <v>0.52501584767450049</v>
      </c>
      <c r="BS20" s="261">
        <f t="shared" si="82"/>
        <v>0.52753073684797458</v>
      </c>
      <c r="BT20" s="261">
        <f>SUM(BT17/BT18)</f>
        <v>0.53561404839566107</v>
      </c>
      <c r="BU20" s="261">
        <f>SUM(BU17/BU18)</f>
        <v>0.54119608883498826</v>
      </c>
      <c r="BV20" s="267">
        <f>SUM(BV17/BV18)</f>
        <v>0.54989486484432393</v>
      </c>
      <c r="BW20" s="269">
        <f t="shared" ref="BW20:CB20" si="83">SUM(BW17/BW18)</f>
        <v>0.55507875605815837</v>
      </c>
      <c r="BX20" s="261">
        <f t="shared" si="83"/>
        <v>0.55982004422641896</v>
      </c>
      <c r="BY20" s="261">
        <f t="shared" si="83"/>
        <v>0.56192678031554077</v>
      </c>
      <c r="BZ20" s="261">
        <f t="shared" si="83"/>
        <v>0.56439978740097696</v>
      </c>
      <c r="CA20" s="261">
        <f t="shared" si="83"/>
        <v>0.56906744484415483</v>
      </c>
      <c r="CB20" s="261">
        <f t="shared" si="83"/>
        <v>0.57351979475828763</v>
      </c>
      <c r="CC20" s="261">
        <f t="shared" ref="CC20:DK20" si="84">SUM(CC17/CC18)</f>
        <v>0.57753419147224461</v>
      </c>
      <c r="CD20" s="261">
        <f t="shared" si="84"/>
        <v>0.58389210990673057</v>
      </c>
      <c r="CE20" s="261">
        <f t="shared" si="84"/>
        <v>0.58951623089554128</v>
      </c>
      <c r="CF20" s="261">
        <f t="shared" si="84"/>
        <v>0.59122012578616356</v>
      </c>
      <c r="CG20" s="261">
        <f t="shared" si="84"/>
        <v>0.60403017669247572</v>
      </c>
      <c r="CH20" s="267">
        <f t="shared" si="84"/>
        <v>0.61312006280359155</v>
      </c>
      <c r="CI20" s="260">
        <f t="shared" si="84"/>
        <v>0.6011716760061131</v>
      </c>
      <c r="CJ20" s="261">
        <f t="shared" si="84"/>
        <v>0.60500850836867903</v>
      </c>
      <c r="CK20" s="261">
        <f t="shared" si="84"/>
        <v>0.60718376906040783</v>
      </c>
      <c r="CL20" s="261">
        <f t="shared" si="84"/>
        <v>0.60874656348640666</v>
      </c>
      <c r="CM20" s="261">
        <f t="shared" si="84"/>
        <v>0.61171063656907798</v>
      </c>
      <c r="CN20" s="261">
        <f t="shared" si="84"/>
        <v>0.61385510043424163</v>
      </c>
      <c r="CO20" s="261">
        <f t="shared" si="84"/>
        <v>0.61866714165754855</v>
      </c>
      <c r="CP20" s="261">
        <f t="shared" si="84"/>
        <v>0.62253606990449095</v>
      </c>
      <c r="CQ20" s="261">
        <f t="shared" si="84"/>
        <v>0.62824002238445298</v>
      </c>
      <c r="CR20" s="261">
        <f t="shared" si="84"/>
        <v>0.63167934077672372</v>
      </c>
      <c r="CS20" s="261">
        <f t="shared" si="84"/>
        <v>0.63716769176028054</v>
      </c>
      <c r="CT20" s="267">
        <f t="shared" si="84"/>
        <v>0.64089185268141213</v>
      </c>
      <c r="CU20" s="261">
        <f t="shared" si="84"/>
        <v>0.64371841984382172</v>
      </c>
      <c r="CV20" s="261">
        <f t="shared" si="84"/>
        <v>0.64730575484658825</v>
      </c>
      <c r="CW20" s="261">
        <f t="shared" si="84"/>
        <v>0.64946978408074618</v>
      </c>
      <c r="CX20" s="261">
        <f t="shared" si="84"/>
        <v>0.65214946582834943</v>
      </c>
      <c r="CY20" s="261">
        <f t="shared" si="84"/>
        <v>0.65267243800914221</v>
      </c>
      <c r="CZ20" s="261">
        <f t="shared" si="84"/>
        <v>0.65533076510957466</v>
      </c>
      <c r="DA20" s="261">
        <f t="shared" si="84"/>
        <v>0.65878361140874531</v>
      </c>
      <c r="DB20" s="261">
        <f t="shared" si="84"/>
        <v>0.66157047946850234</v>
      </c>
      <c r="DC20" s="261">
        <f t="shared" si="84"/>
        <v>0.66303543638543772</v>
      </c>
      <c r="DD20" s="261">
        <f t="shared" si="84"/>
        <v>0.6689534570890503</v>
      </c>
      <c r="DE20" s="261">
        <f t="shared" si="84"/>
        <v>0.6706104434754866</v>
      </c>
      <c r="DF20" s="267">
        <f t="shared" si="84"/>
        <v>0.67981947456003222</v>
      </c>
      <c r="DG20" s="261">
        <f t="shared" si="84"/>
        <v>0.67959942607829926</v>
      </c>
      <c r="DH20" s="261">
        <f t="shared" si="84"/>
        <v>0.68849967804249834</v>
      </c>
      <c r="DI20" s="261">
        <f t="shared" si="84"/>
        <v>0.69150309917355368</v>
      </c>
      <c r="DJ20" s="261">
        <f t="shared" si="84"/>
        <v>0.69414532871972323</v>
      </c>
      <c r="DK20" s="261">
        <f t="shared" si="84"/>
        <v>0.69894391949214518</v>
      </c>
      <c r="DL20" s="261">
        <f t="shared" ref="DL20:DR20" si="85">SUM(DL17/DL18)</f>
        <v>0.701927766511795</v>
      </c>
      <c r="DM20" s="261">
        <f t="shared" si="85"/>
        <v>0.70343116990491938</v>
      </c>
      <c r="DN20" s="261">
        <f t="shared" si="85"/>
        <v>0.71049105992683048</v>
      </c>
      <c r="DO20" s="261">
        <f t="shared" si="85"/>
        <v>0.71539259016751244</v>
      </c>
      <c r="DP20" s="261">
        <f t="shared" si="85"/>
        <v>0.71983549158005888</v>
      </c>
      <c r="DQ20" s="261">
        <f t="shared" si="85"/>
        <v>0.71994528331667285</v>
      </c>
      <c r="DR20" s="261">
        <f t="shared" si="85"/>
        <v>0.72260397830018086</v>
      </c>
      <c r="DS20" s="261">
        <f t="shared" ref="DS20:FQ20" si="86">SUM(DS17/DS18)</f>
        <v>0.72189596064987327</v>
      </c>
      <c r="DT20" s="261">
        <f t="shared" si="86"/>
        <v>0.72492690646710123</v>
      </c>
      <c r="DU20" s="261">
        <f t="shared" si="86"/>
        <v>0.72758938633336745</v>
      </c>
      <c r="DV20" s="354">
        <f t="shared" si="86"/>
        <v>0.72823313259160971</v>
      </c>
      <c r="DW20" s="354">
        <f t="shared" si="86"/>
        <v>0.73228689217217624</v>
      </c>
      <c r="DX20" s="354">
        <f t="shared" si="86"/>
        <v>0.73779084633086167</v>
      </c>
      <c r="DY20" s="354">
        <f t="shared" si="86"/>
        <v>0.73947060915510843</v>
      </c>
      <c r="DZ20" s="354">
        <f t="shared" si="86"/>
        <v>0.74064755514892755</v>
      </c>
      <c r="EA20" s="354">
        <f t="shared" si="86"/>
        <v>0.74316062968057461</v>
      </c>
      <c r="EB20" s="354">
        <f t="shared" si="86"/>
        <v>0.74418249401700698</v>
      </c>
      <c r="EC20" s="354">
        <f t="shared" si="86"/>
        <v>0.74809820633507185</v>
      </c>
      <c r="ED20" s="354">
        <f t="shared" si="86"/>
        <v>0.7500764915859256</v>
      </c>
      <c r="EE20" s="354">
        <f t="shared" si="86"/>
        <v>0.75257202965851655</v>
      </c>
      <c r="EF20" s="354">
        <f t="shared" si="86"/>
        <v>0.75890598117599428</v>
      </c>
      <c r="EG20" s="354">
        <f t="shared" si="86"/>
        <v>0.7621800585763403</v>
      </c>
      <c r="EH20" s="354">
        <f t="shared" si="86"/>
        <v>0.76490404246631283</v>
      </c>
      <c r="EI20" s="354">
        <f t="shared" si="86"/>
        <v>0.76355394378966457</v>
      </c>
      <c r="EJ20" s="354">
        <f t="shared" si="86"/>
        <v>0.77501617156789571</v>
      </c>
      <c r="EK20" s="354">
        <f t="shared" si="86"/>
        <v>0.77536542879503167</v>
      </c>
      <c r="EL20" s="354">
        <f t="shared" si="86"/>
        <v>0.77725750824459383</v>
      </c>
      <c r="EM20" s="354">
        <f t="shared" si="86"/>
        <v>0.77853990669524653</v>
      </c>
      <c r="EN20" s="354">
        <f t="shared" si="86"/>
        <v>0.78042869044914032</v>
      </c>
      <c r="EO20" s="354">
        <f t="shared" si="86"/>
        <v>0.7831246378272152</v>
      </c>
      <c r="EP20" s="354">
        <f t="shared" si="86"/>
        <v>0.78459937565036419</v>
      </c>
      <c r="EQ20" s="354">
        <f t="shared" si="86"/>
        <v>0.78702226069081171</v>
      </c>
      <c r="ER20" s="354">
        <f t="shared" si="86"/>
        <v>0.79105765326837185</v>
      </c>
      <c r="ES20" s="354">
        <f t="shared" si="86"/>
        <v>0.79342081043414237</v>
      </c>
      <c r="ET20" s="354">
        <f t="shared" si="86"/>
        <v>0.79281879874404948</v>
      </c>
      <c r="EU20" s="354">
        <f t="shared" si="86"/>
        <v>0.7945917312009686</v>
      </c>
      <c r="EV20" s="354">
        <f t="shared" si="86"/>
        <v>0.79433681073025331</v>
      </c>
      <c r="EW20" s="354">
        <f t="shared" si="86"/>
        <v>0.79872411472999572</v>
      </c>
      <c r="EX20" s="354">
        <f t="shared" si="86"/>
        <v>0.79883008636272346</v>
      </c>
      <c r="EY20" s="354">
        <f t="shared" si="86"/>
        <v>0.79995480339476721</v>
      </c>
      <c r="EZ20" s="354">
        <f t="shared" si="86"/>
        <v>0.79985316827422093</v>
      </c>
      <c r="FA20" s="354">
        <f t="shared" si="86"/>
        <v>0.80333041191936894</v>
      </c>
      <c r="FB20" s="354">
        <f t="shared" si="86"/>
        <v>0.80638244826726502</v>
      </c>
      <c r="FC20" s="354">
        <f t="shared" si="86"/>
        <v>0.80479503857207679</v>
      </c>
      <c r="FD20" s="354">
        <f t="shared" si="86"/>
        <v>0.80796059704477841</v>
      </c>
      <c r="FE20" s="354">
        <f t="shared" si="86"/>
        <v>0.81031889290012038</v>
      </c>
      <c r="FF20" s="354">
        <f t="shared" si="86"/>
        <v>0.81142081584437131</v>
      </c>
      <c r="FG20" s="354">
        <f t="shared" si="86"/>
        <v>0.81292106586224233</v>
      </c>
      <c r="FH20" s="354">
        <f t="shared" si="86"/>
        <v>0.81598876573549328</v>
      </c>
      <c r="FI20" s="354">
        <f t="shared" si="86"/>
        <v>0.81831718150615784</v>
      </c>
      <c r="FJ20" s="354">
        <f t="shared" si="86"/>
        <v>0.82324091189155879</v>
      </c>
      <c r="FK20" s="354">
        <f t="shared" si="86"/>
        <v>0.82678995376733722</v>
      </c>
      <c r="FL20" s="354">
        <f t="shared" si="86"/>
        <v>0.8287674663194271</v>
      </c>
      <c r="FM20" s="354">
        <f t="shared" si="86"/>
        <v>0.83233158026546461</v>
      </c>
      <c r="FN20" s="354">
        <f t="shared" si="86"/>
        <v>0.83523568221157463</v>
      </c>
      <c r="FO20" s="354">
        <f t="shared" si="86"/>
        <v>0.83515952713868058</v>
      </c>
      <c r="FP20" s="354">
        <f t="shared" si="86"/>
        <v>0.84423853529222304</v>
      </c>
      <c r="FQ20" s="354">
        <f t="shared" si="86"/>
        <v>0.84463489199619102</v>
      </c>
      <c r="FR20" s="354">
        <f t="shared" ref="FR20:FT20" si="87">SUM(FR17/FR18)</f>
        <v>0.84640193509373107</v>
      </c>
      <c r="FS20" s="354">
        <f t="shared" si="87"/>
        <v>0.85085519386066111</v>
      </c>
      <c r="FT20" s="354">
        <f t="shared" si="87"/>
        <v>0.85234308149192128</v>
      </c>
    </row>
    <row r="21" spans="2:176" ht="12.75" customHeight="1" x14ac:dyDescent="0.25">
      <c r="B21" s="179"/>
      <c r="C21" s="177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23"/>
      <c r="O21" s="177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23"/>
      <c r="AA21" s="177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23"/>
      <c r="AM21" s="177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23"/>
      <c r="AY21" s="17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23"/>
      <c r="BK21" s="177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23"/>
      <c r="BW21" s="177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23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224"/>
      <c r="DV21" s="302"/>
      <c r="DW21" s="302"/>
      <c r="DX21" s="302"/>
      <c r="DZ21" s="362"/>
    </row>
    <row r="22" spans="2:176" ht="12.75" hidden="1" customHeight="1" x14ac:dyDescent="0.25">
      <c r="B22" s="55" t="s">
        <v>49</v>
      </c>
      <c r="C22" s="81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81"/>
      <c r="P22" s="18"/>
      <c r="Q22" s="18"/>
      <c r="R22" s="18"/>
      <c r="S22" s="18"/>
      <c r="T22" s="19"/>
      <c r="U22" s="18"/>
      <c r="V22" s="18"/>
      <c r="W22" s="18"/>
      <c r="X22" s="18"/>
      <c r="Y22" s="18"/>
      <c r="Z22" s="20"/>
      <c r="AA22" s="81"/>
      <c r="AB22" s="18"/>
      <c r="AC22" s="18"/>
      <c r="AD22" s="18"/>
      <c r="AE22" s="18"/>
      <c r="AF22" s="19"/>
      <c r="AG22" s="18"/>
      <c r="AH22" s="18"/>
      <c r="AI22" s="18"/>
      <c r="AJ22" s="18"/>
      <c r="AK22" s="18"/>
      <c r="AL22" s="20"/>
      <c r="AM22" s="81"/>
      <c r="AN22" s="18"/>
      <c r="AO22" s="18"/>
      <c r="AP22" s="18"/>
      <c r="AQ22" s="18"/>
      <c r="AR22" s="19"/>
      <c r="AS22" s="18"/>
      <c r="AT22" s="18"/>
      <c r="AU22" s="18"/>
      <c r="AV22" s="18"/>
      <c r="AW22" s="18"/>
      <c r="AX22" s="20"/>
      <c r="AY22" s="81"/>
      <c r="AZ22" s="18"/>
      <c r="BA22" s="18"/>
      <c r="BB22" s="18"/>
      <c r="BC22" s="18"/>
      <c r="BD22" s="19"/>
      <c r="BE22" s="18"/>
      <c r="BF22" s="18"/>
      <c r="BG22" s="18"/>
      <c r="BH22" s="18"/>
      <c r="BI22" s="18"/>
      <c r="BJ22" s="20"/>
      <c r="BK22" s="81"/>
      <c r="BL22" s="18"/>
      <c r="BM22" s="18"/>
      <c r="BN22" s="18"/>
      <c r="BO22" s="18"/>
      <c r="BP22" s="19"/>
      <c r="BQ22" s="18"/>
      <c r="BR22" s="18"/>
      <c r="BS22" s="18"/>
      <c r="BT22" s="18"/>
      <c r="BU22" s="18"/>
      <c r="BV22" s="20"/>
      <c r="BW22" s="81"/>
      <c r="BX22" s="18"/>
      <c r="BY22" s="18"/>
      <c r="BZ22" s="18"/>
      <c r="CA22" s="18"/>
      <c r="CB22" s="19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  <c r="DZ22" s="362"/>
    </row>
    <row r="23" spans="2:176" ht="12.75" hidden="1" customHeight="1" x14ac:dyDescent="0.25">
      <c r="B23" s="55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81"/>
      <c r="P23" s="18"/>
      <c r="Q23" s="18"/>
      <c r="R23" s="18"/>
      <c r="S23" s="18"/>
      <c r="T23" s="19"/>
      <c r="U23" s="18"/>
      <c r="V23" s="18"/>
      <c r="W23" s="18"/>
      <c r="X23" s="18"/>
      <c r="Y23" s="18"/>
      <c r="Z23" s="20"/>
      <c r="AA23" s="81"/>
      <c r="AB23" s="18"/>
      <c r="AC23" s="18"/>
      <c r="AD23" s="18"/>
      <c r="AE23" s="18"/>
      <c r="AF23" s="19"/>
      <c r="AG23" s="18"/>
      <c r="AH23" s="18"/>
      <c r="AI23" s="18"/>
      <c r="AJ23" s="18"/>
      <c r="AK23" s="18"/>
      <c r="AL23" s="20"/>
      <c r="AM23" s="81"/>
      <c r="AN23" s="18"/>
      <c r="AO23" s="18"/>
      <c r="AP23" s="18"/>
      <c r="AQ23" s="18"/>
      <c r="AR23" s="19"/>
      <c r="AS23" s="18"/>
      <c r="AT23" s="18"/>
      <c r="AU23" s="18"/>
      <c r="AV23" s="18"/>
      <c r="AW23" s="18"/>
      <c r="AX23" s="20"/>
      <c r="AY23" s="81"/>
      <c r="AZ23" s="18"/>
      <c r="BA23" s="18"/>
      <c r="BB23" s="18"/>
      <c r="BC23" s="18"/>
      <c r="BD23" s="19"/>
      <c r="BE23" s="18"/>
      <c r="BF23" s="18"/>
      <c r="BG23" s="18"/>
      <c r="BH23" s="18"/>
      <c r="BI23" s="18"/>
      <c r="BJ23" s="20"/>
      <c r="BK23" s="81"/>
      <c r="BL23" s="18"/>
      <c r="BM23" s="18"/>
      <c r="BN23" s="18"/>
      <c r="BO23" s="18"/>
      <c r="BP23" s="19"/>
      <c r="BQ23" s="18"/>
      <c r="BR23" s="18"/>
      <c r="BS23" s="18"/>
      <c r="BT23" s="18"/>
      <c r="BU23" s="18"/>
      <c r="BV23" s="20"/>
      <c r="BW23" s="81"/>
      <c r="BX23" s="18"/>
      <c r="BY23" s="18"/>
      <c r="BZ23" s="18"/>
      <c r="CA23" s="18"/>
      <c r="CB23" s="19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  <c r="DZ23" s="362"/>
    </row>
    <row r="24" spans="2:176" ht="12.75" hidden="1" customHeight="1" x14ac:dyDescent="0.25">
      <c r="B24" s="3" t="s">
        <v>1</v>
      </c>
      <c r="C24" s="121">
        <v>303</v>
      </c>
      <c r="D24" s="16">
        <v>306</v>
      </c>
      <c r="E24" s="16">
        <v>298</v>
      </c>
      <c r="F24" s="16">
        <v>294</v>
      </c>
      <c r="G24" s="16">
        <v>284</v>
      </c>
      <c r="H24" s="16">
        <v>279</v>
      </c>
      <c r="I24" s="16">
        <v>278</v>
      </c>
      <c r="J24" s="16">
        <v>276</v>
      </c>
      <c r="K24" s="16">
        <v>274</v>
      </c>
      <c r="L24" s="16">
        <v>303</v>
      </c>
      <c r="M24" s="16">
        <v>264</v>
      </c>
      <c r="N24" s="21">
        <v>264</v>
      </c>
      <c r="O24" s="121">
        <f>254+19</f>
        <v>273</v>
      </c>
      <c r="P24" s="16">
        <f>240+20</f>
        <v>260</v>
      </c>
      <c r="Q24" s="16">
        <f>247+20</f>
        <v>267</v>
      </c>
      <c r="R24" s="16">
        <v>261</v>
      </c>
      <c r="S24" s="16">
        <v>259</v>
      </c>
      <c r="T24" s="16">
        <v>258</v>
      </c>
      <c r="U24" s="16">
        <f>U26-U25</f>
        <v>251</v>
      </c>
      <c r="V24" s="16">
        <f>V26-V25</f>
        <v>242</v>
      </c>
      <c r="W24" s="16">
        <f>W26-W25</f>
        <v>241</v>
      </c>
      <c r="X24" s="16">
        <f>254</f>
        <v>254</v>
      </c>
      <c r="Y24" s="16">
        <v>220</v>
      </c>
      <c r="Z24" s="21">
        <v>232</v>
      </c>
      <c r="AA24" s="121">
        <f>206+20</f>
        <v>226</v>
      </c>
      <c r="AB24" s="16">
        <f>193+20</f>
        <v>213</v>
      </c>
      <c r="AC24" s="16">
        <f>197+20</f>
        <v>217</v>
      </c>
      <c r="AD24" s="16">
        <f>185+20</f>
        <v>205</v>
      </c>
      <c r="AE24" s="16">
        <f>174+19</f>
        <v>193</v>
      </c>
      <c r="AF24" s="16">
        <f>171+19</f>
        <v>190</v>
      </c>
      <c r="AG24" s="16">
        <f>166+19</f>
        <v>185</v>
      </c>
      <c r="AH24" s="16">
        <f>161+19</f>
        <v>180</v>
      </c>
      <c r="AI24" s="16">
        <f>125+21</f>
        <v>146</v>
      </c>
      <c r="AJ24" s="16">
        <v>161</v>
      </c>
      <c r="AK24" s="16">
        <v>152</v>
      </c>
      <c r="AL24" s="21">
        <v>140</v>
      </c>
      <c r="AM24" s="121">
        <v>154</v>
      </c>
      <c r="AN24" s="16">
        <v>137</v>
      </c>
      <c r="AO24" s="16">
        <v>124</v>
      </c>
      <c r="AP24" s="16">
        <v>126</v>
      </c>
      <c r="AQ24" s="16">
        <v>127</v>
      </c>
      <c r="AR24" s="16">
        <v>111</v>
      </c>
      <c r="AS24" s="16">
        <v>117</v>
      </c>
      <c r="AT24" s="16">
        <v>115</v>
      </c>
      <c r="AU24" s="16">
        <v>113</v>
      </c>
      <c r="AV24" s="16">
        <v>112</v>
      </c>
      <c r="AW24" s="16">
        <v>117</v>
      </c>
      <c r="AX24" s="21">
        <v>114</v>
      </c>
      <c r="AY24" s="121">
        <f>112</f>
        <v>112</v>
      </c>
      <c r="AZ24" s="16">
        <v>110</v>
      </c>
      <c r="BA24" s="16">
        <v>118</v>
      </c>
      <c r="BB24" s="16">
        <f>111</f>
        <v>111</v>
      </c>
      <c r="BC24" s="16">
        <v>113</v>
      </c>
      <c r="BD24" s="16">
        <v>111</v>
      </c>
      <c r="BE24" s="16">
        <v>107</v>
      </c>
      <c r="BF24" s="16">
        <v>111</v>
      </c>
      <c r="BG24" s="16">
        <v>109</v>
      </c>
      <c r="BH24" s="16">
        <f>111</f>
        <v>111</v>
      </c>
      <c r="BI24" s="16">
        <v>108</v>
      </c>
      <c r="BJ24" s="21">
        <v>100</v>
      </c>
      <c r="BK24" s="121">
        <f>101+10</f>
        <v>111</v>
      </c>
      <c r="BL24" s="16">
        <f>93+10</f>
        <v>103</v>
      </c>
      <c r="BM24" s="16">
        <f>101+13</f>
        <v>114</v>
      </c>
      <c r="BN24" s="16">
        <v>103</v>
      </c>
      <c r="BO24" s="16">
        <v>111</v>
      </c>
      <c r="BP24" s="16">
        <v>108</v>
      </c>
      <c r="BQ24" s="16">
        <v>102</v>
      </c>
      <c r="BR24" s="16">
        <v>101</v>
      </c>
      <c r="BS24" s="16">
        <v>94</v>
      </c>
      <c r="BT24" s="16">
        <v>97</v>
      </c>
      <c r="BU24" s="16">
        <v>95</v>
      </c>
      <c r="BV24" s="21">
        <v>95</v>
      </c>
      <c r="BW24" s="121">
        <v>94</v>
      </c>
      <c r="BX24" s="16">
        <v>94</v>
      </c>
      <c r="BY24" s="16">
        <v>93</v>
      </c>
      <c r="BZ24" s="16">
        <f>93</f>
        <v>93</v>
      </c>
      <c r="CA24" s="16">
        <v>92</v>
      </c>
      <c r="CB24" s="16">
        <v>93</v>
      </c>
      <c r="CC24" s="16">
        <v>93</v>
      </c>
      <c r="CD24" s="16">
        <v>94</v>
      </c>
      <c r="CE24" s="16">
        <v>93</v>
      </c>
      <c r="CF24" s="16">
        <v>92</v>
      </c>
      <c r="CG24" s="16">
        <v>91</v>
      </c>
      <c r="CH24" s="21">
        <v>92</v>
      </c>
      <c r="CI24" s="71">
        <v>92</v>
      </c>
      <c r="CJ24" s="69">
        <v>90</v>
      </c>
      <c r="CK24" s="69">
        <v>89</v>
      </c>
      <c r="CL24" s="69">
        <v>90</v>
      </c>
      <c r="CM24" s="69">
        <v>89</v>
      </c>
      <c r="CN24" s="69">
        <v>89</v>
      </c>
      <c r="CO24" s="69">
        <v>89</v>
      </c>
      <c r="CP24" s="69">
        <v>82</v>
      </c>
      <c r="CQ24" s="69">
        <v>79</v>
      </c>
      <c r="CR24" s="69">
        <v>76</v>
      </c>
      <c r="CS24" s="69">
        <v>78</v>
      </c>
      <c r="CT24" s="89">
        <v>79</v>
      </c>
      <c r="CU24" s="69">
        <v>59</v>
      </c>
      <c r="CV24" s="69">
        <v>58</v>
      </c>
      <c r="CW24" s="69">
        <v>58</v>
      </c>
      <c r="CX24" s="69">
        <v>56</v>
      </c>
      <c r="CY24" s="69">
        <v>56</v>
      </c>
      <c r="CZ24" s="69">
        <v>55</v>
      </c>
      <c r="DA24" s="69">
        <v>54</v>
      </c>
      <c r="DB24" s="69">
        <v>53</v>
      </c>
      <c r="DC24" s="69">
        <v>54</v>
      </c>
      <c r="DD24" s="69">
        <v>53</v>
      </c>
      <c r="DE24" s="69">
        <v>52</v>
      </c>
      <c r="DF24" s="89">
        <v>54</v>
      </c>
      <c r="DG24" s="284">
        <v>51</v>
      </c>
      <c r="DH24" s="284">
        <v>52</v>
      </c>
      <c r="DI24" s="284">
        <v>43</v>
      </c>
      <c r="DJ24" s="69">
        <v>42</v>
      </c>
      <c r="DK24" s="69">
        <v>40</v>
      </c>
      <c r="DL24" s="69">
        <v>41</v>
      </c>
      <c r="DM24" s="69">
        <v>39</v>
      </c>
      <c r="DN24" s="69">
        <v>40</v>
      </c>
      <c r="DO24" s="69">
        <v>41</v>
      </c>
      <c r="DP24" s="284">
        <v>37</v>
      </c>
      <c r="DQ24" s="284">
        <v>36</v>
      </c>
      <c r="DR24" s="284">
        <v>32</v>
      </c>
      <c r="DS24" s="69">
        <f>32+1</f>
        <v>33</v>
      </c>
      <c r="DT24" s="69">
        <f>37+1</f>
        <v>38</v>
      </c>
      <c r="DU24" s="69">
        <f>38+1</f>
        <v>39</v>
      </c>
      <c r="DV24" s="359">
        <f>39+2</f>
        <v>41</v>
      </c>
      <c r="DW24" s="359">
        <f>38+1</f>
        <v>39</v>
      </c>
      <c r="DX24" s="359">
        <f>39+1</f>
        <v>40</v>
      </c>
      <c r="DY24" s="359">
        <f>38+1</f>
        <v>39</v>
      </c>
      <c r="DZ24" s="359">
        <f>37+1</f>
        <v>38</v>
      </c>
      <c r="EA24" s="359">
        <f>37+1</f>
        <v>38</v>
      </c>
      <c r="EB24" s="359">
        <f>36+1</f>
        <v>37</v>
      </c>
      <c r="EC24" s="359">
        <f>35</f>
        <v>35</v>
      </c>
      <c r="ED24" s="359">
        <f>35</f>
        <v>35</v>
      </c>
      <c r="EE24" s="359">
        <f>35</f>
        <v>35</v>
      </c>
      <c r="EF24" s="351">
        <f>33+4</f>
        <v>37</v>
      </c>
      <c r="EG24" s="351">
        <f>34+1</f>
        <v>35</v>
      </c>
      <c r="EH24" s="351">
        <f>32+1</f>
        <v>33</v>
      </c>
      <c r="EI24" s="351">
        <f>31+1</f>
        <v>32</v>
      </c>
      <c r="EJ24" s="351">
        <f>31+1</f>
        <v>32</v>
      </c>
      <c r="EK24" s="351">
        <f>31+1</f>
        <v>32</v>
      </c>
      <c r="EL24" s="351">
        <f>32+1</f>
        <v>33</v>
      </c>
      <c r="EM24" s="351">
        <f>33+1</f>
        <v>34</v>
      </c>
      <c r="EN24" s="351">
        <f>28+1</f>
        <v>29</v>
      </c>
      <c r="EO24" s="351">
        <f>29+1</f>
        <v>30</v>
      </c>
      <c r="EP24" s="351">
        <f>28+1</f>
        <v>29</v>
      </c>
      <c r="EQ24" s="351">
        <f>27</f>
        <v>27</v>
      </c>
      <c r="ER24" s="351">
        <f>24</f>
        <v>24</v>
      </c>
      <c r="ES24" s="351">
        <f>25</f>
        <v>25</v>
      </c>
      <c r="ET24" s="2">
        <v>23</v>
      </c>
      <c r="EU24" s="2">
        <v>22</v>
      </c>
      <c r="EV24" s="2">
        <v>24</v>
      </c>
      <c r="EW24" s="302">
        <v>22</v>
      </c>
      <c r="EX24" s="302">
        <v>22</v>
      </c>
      <c r="EY24" s="302">
        <v>22</v>
      </c>
      <c r="EZ24" s="302">
        <v>22</v>
      </c>
      <c r="FA24" s="302">
        <v>22</v>
      </c>
      <c r="FB24" s="302">
        <v>24</v>
      </c>
      <c r="FC24" s="302">
        <v>23</v>
      </c>
      <c r="FD24" s="302">
        <v>20</v>
      </c>
      <c r="FE24" s="302">
        <v>18</v>
      </c>
      <c r="FF24" s="302">
        <v>17</v>
      </c>
      <c r="FG24" s="302">
        <v>17</v>
      </c>
      <c r="FH24" s="302">
        <v>17</v>
      </c>
      <c r="FI24" s="302">
        <v>17</v>
      </c>
      <c r="FJ24" s="302">
        <v>17</v>
      </c>
      <c r="FK24" s="302">
        <v>17</v>
      </c>
      <c r="FL24" s="302">
        <v>17</v>
      </c>
      <c r="FM24" s="302">
        <v>17</v>
      </c>
      <c r="FN24" s="302">
        <v>16</v>
      </c>
      <c r="FO24" s="302">
        <v>15</v>
      </c>
      <c r="FP24" s="302">
        <v>15</v>
      </c>
      <c r="FQ24" s="302">
        <v>12</v>
      </c>
      <c r="FR24" s="302">
        <v>11</v>
      </c>
      <c r="FS24" s="302">
        <v>10</v>
      </c>
      <c r="FT24" s="302">
        <v>10</v>
      </c>
    </row>
    <row r="25" spans="2:176" ht="12.75" hidden="1" customHeight="1" thickBot="1" x14ac:dyDescent="0.3">
      <c r="B25" s="5" t="s">
        <v>8</v>
      </c>
      <c r="C25" s="175">
        <v>83</v>
      </c>
      <c r="D25" s="17">
        <v>97</v>
      </c>
      <c r="E25" s="17">
        <v>98</v>
      </c>
      <c r="F25" s="17">
        <v>109</v>
      </c>
      <c r="G25" s="17">
        <v>113</v>
      </c>
      <c r="H25" s="17">
        <v>115</v>
      </c>
      <c r="I25" s="17">
        <v>116</v>
      </c>
      <c r="J25" s="17">
        <v>118</v>
      </c>
      <c r="K25" s="17">
        <v>118</v>
      </c>
      <c r="L25" s="17">
        <v>121</v>
      </c>
      <c r="M25" s="17">
        <v>125</v>
      </c>
      <c r="N25" s="22">
        <v>127</v>
      </c>
      <c r="O25" s="175">
        <f>122+9</f>
        <v>131</v>
      </c>
      <c r="P25" s="17">
        <f>122+7</f>
        <v>129</v>
      </c>
      <c r="Q25" s="17">
        <f>122+5</f>
        <v>127</v>
      </c>
      <c r="R25" s="17">
        <v>130</v>
      </c>
      <c r="S25" s="17">
        <f>130</f>
        <v>130</v>
      </c>
      <c r="T25" s="17">
        <v>136</v>
      </c>
      <c r="U25" s="17">
        <v>143</v>
      </c>
      <c r="V25" s="17">
        <v>148</v>
      </c>
      <c r="W25" s="17">
        <v>152</v>
      </c>
      <c r="X25" s="17">
        <v>164</v>
      </c>
      <c r="Y25" s="17">
        <v>139</v>
      </c>
      <c r="Z25" s="22">
        <v>154</v>
      </c>
      <c r="AA25" s="175">
        <f>160+5</f>
        <v>165</v>
      </c>
      <c r="AB25" s="17">
        <f>157+3</f>
        <v>160</v>
      </c>
      <c r="AC25" s="17">
        <f>188+7</f>
        <v>195</v>
      </c>
      <c r="AD25" s="17">
        <f>172+5</f>
        <v>177</v>
      </c>
      <c r="AE25" s="17">
        <f>172+4</f>
        <v>176</v>
      </c>
      <c r="AF25" s="17">
        <f>192+6</f>
        <v>198</v>
      </c>
      <c r="AG25" s="17">
        <f>194+5</f>
        <v>199</v>
      </c>
      <c r="AH25" s="17">
        <f>206+5</f>
        <v>211</v>
      </c>
      <c r="AI25" s="17">
        <f>188+5</f>
        <v>193</v>
      </c>
      <c r="AJ25" s="17">
        <v>228</v>
      </c>
      <c r="AK25" s="17">
        <v>228</v>
      </c>
      <c r="AL25" s="22">
        <v>217</v>
      </c>
      <c r="AM25" s="175">
        <v>235</v>
      </c>
      <c r="AN25" s="17">
        <v>224</v>
      </c>
      <c r="AO25" s="17">
        <v>207</v>
      </c>
      <c r="AP25" s="17">
        <v>226</v>
      </c>
      <c r="AQ25" s="17">
        <v>231</v>
      </c>
      <c r="AR25" s="17">
        <v>249</v>
      </c>
      <c r="AS25" s="17">
        <v>234</v>
      </c>
      <c r="AT25" s="17">
        <v>260</v>
      </c>
      <c r="AU25" s="17">
        <v>249</v>
      </c>
      <c r="AV25" s="17">
        <v>243</v>
      </c>
      <c r="AW25" s="17">
        <v>245</v>
      </c>
      <c r="AX25" s="22">
        <v>234</v>
      </c>
      <c r="AY25" s="175">
        <v>259</v>
      </c>
      <c r="AZ25" s="17">
        <v>250</v>
      </c>
      <c r="BA25" s="17">
        <v>277</v>
      </c>
      <c r="BB25" s="17">
        <v>249</v>
      </c>
      <c r="BC25" s="17">
        <v>268</v>
      </c>
      <c r="BD25" s="17">
        <v>269</v>
      </c>
      <c r="BE25" s="17">
        <v>264</v>
      </c>
      <c r="BF25" s="17">
        <v>282</v>
      </c>
      <c r="BG25" s="17">
        <v>261</v>
      </c>
      <c r="BH25" s="17">
        <v>274</v>
      </c>
      <c r="BI25" s="17">
        <v>256</v>
      </c>
      <c r="BJ25" s="22">
        <v>253</v>
      </c>
      <c r="BK25" s="175">
        <f>256+7</f>
        <v>263</v>
      </c>
      <c r="BL25" s="17">
        <f>253+7</f>
        <v>260</v>
      </c>
      <c r="BM25" s="17">
        <f>272+9</f>
        <v>281</v>
      </c>
      <c r="BN25" s="17">
        <v>268</v>
      </c>
      <c r="BO25" s="17">
        <v>287</v>
      </c>
      <c r="BP25" s="17">
        <v>278</v>
      </c>
      <c r="BQ25" s="17">
        <v>287</v>
      </c>
      <c r="BR25" s="17">
        <v>319</v>
      </c>
      <c r="BS25" s="17">
        <v>272</v>
      </c>
      <c r="BT25" s="17">
        <v>296</v>
      </c>
      <c r="BU25" s="17">
        <v>296</v>
      </c>
      <c r="BV25" s="22">
        <v>293</v>
      </c>
      <c r="BW25" s="175">
        <v>296</v>
      </c>
      <c r="BX25" s="17">
        <v>296</v>
      </c>
      <c r="BY25" s="17">
        <v>291</v>
      </c>
      <c r="BZ25" s="17">
        <v>293</v>
      </c>
      <c r="CA25" s="17">
        <v>291</v>
      </c>
      <c r="CB25" s="17">
        <v>292</v>
      </c>
      <c r="CC25" s="17">
        <v>293</v>
      </c>
      <c r="CD25" s="17">
        <v>291</v>
      </c>
      <c r="CE25" s="17">
        <v>292</v>
      </c>
      <c r="CF25" s="17">
        <v>293</v>
      </c>
      <c r="CG25" s="17">
        <v>300</v>
      </c>
      <c r="CH25" s="22">
        <v>297</v>
      </c>
      <c r="CI25" s="92">
        <v>289</v>
      </c>
      <c r="CJ25" s="92">
        <v>291</v>
      </c>
      <c r="CK25" s="92">
        <v>289</v>
      </c>
      <c r="CL25" s="92">
        <v>283</v>
      </c>
      <c r="CM25" s="92">
        <v>284</v>
      </c>
      <c r="CN25" s="92">
        <v>284</v>
      </c>
      <c r="CO25" s="92">
        <v>281</v>
      </c>
      <c r="CP25" s="92">
        <v>291</v>
      </c>
      <c r="CQ25" s="92">
        <v>292</v>
      </c>
      <c r="CR25" s="92">
        <v>298</v>
      </c>
      <c r="CS25" s="92">
        <v>299</v>
      </c>
      <c r="CT25" s="93">
        <v>322</v>
      </c>
      <c r="CU25" s="91">
        <v>282</v>
      </c>
      <c r="CV25" s="92">
        <v>321</v>
      </c>
      <c r="CW25" s="92">
        <v>321</v>
      </c>
      <c r="CX25" s="92">
        <v>323</v>
      </c>
      <c r="CY25" s="92">
        <v>324</v>
      </c>
      <c r="CZ25" s="92">
        <v>315</v>
      </c>
      <c r="DA25" s="92">
        <v>326</v>
      </c>
      <c r="DB25" s="92">
        <v>307</v>
      </c>
      <c r="DC25" s="92">
        <v>318</v>
      </c>
      <c r="DD25" s="92">
        <v>303</v>
      </c>
      <c r="DE25" s="92">
        <v>304</v>
      </c>
      <c r="DF25" s="93">
        <v>325</v>
      </c>
      <c r="DG25" s="69">
        <f>267+11</f>
        <v>278</v>
      </c>
      <c r="DH25" s="69">
        <f>313+13</f>
        <v>326</v>
      </c>
      <c r="DI25" s="69">
        <f>310+13</f>
        <v>323</v>
      </c>
      <c r="DJ25" s="69">
        <f>272+12</f>
        <v>284</v>
      </c>
      <c r="DK25" s="69">
        <f>269+13</f>
        <v>282</v>
      </c>
      <c r="DL25" s="69">
        <f>311+14</f>
        <v>325</v>
      </c>
      <c r="DM25" s="69">
        <f>295+13</f>
        <v>308</v>
      </c>
      <c r="DN25" s="69">
        <f>314+13</f>
        <v>327</v>
      </c>
      <c r="DO25" s="69">
        <f>297+10</f>
        <v>307</v>
      </c>
      <c r="DP25" s="69">
        <f>264+11</f>
        <v>275</v>
      </c>
      <c r="DQ25" s="69">
        <f>304+12</f>
        <v>316</v>
      </c>
      <c r="DR25" s="69">
        <f>261+12</f>
        <v>273</v>
      </c>
      <c r="DS25" s="69">
        <f>273+17</f>
        <v>290</v>
      </c>
      <c r="DT25" s="69">
        <f>319+14</f>
        <v>333</v>
      </c>
      <c r="DU25" s="69">
        <f>321+14</f>
        <v>335</v>
      </c>
      <c r="DV25" s="359">
        <f>321+13</f>
        <v>334</v>
      </c>
      <c r="DW25" s="359">
        <f>325+15</f>
        <v>340</v>
      </c>
      <c r="DX25" s="359">
        <f>318+14</f>
        <v>332</v>
      </c>
      <c r="DY25" s="359">
        <f>324+14</f>
        <v>338</v>
      </c>
      <c r="DZ25" s="359">
        <f>324+14</f>
        <v>338</v>
      </c>
      <c r="EA25" s="359">
        <f>318+14</f>
        <v>332</v>
      </c>
      <c r="EB25" s="359">
        <f>326+14</f>
        <v>340</v>
      </c>
      <c r="EC25" s="359">
        <f>322+15</f>
        <v>337</v>
      </c>
      <c r="ED25" s="359">
        <f>321+15</f>
        <v>336</v>
      </c>
      <c r="EE25" s="359">
        <f>309+15</f>
        <v>324</v>
      </c>
      <c r="EF25" s="359">
        <f>335+14</f>
        <v>349</v>
      </c>
      <c r="EG25" s="359">
        <f>330+14</f>
        <v>344</v>
      </c>
      <c r="EH25" s="359">
        <f>316+14</f>
        <v>330</v>
      </c>
      <c r="EI25" s="359">
        <f>324+14</f>
        <v>338</v>
      </c>
      <c r="EJ25" s="359">
        <f>325+14</f>
        <v>339</v>
      </c>
      <c r="EK25" s="359">
        <f>324+14</f>
        <v>338</v>
      </c>
      <c r="EL25" s="359">
        <f>340+14</f>
        <v>354</v>
      </c>
      <c r="EM25" s="359">
        <f>332+14</f>
        <v>346</v>
      </c>
      <c r="EN25" s="359">
        <f>331+13</f>
        <v>344</v>
      </c>
      <c r="EO25" s="359">
        <f>332+13</f>
        <v>345</v>
      </c>
      <c r="EP25" s="359">
        <f>320+15</f>
        <v>335</v>
      </c>
      <c r="EQ25" s="359">
        <f>315+10</f>
        <v>325</v>
      </c>
      <c r="ER25" s="359">
        <f>349+21</f>
        <v>370</v>
      </c>
      <c r="ES25" s="359">
        <f>319+15</f>
        <v>334</v>
      </c>
      <c r="ET25" s="359">
        <f>341+17</f>
        <v>358</v>
      </c>
      <c r="EU25" s="359">
        <f>338+17</f>
        <v>355</v>
      </c>
      <c r="EV25" s="359">
        <f>336+17</f>
        <v>353</v>
      </c>
      <c r="EW25" s="359">
        <f>344+17</f>
        <v>361</v>
      </c>
      <c r="EX25" s="359">
        <f>338+16</f>
        <v>354</v>
      </c>
      <c r="EY25" s="359">
        <f>334+16</f>
        <v>350</v>
      </c>
      <c r="EZ25" s="359">
        <f>344+12</f>
        <v>356</v>
      </c>
      <c r="FA25" s="359">
        <f>338+16</f>
        <v>354</v>
      </c>
      <c r="FB25" s="359">
        <f>342+17</f>
        <v>359</v>
      </c>
      <c r="FC25" s="302">
        <f>340+16</f>
        <v>356</v>
      </c>
      <c r="FD25" s="302">
        <f>351+15</f>
        <v>366</v>
      </c>
      <c r="FE25" s="2">
        <f>345+24</f>
        <v>369</v>
      </c>
      <c r="FF25" s="112">
        <f>362+17</f>
        <v>379</v>
      </c>
      <c r="FG25" s="112">
        <f>360+17</f>
        <v>377</v>
      </c>
      <c r="FH25" s="112">
        <f>371+19</f>
        <v>390</v>
      </c>
      <c r="FI25" s="112">
        <f>398+20</f>
        <v>418</v>
      </c>
      <c r="FJ25" s="112">
        <f>391+18</f>
        <v>409</v>
      </c>
      <c r="FK25" s="112">
        <f>410+17</f>
        <v>427</v>
      </c>
      <c r="FL25" s="112">
        <f>413+17</f>
        <v>430</v>
      </c>
      <c r="FM25" s="112">
        <f>418+20</f>
        <v>438</v>
      </c>
      <c r="FN25" s="112">
        <f>406+18</f>
        <v>424</v>
      </c>
      <c r="FO25" s="112">
        <f>410+18</f>
        <v>428</v>
      </c>
      <c r="FP25" s="112">
        <f>423+18</f>
        <v>441</v>
      </c>
      <c r="FQ25" s="112">
        <f>417+18</f>
        <v>435</v>
      </c>
      <c r="FR25" s="112">
        <f>420+18</f>
        <v>438</v>
      </c>
      <c r="FS25" s="112">
        <f>424+18</f>
        <v>442</v>
      </c>
      <c r="FT25" s="112">
        <f>462+18</f>
        <v>480</v>
      </c>
    </row>
    <row r="26" spans="2:176" ht="12.75" hidden="1" customHeight="1" thickTop="1" x14ac:dyDescent="0.25">
      <c r="B26" s="3" t="s">
        <v>9</v>
      </c>
      <c r="C26" s="176">
        <f t="shared" ref="C26:Q26" si="88">SUM(C24:C25)</f>
        <v>386</v>
      </c>
      <c r="D26" s="8">
        <f t="shared" si="88"/>
        <v>403</v>
      </c>
      <c r="E26" s="8">
        <f t="shared" si="88"/>
        <v>396</v>
      </c>
      <c r="F26" s="8">
        <f t="shared" si="88"/>
        <v>403</v>
      </c>
      <c r="G26" s="8">
        <f t="shared" si="88"/>
        <v>397</v>
      </c>
      <c r="H26" s="8">
        <f t="shared" si="88"/>
        <v>394</v>
      </c>
      <c r="I26" s="8">
        <f t="shared" si="88"/>
        <v>394</v>
      </c>
      <c r="J26" s="8">
        <f t="shared" si="88"/>
        <v>394</v>
      </c>
      <c r="K26" s="8">
        <f t="shared" si="88"/>
        <v>392</v>
      </c>
      <c r="L26" s="8">
        <f t="shared" si="88"/>
        <v>424</v>
      </c>
      <c r="M26" s="8">
        <f t="shared" si="88"/>
        <v>389</v>
      </c>
      <c r="N26" s="10">
        <f t="shared" si="88"/>
        <v>391</v>
      </c>
      <c r="O26" s="176">
        <f t="shared" si="88"/>
        <v>404</v>
      </c>
      <c r="P26" s="8">
        <f t="shared" si="88"/>
        <v>389</v>
      </c>
      <c r="Q26" s="8">
        <f t="shared" si="88"/>
        <v>394</v>
      </c>
      <c r="R26" s="8">
        <f>SUM(R24:R25)</f>
        <v>391</v>
      </c>
      <c r="S26" s="8">
        <f>SUM(S24:S25)</f>
        <v>389</v>
      </c>
      <c r="T26" s="8">
        <f>SUM(T24:T25)</f>
        <v>394</v>
      </c>
      <c r="U26" s="8">
        <v>394</v>
      </c>
      <c r="V26" s="8">
        <v>390</v>
      </c>
      <c r="W26" s="8">
        <v>393</v>
      </c>
      <c r="X26" s="8">
        <v>418</v>
      </c>
      <c r="Y26" s="8">
        <v>359</v>
      </c>
      <c r="Z26" s="10">
        <v>386</v>
      </c>
      <c r="AA26" s="176">
        <f t="shared" ref="AA26:AF26" si="89">SUM(AA24:AA25)</f>
        <v>391</v>
      </c>
      <c r="AB26" s="8">
        <f t="shared" si="89"/>
        <v>373</v>
      </c>
      <c r="AC26" s="8">
        <f t="shared" si="89"/>
        <v>412</v>
      </c>
      <c r="AD26" s="8">
        <f t="shared" si="89"/>
        <v>382</v>
      </c>
      <c r="AE26" s="8">
        <f t="shared" si="89"/>
        <v>369</v>
      </c>
      <c r="AF26" s="8">
        <f t="shared" si="89"/>
        <v>388</v>
      </c>
      <c r="AG26" s="8">
        <f t="shared" ref="AG26:AL26" si="90">SUM(AG24:AG25)</f>
        <v>384</v>
      </c>
      <c r="AH26" s="8">
        <f t="shared" si="90"/>
        <v>391</v>
      </c>
      <c r="AI26" s="8">
        <f t="shared" si="90"/>
        <v>339</v>
      </c>
      <c r="AJ26" s="8">
        <f t="shared" si="90"/>
        <v>389</v>
      </c>
      <c r="AK26" s="8">
        <f t="shared" si="90"/>
        <v>380</v>
      </c>
      <c r="AL26" s="10">
        <f t="shared" si="90"/>
        <v>357</v>
      </c>
      <c r="AM26" s="176">
        <f t="shared" ref="AM26:AR26" si="91">SUM(AM24:AM25)</f>
        <v>389</v>
      </c>
      <c r="AN26" s="8">
        <f t="shared" si="91"/>
        <v>361</v>
      </c>
      <c r="AO26" s="8">
        <f t="shared" si="91"/>
        <v>331</v>
      </c>
      <c r="AP26" s="8">
        <f t="shared" si="91"/>
        <v>352</v>
      </c>
      <c r="AQ26" s="8">
        <f t="shared" si="91"/>
        <v>358</v>
      </c>
      <c r="AR26" s="8">
        <f t="shared" si="91"/>
        <v>360</v>
      </c>
      <c r="AS26" s="8">
        <f t="shared" ref="AS26:AX26" si="92">SUM(AS24:AS25)</f>
        <v>351</v>
      </c>
      <c r="AT26" s="8">
        <f t="shared" si="92"/>
        <v>375</v>
      </c>
      <c r="AU26" s="8">
        <f t="shared" si="92"/>
        <v>362</v>
      </c>
      <c r="AV26" s="8">
        <f t="shared" si="92"/>
        <v>355</v>
      </c>
      <c r="AW26" s="8">
        <f t="shared" si="92"/>
        <v>362</v>
      </c>
      <c r="AX26" s="10">
        <f t="shared" si="92"/>
        <v>348</v>
      </c>
      <c r="AY26" s="176">
        <f t="shared" ref="AY26:BJ26" si="93">SUM(AY24:AY25)</f>
        <v>371</v>
      </c>
      <c r="AZ26" s="8">
        <f t="shared" si="93"/>
        <v>360</v>
      </c>
      <c r="BA26" s="8">
        <f t="shared" si="93"/>
        <v>395</v>
      </c>
      <c r="BB26" s="8">
        <f t="shared" si="93"/>
        <v>360</v>
      </c>
      <c r="BC26" s="8">
        <f t="shared" si="93"/>
        <v>381</v>
      </c>
      <c r="BD26" s="8">
        <f t="shared" si="93"/>
        <v>380</v>
      </c>
      <c r="BE26" s="8">
        <f t="shared" si="93"/>
        <v>371</v>
      </c>
      <c r="BF26" s="8">
        <f t="shared" si="93"/>
        <v>393</v>
      </c>
      <c r="BG26" s="8">
        <f t="shared" si="93"/>
        <v>370</v>
      </c>
      <c r="BH26" s="8">
        <f t="shared" si="93"/>
        <v>385</v>
      </c>
      <c r="BI26" s="8">
        <f t="shared" si="93"/>
        <v>364</v>
      </c>
      <c r="BJ26" s="10">
        <f t="shared" si="93"/>
        <v>353</v>
      </c>
      <c r="BK26" s="176">
        <f t="shared" ref="BK26:BP26" si="94">SUM(BK24:BK25)</f>
        <v>374</v>
      </c>
      <c r="BL26" s="8">
        <f t="shared" si="94"/>
        <v>363</v>
      </c>
      <c r="BM26" s="8">
        <f t="shared" si="94"/>
        <v>395</v>
      </c>
      <c r="BN26" s="8">
        <f t="shared" si="94"/>
        <v>371</v>
      </c>
      <c r="BO26" s="8">
        <f t="shared" si="94"/>
        <v>398</v>
      </c>
      <c r="BP26" s="8">
        <f t="shared" si="94"/>
        <v>386</v>
      </c>
      <c r="BQ26" s="8">
        <f t="shared" ref="BQ26:CB26" si="95">SUM(BQ24:BQ25)</f>
        <v>389</v>
      </c>
      <c r="BR26" s="8">
        <f t="shared" si="95"/>
        <v>420</v>
      </c>
      <c r="BS26" s="8">
        <f t="shared" si="95"/>
        <v>366</v>
      </c>
      <c r="BT26" s="8">
        <f t="shared" si="95"/>
        <v>393</v>
      </c>
      <c r="BU26" s="8">
        <f t="shared" si="95"/>
        <v>391</v>
      </c>
      <c r="BV26" s="10">
        <f t="shared" si="95"/>
        <v>388</v>
      </c>
      <c r="BW26" s="176">
        <f t="shared" si="95"/>
        <v>390</v>
      </c>
      <c r="BX26" s="8">
        <f t="shared" si="95"/>
        <v>390</v>
      </c>
      <c r="BY26" s="8">
        <f t="shared" si="95"/>
        <v>384</v>
      </c>
      <c r="BZ26" s="8">
        <f t="shared" si="95"/>
        <v>386</v>
      </c>
      <c r="CA26" s="8">
        <f t="shared" si="95"/>
        <v>383</v>
      </c>
      <c r="CB26" s="8">
        <f t="shared" si="95"/>
        <v>385</v>
      </c>
      <c r="CC26" s="8">
        <f t="shared" ref="CC26:DK26" si="96">SUM(CC24:CC25)</f>
        <v>386</v>
      </c>
      <c r="CD26" s="8">
        <f t="shared" si="96"/>
        <v>385</v>
      </c>
      <c r="CE26" s="8">
        <f t="shared" si="96"/>
        <v>385</v>
      </c>
      <c r="CF26" s="8">
        <f t="shared" si="96"/>
        <v>385</v>
      </c>
      <c r="CG26" s="8">
        <f t="shared" si="96"/>
        <v>391</v>
      </c>
      <c r="CH26" s="9">
        <f t="shared" si="96"/>
        <v>389</v>
      </c>
      <c r="CI26" s="106">
        <f t="shared" si="96"/>
        <v>381</v>
      </c>
      <c r="CJ26" s="94">
        <f t="shared" si="96"/>
        <v>381</v>
      </c>
      <c r="CK26" s="94">
        <f t="shared" si="96"/>
        <v>378</v>
      </c>
      <c r="CL26" s="94">
        <f t="shared" si="96"/>
        <v>373</v>
      </c>
      <c r="CM26" s="94">
        <f t="shared" si="96"/>
        <v>373</v>
      </c>
      <c r="CN26" s="94">
        <f t="shared" si="96"/>
        <v>373</v>
      </c>
      <c r="CO26" s="94">
        <f t="shared" si="96"/>
        <v>370</v>
      </c>
      <c r="CP26" s="94">
        <f t="shared" si="96"/>
        <v>373</v>
      </c>
      <c r="CQ26" s="94">
        <f t="shared" si="96"/>
        <v>371</v>
      </c>
      <c r="CR26" s="94">
        <f t="shared" si="96"/>
        <v>374</v>
      </c>
      <c r="CS26" s="94">
        <f t="shared" si="96"/>
        <v>377</v>
      </c>
      <c r="CT26" s="107">
        <f t="shared" si="96"/>
        <v>401</v>
      </c>
      <c r="CU26" s="95">
        <f t="shared" si="96"/>
        <v>341</v>
      </c>
      <c r="CV26" s="95">
        <f t="shared" si="96"/>
        <v>379</v>
      </c>
      <c r="CW26" s="95">
        <f t="shared" si="96"/>
        <v>379</v>
      </c>
      <c r="CX26" s="95">
        <f t="shared" si="96"/>
        <v>379</v>
      </c>
      <c r="CY26" s="95">
        <f t="shared" si="96"/>
        <v>380</v>
      </c>
      <c r="CZ26" s="95">
        <f t="shared" si="96"/>
        <v>370</v>
      </c>
      <c r="DA26" s="95">
        <f t="shared" si="96"/>
        <v>380</v>
      </c>
      <c r="DB26" s="95">
        <f t="shared" si="96"/>
        <v>360</v>
      </c>
      <c r="DC26" s="95">
        <f t="shared" si="96"/>
        <v>372</v>
      </c>
      <c r="DD26" s="95">
        <f t="shared" si="96"/>
        <v>356</v>
      </c>
      <c r="DE26" s="95">
        <f t="shared" si="96"/>
        <v>356</v>
      </c>
      <c r="DF26" s="107">
        <f t="shared" si="96"/>
        <v>379</v>
      </c>
      <c r="DG26" s="95">
        <f t="shared" si="96"/>
        <v>329</v>
      </c>
      <c r="DH26" s="95">
        <f t="shared" si="96"/>
        <v>378</v>
      </c>
      <c r="DI26" s="95">
        <f t="shared" si="96"/>
        <v>366</v>
      </c>
      <c r="DJ26" s="95">
        <f t="shared" si="96"/>
        <v>326</v>
      </c>
      <c r="DK26" s="95">
        <f t="shared" si="96"/>
        <v>322</v>
      </c>
      <c r="DL26" s="95">
        <f t="shared" ref="DL26:DR26" si="97">SUM(DL24:DL25)</f>
        <v>366</v>
      </c>
      <c r="DM26" s="95">
        <f t="shared" si="97"/>
        <v>347</v>
      </c>
      <c r="DN26" s="95">
        <f t="shared" si="97"/>
        <v>367</v>
      </c>
      <c r="DO26" s="95">
        <f t="shared" si="97"/>
        <v>348</v>
      </c>
      <c r="DP26" s="95">
        <f t="shared" si="97"/>
        <v>312</v>
      </c>
      <c r="DQ26" s="95">
        <f t="shared" si="97"/>
        <v>352</v>
      </c>
      <c r="DR26" s="95">
        <f t="shared" si="97"/>
        <v>305</v>
      </c>
      <c r="DS26" s="95">
        <f t="shared" ref="DS26:FK26" si="98">SUM(DS24:DS25)</f>
        <v>323</v>
      </c>
      <c r="DT26" s="95">
        <f t="shared" si="98"/>
        <v>371</v>
      </c>
      <c r="DU26" s="95">
        <f t="shared" si="98"/>
        <v>374</v>
      </c>
      <c r="DV26" s="355">
        <f t="shared" si="98"/>
        <v>375</v>
      </c>
      <c r="DW26" s="355">
        <f t="shared" si="98"/>
        <v>379</v>
      </c>
      <c r="DX26" s="355">
        <f t="shared" si="98"/>
        <v>372</v>
      </c>
      <c r="DY26" s="355">
        <f t="shared" si="98"/>
        <v>377</v>
      </c>
      <c r="DZ26" s="355">
        <f t="shared" si="98"/>
        <v>376</v>
      </c>
      <c r="EA26" s="355">
        <f t="shared" si="98"/>
        <v>370</v>
      </c>
      <c r="EB26" s="355">
        <f t="shared" si="98"/>
        <v>377</v>
      </c>
      <c r="EC26" s="355">
        <f t="shared" si="98"/>
        <v>372</v>
      </c>
      <c r="ED26" s="355">
        <f t="shared" si="98"/>
        <v>371</v>
      </c>
      <c r="EE26" s="355">
        <f t="shared" si="98"/>
        <v>359</v>
      </c>
      <c r="EF26" s="355">
        <f t="shared" si="98"/>
        <v>386</v>
      </c>
      <c r="EG26" s="355">
        <f t="shared" si="98"/>
        <v>379</v>
      </c>
      <c r="EH26" s="355">
        <f t="shared" si="98"/>
        <v>363</v>
      </c>
      <c r="EI26" s="355">
        <f t="shared" si="98"/>
        <v>370</v>
      </c>
      <c r="EJ26" s="355">
        <f t="shared" si="98"/>
        <v>371</v>
      </c>
      <c r="EK26" s="355">
        <f t="shared" si="98"/>
        <v>370</v>
      </c>
      <c r="EL26" s="355">
        <f t="shared" si="98"/>
        <v>387</v>
      </c>
      <c r="EM26" s="355">
        <f t="shared" si="98"/>
        <v>380</v>
      </c>
      <c r="EN26" s="355">
        <f t="shared" si="98"/>
        <v>373</v>
      </c>
      <c r="EO26" s="355">
        <f t="shared" si="98"/>
        <v>375</v>
      </c>
      <c r="EP26" s="355">
        <f t="shared" si="98"/>
        <v>364</v>
      </c>
      <c r="EQ26" s="355">
        <f t="shared" si="98"/>
        <v>352</v>
      </c>
      <c r="ER26" s="355">
        <f t="shared" si="98"/>
        <v>394</v>
      </c>
      <c r="ES26" s="355">
        <f t="shared" si="98"/>
        <v>359</v>
      </c>
      <c r="ET26" s="355">
        <f t="shared" si="98"/>
        <v>381</v>
      </c>
      <c r="EU26" s="355">
        <f t="shared" si="98"/>
        <v>377</v>
      </c>
      <c r="EV26" s="355">
        <f t="shared" si="98"/>
        <v>377</v>
      </c>
      <c r="EW26" s="355">
        <f t="shared" si="98"/>
        <v>383</v>
      </c>
      <c r="EX26" s="355">
        <f t="shared" si="98"/>
        <v>376</v>
      </c>
      <c r="EY26" s="355">
        <f t="shared" si="98"/>
        <v>372</v>
      </c>
      <c r="EZ26" s="355">
        <f t="shared" si="98"/>
        <v>378</v>
      </c>
      <c r="FA26" s="355">
        <f t="shared" si="98"/>
        <v>376</v>
      </c>
      <c r="FB26" s="355">
        <f t="shared" si="98"/>
        <v>383</v>
      </c>
      <c r="FC26" s="355">
        <f t="shared" si="98"/>
        <v>379</v>
      </c>
      <c r="FD26" s="355">
        <f t="shared" si="98"/>
        <v>386</v>
      </c>
      <c r="FE26" s="355">
        <f t="shared" si="98"/>
        <v>387</v>
      </c>
      <c r="FF26" s="355">
        <f t="shared" si="98"/>
        <v>396</v>
      </c>
      <c r="FG26" s="355">
        <f t="shared" si="98"/>
        <v>394</v>
      </c>
      <c r="FH26" s="355">
        <f t="shared" si="98"/>
        <v>407</v>
      </c>
      <c r="FI26" s="355">
        <f t="shared" si="98"/>
        <v>435</v>
      </c>
      <c r="FJ26" s="355">
        <f t="shared" si="98"/>
        <v>426</v>
      </c>
      <c r="FK26" s="355">
        <f t="shared" si="98"/>
        <v>444</v>
      </c>
      <c r="FL26" s="355">
        <f t="shared" ref="FL26:FQ26" si="99">SUM(FL24:FL25)</f>
        <v>447</v>
      </c>
      <c r="FM26" s="355">
        <f t="shared" si="99"/>
        <v>455</v>
      </c>
      <c r="FN26" s="355">
        <f t="shared" si="99"/>
        <v>440</v>
      </c>
      <c r="FO26" s="355">
        <f t="shared" si="99"/>
        <v>443</v>
      </c>
      <c r="FP26" s="355">
        <f t="shared" si="99"/>
        <v>456</v>
      </c>
      <c r="FQ26" s="355">
        <f t="shared" si="99"/>
        <v>447</v>
      </c>
      <c r="FR26" s="355">
        <f t="shared" ref="FR26:FT26" si="100">SUM(FR24:FR25)</f>
        <v>449</v>
      </c>
      <c r="FS26" s="355">
        <f t="shared" si="100"/>
        <v>452</v>
      </c>
      <c r="FT26" s="355">
        <f t="shared" si="100"/>
        <v>490</v>
      </c>
    </row>
    <row r="27" spans="2:176" s="188" customFormat="1" ht="12.75" hidden="1" customHeight="1" x14ac:dyDescent="0.25">
      <c r="B27" s="264" t="s">
        <v>10</v>
      </c>
      <c r="C27" s="268">
        <f t="shared" ref="C27:Q27" si="101">SUM(C24)/C26</f>
        <v>0.78497409326424872</v>
      </c>
      <c r="D27" s="259">
        <f t="shared" si="101"/>
        <v>0.75930521091811409</v>
      </c>
      <c r="E27" s="259">
        <f t="shared" si="101"/>
        <v>0.75252525252525249</v>
      </c>
      <c r="F27" s="259">
        <f t="shared" si="101"/>
        <v>0.72952853598014888</v>
      </c>
      <c r="G27" s="259">
        <f t="shared" si="101"/>
        <v>0.7153652392947103</v>
      </c>
      <c r="H27" s="259">
        <f t="shared" si="101"/>
        <v>0.70812182741116747</v>
      </c>
      <c r="I27" s="259">
        <f t="shared" si="101"/>
        <v>0.70558375634517767</v>
      </c>
      <c r="J27" s="259">
        <f t="shared" si="101"/>
        <v>0.70050761421319796</v>
      </c>
      <c r="K27" s="259">
        <f t="shared" si="101"/>
        <v>0.69897959183673475</v>
      </c>
      <c r="L27" s="259">
        <f t="shared" si="101"/>
        <v>0.714622641509434</v>
      </c>
      <c r="M27" s="259">
        <f t="shared" si="101"/>
        <v>0.67866323907455017</v>
      </c>
      <c r="N27" s="265">
        <f t="shared" si="101"/>
        <v>0.67519181585677746</v>
      </c>
      <c r="O27" s="268">
        <f t="shared" si="101"/>
        <v>0.67574257425742579</v>
      </c>
      <c r="P27" s="259">
        <f t="shared" si="101"/>
        <v>0.66838046272493579</v>
      </c>
      <c r="Q27" s="259">
        <f t="shared" si="101"/>
        <v>0.67766497461928932</v>
      </c>
      <c r="R27" s="259">
        <f>SUM(R24)/R26</f>
        <v>0.6675191815856778</v>
      </c>
      <c r="S27" s="259">
        <f>SUM(S24)/S26</f>
        <v>0.66580976863753216</v>
      </c>
      <c r="T27" s="259">
        <f>SUM(T24)/T26</f>
        <v>0.65482233502538068</v>
      </c>
      <c r="U27" s="259">
        <f t="shared" ref="U27:Z27" si="102">SUM(U24)/U26</f>
        <v>0.63705583756345174</v>
      </c>
      <c r="V27" s="259">
        <f t="shared" si="102"/>
        <v>0.62051282051282053</v>
      </c>
      <c r="W27" s="259">
        <f t="shared" si="102"/>
        <v>0.61323155216284986</v>
      </c>
      <c r="X27" s="259">
        <f t="shared" si="102"/>
        <v>0.60765550239234445</v>
      </c>
      <c r="Y27" s="259">
        <f t="shared" si="102"/>
        <v>0.61281337047353757</v>
      </c>
      <c r="Z27" s="265">
        <f t="shared" si="102"/>
        <v>0.60103626943005184</v>
      </c>
      <c r="AA27" s="268">
        <f t="shared" ref="AA27:AF27" si="103">SUM(AA24)/AA26</f>
        <v>0.57800511508951402</v>
      </c>
      <c r="AB27" s="259">
        <f t="shared" si="103"/>
        <v>0.57104557640750675</v>
      </c>
      <c r="AC27" s="259">
        <f t="shared" si="103"/>
        <v>0.52669902912621358</v>
      </c>
      <c r="AD27" s="259">
        <f t="shared" si="103"/>
        <v>0.53664921465968585</v>
      </c>
      <c r="AE27" s="259">
        <f t="shared" si="103"/>
        <v>0.52303523035230348</v>
      </c>
      <c r="AF27" s="259">
        <f t="shared" si="103"/>
        <v>0.48969072164948452</v>
      </c>
      <c r="AG27" s="259">
        <f t="shared" ref="AG27:AL27" si="104">SUM(AG24)/AG26</f>
        <v>0.48177083333333331</v>
      </c>
      <c r="AH27" s="259">
        <f t="shared" si="104"/>
        <v>0.46035805626598464</v>
      </c>
      <c r="AI27" s="259">
        <f t="shared" si="104"/>
        <v>0.43067846607669619</v>
      </c>
      <c r="AJ27" s="259">
        <f t="shared" si="104"/>
        <v>0.41388174807197942</v>
      </c>
      <c r="AK27" s="259">
        <f t="shared" si="104"/>
        <v>0.4</v>
      </c>
      <c r="AL27" s="265">
        <f t="shared" si="104"/>
        <v>0.39215686274509803</v>
      </c>
      <c r="AM27" s="268">
        <f t="shared" ref="AM27:AR27" si="105">SUM(AM24)/AM26</f>
        <v>0.39588688946015427</v>
      </c>
      <c r="AN27" s="259">
        <f t="shared" si="105"/>
        <v>0.37950138504155123</v>
      </c>
      <c r="AO27" s="259">
        <f t="shared" si="105"/>
        <v>0.37462235649546827</v>
      </c>
      <c r="AP27" s="259">
        <f t="shared" si="105"/>
        <v>0.35795454545454547</v>
      </c>
      <c r="AQ27" s="259">
        <f t="shared" si="105"/>
        <v>0.35474860335195529</v>
      </c>
      <c r="AR27" s="259">
        <f t="shared" si="105"/>
        <v>0.30833333333333335</v>
      </c>
      <c r="AS27" s="259">
        <f t="shared" ref="AS27:AX27" si="106">SUM(AS24)/AS26</f>
        <v>0.33333333333333331</v>
      </c>
      <c r="AT27" s="259">
        <f t="shared" si="106"/>
        <v>0.30666666666666664</v>
      </c>
      <c r="AU27" s="259">
        <f t="shared" si="106"/>
        <v>0.31215469613259667</v>
      </c>
      <c r="AV27" s="259">
        <f t="shared" si="106"/>
        <v>0.3154929577464789</v>
      </c>
      <c r="AW27" s="259">
        <f t="shared" si="106"/>
        <v>0.32320441988950277</v>
      </c>
      <c r="AX27" s="265">
        <f t="shared" si="106"/>
        <v>0.32758620689655171</v>
      </c>
      <c r="AY27" s="268">
        <f t="shared" ref="AY27:BJ27" si="107">SUM(AY24)/AY26</f>
        <v>0.30188679245283018</v>
      </c>
      <c r="AZ27" s="259">
        <f t="shared" si="107"/>
        <v>0.30555555555555558</v>
      </c>
      <c r="BA27" s="259">
        <f t="shared" si="107"/>
        <v>0.29873417721518986</v>
      </c>
      <c r="BB27" s="259">
        <f t="shared" si="107"/>
        <v>0.30833333333333335</v>
      </c>
      <c r="BC27" s="259">
        <f t="shared" si="107"/>
        <v>0.29658792650918636</v>
      </c>
      <c r="BD27" s="259">
        <f t="shared" si="107"/>
        <v>0.29210526315789476</v>
      </c>
      <c r="BE27" s="259">
        <f t="shared" si="107"/>
        <v>0.2884097035040431</v>
      </c>
      <c r="BF27" s="259">
        <f t="shared" si="107"/>
        <v>0.28244274809160308</v>
      </c>
      <c r="BG27" s="259">
        <f t="shared" si="107"/>
        <v>0.29459459459459458</v>
      </c>
      <c r="BH27" s="259">
        <f t="shared" si="107"/>
        <v>0.2883116883116883</v>
      </c>
      <c r="BI27" s="259">
        <f t="shared" si="107"/>
        <v>0.2967032967032967</v>
      </c>
      <c r="BJ27" s="265">
        <f t="shared" si="107"/>
        <v>0.28328611898016998</v>
      </c>
      <c r="BK27" s="268">
        <f t="shared" ref="BK27:BP27" si="108">SUM(BK24)/BK26</f>
        <v>0.2967914438502674</v>
      </c>
      <c r="BL27" s="259">
        <f t="shared" si="108"/>
        <v>0.28374655647382918</v>
      </c>
      <c r="BM27" s="259">
        <f t="shared" si="108"/>
        <v>0.28860759493670884</v>
      </c>
      <c r="BN27" s="259">
        <f t="shared" si="108"/>
        <v>0.27762803234501349</v>
      </c>
      <c r="BO27" s="259">
        <f t="shared" si="108"/>
        <v>0.27889447236180903</v>
      </c>
      <c r="BP27" s="259">
        <f t="shared" si="108"/>
        <v>0.27979274611398963</v>
      </c>
      <c r="BQ27" s="259">
        <f t="shared" ref="BQ27:CB27" si="109">SUM(BQ24)/BQ26</f>
        <v>0.26221079691516708</v>
      </c>
      <c r="BR27" s="259">
        <f t="shared" si="109"/>
        <v>0.24047619047619048</v>
      </c>
      <c r="BS27" s="259">
        <f t="shared" si="109"/>
        <v>0.25683060109289618</v>
      </c>
      <c r="BT27" s="259">
        <f t="shared" si="109"/>
        <v>0.24681933842239187</v>
      </c>
      <c r="BU27" s="259">
        <f t="shared" si="109"/>
        <v>0.24296675191815856</v>
      </c>
      <c r="BV27" s="265">
        <f t="shared" si="109"/>
        <v>0.24484536082474226</v>
      </c>
      <c r="BW27" s="268">
        <f t="shared" si="109"/>
        <v>0.24102564102564103</v>
      </c>
      <c r="BX27" s="259">
        <f t="shared" si="109"/>
        <v>0.24102564102564103</v>
      </c>
      <c r="BY27" s="259">
        <f t="shared" si="109"/>
        <v>0.2421875</v>
      </c>
      <c r="BZ27" s="259">
        <f t="shared" si="109"/>
        <v>0.24093264248704663</v>
      </c>
      <c r="CA27" s="259">
        <f t="shared" si="109"/>
        <v>0.24020887728459531</v>
      </c>
      <c r="CB27" s="259">
        <f t="shared" si="109"/>
        <v>0.24155844155844156</v>
      </c>
      <c r="CC27" s="259">
        <f t="shared" ref="CC27:DK27" si="110">SUM(CC24)/CC26</f>
        <v>0.24093264248704663</v>
      </c>
      <c r="CD27" s="259">
        <f t="shared" si="110"/>
        <v>0.24415584415584415</v>
      </c>
      <c r="CE27" s="259">
        <f t="shared" si="110"/>
        <v>0.24155844155844156</v>
      </c>
      <c r="CF27" s="259">
        <f t="shared" si="110"/>
        <v>0.23896103896103896</v>
      </c>
      <c r="CG27" s="259">
        <f t="shared" si="110"/>
        <v>0.23273657289002558</v>
      </c>
      <c r="CH27" s="265">
        <f t="shared" si="110"/>
        <v>0.23650385604113111</v>
      </c>
      <c r="CI27" s="258">
        <f t="shared" si="110"/>
        <v>0.24146981627296588</v>
      </c>
      <c r="CJ27" s="259">
        <f t="shared" si="110"/>
        <v>0.23622047244094488</v>
      </c>
      <c r="CK27" s="259">
        <f t="shared" si="110"/>
        <v>0.23544973544973544</v>
      </c>
      <c r="CL27" s="259">
        <f t="shared" si="110"/>
        <v>0.24128686327077747</v>
      </c>
      <c r="CM27" s="259">
        <f t="shared" si="110"/>
        <v>0.23860589812332439</v>
      </c>
      <c r="CN27" s="259">
        <f t="shared" si="110"/>
        <v>0.23860589812332439</v>
      </c>
      <c r="CO27" s="259">
        <f t="shared" si="110"/>
        <v>0.24054054054054055</v>
      </c>
      <c r="CP27" s="259">
        <f t="shared" si="110"/>
        <v>0.21983914209115282</v>
      </c>
      <c r="CQ27" s="259">
        <f t="shared" si="110"/>
        <v>0.21293800539083557</v>
      </c>
      <c r="CR27" s="259">
        <f t="shared" si="110"/>
        <v>0.20320855614973263</v>
      </c>
      <c r="CS27" s="259">
        <f t="shared" si="110"/>
        <v>0.20689655172413793</v>
      </c>
      <c r="CT27" s="265">
        <f t="shared" si="110"/>
        <v>0.1970074812967581</v>
      </c>
      <c r="CU27" s="259">
        <f t="shared" si="110"/>
        <v>0.17302052785923755</v>
      </c>
      <c r="CV27" s="259">
        <f t="shared" si="110"/>
        <v>0.15303430079155672</v>
      </c>
      <c r="CW27" s="259">
        <f t="shared" si="110"/>
        <v>0.15303430079155672</v>
      </c>
      <c r="CX27" s="259">
        <f t="shared" si="110"/>
        <v>0.14775725593667546</v>
      </c>
      <c r="CY27" s="259">
        <f t="shared" si="110"/>
        <v>0.14736842105263157</v>
      </c>
      <c r="CZ27" s="259">
        <f t="shared" si="110"/>
        <v>0.14864864864864866</v>
      </c>
      <c r="DA27" s="259">
        <f t="shared" si="110"/>
        <v>0.14210526315789473</v>
      </c>
      <c r="DB27" s="259">
        <f t="shared" si="110"/>
        <v>0.14722222222222223</v>
      </c>
      <c r="DC27" s="259">
        <f t="shared" si="110"/>
        <v>0.14516129032258066</v>
      </c>
      <c r="DD27" s="259">
        <f t="shared" si="110"/>
        <v>0.14887640449438203</v>
      </c>
      <c r="DE27" s="259">
        <f t="shared" si="110"/>
        <v>0.14606741573033707</v>
      </c>
      <c r="DF27" s="265">
        <f t="shared" si="110"/>
        <v>0.14248021108179421</v>
      </c>
      <c r="DG27" s="259">
        <f t="shared" si="110"/>
        <v>0.15501519756838905</v>
      </c>
      <c r="DH27" s="259">
        <f t="shared" si="110"/>
        <v>0.13756613756613756</v>
      </c>
      <c r="DI27" s="259">
        <f t="shared" si="110"/>
        <v>0.11748633879781421</v>
      </c>
      <c r="DJ27" s="259">
        <f t="shared" si="110"/>
        <v>0.12883435582822086</v>
      </c>
      <c r="DK27" s="259">
        <f t="shared" si="110"/>
        <v>0.12422360248447205</v>
      </c>
      <c r="DL27" s="259">
        <f t="shared" ref="DL27:DR27" si="111">SUM(DL24)/DL26</f>
        <v>0.11202185792349727</v>
      </c>
      <c r="DM27" s="259">
        <f t="shared" si="111"/>
        <v>0.11239193083573487</v>
      </c>
      <c r="DN27" s="259">
        <f t="shared" si="111"/>
        <v>0.10899182561307902</v>
      </c>
      <c r="DO27" s="259">
        <f t="shared" si="111"/>
        <v>0.11781609195402298</v>
      </c>
      <c r="DP27" s="259">
        <f t="shared" si="111"/>
        <v>0.11858974358974358</v>
      </c>
      <c r="DQ27" s="259">
        <f t="shared" si="111"/>
        <v>0.10227272727272728</v>
      </c>
      <c r="DR27" s="259">
        <f t="shared" si="111"/>
        <v>0.10491803278688525</v>
      </c>
      <c r="DS27" s="259">
        <f t="shared" ref="DS27:FK27" si="112">SUM(DS24)/DS26</f>
        <v>0.1021671826625387</v>
      </c>
      <c r="DT27" s="259">
        <f t="shared" si="112"/>
        <v>0.10242587601078167</v>
      </c>
      <c r="DU27" s="259">
        <f t="shared" si="112"/>
        <v>0.10427807486631016</v>
      </c>
      <c r="DV27" s="282">
        <f t="shared" si="112"/>
        <v>0.10933333333333334</v>
      </c>
      <c r="DW27" s="282">
        <f t="shared" si="112"/>
        <v>0.10290237467018469</v>
      </c>
      <c r="DX27" s="282">
        <f t="shared" si="112"/>
        <v>0.10752688172043011</v>
      </c>
      <c r="DY27" s="282">
        <f t="shared" si="112"/>
        <v>0.10344827586206896</v>
      </c>
      <c r="DZ27" s="282">
        <f t="shared" si="112"/>
        <v>0.10106382978723404</v>
      </c>
      <c r="EA27" s="282">
        <f t="shared" si="112"/>
        <v>0.10270270270270271</v>
      </c>
      <c r="EB27" s="282">
        <f t="shared" si="112"/>
        <v>9.8143236074270557E-2</v>
      </c>
      <c r="EC27" s="282">
        <f t="shared" si="112"/>
        <v>9.4086021505376344E-2</v>
      </c>
      <c r="ED27" s="282">
        <f t="shared" si="112"/>
        <v>9.4339622641509441E-2</v>
      </c>
      <c r="EE27" s="282">
        <f t="shared" si="112"/>
        <v>9.7493036211699163E-2</v>
      </c>
      <c r="EF27" s="282">
        <f t="shared" si="112"/>
        <v>9.585492227979274E-2</v>
      </c>
      <c r="EG27" s="282">
        <f t="shared" si="112"/>
        <v>9.2348284960422161E-2</v>
      </c>
      <c r="EH27" s="282">
        <f t="shared" si="112"/>
        <v>9.0909090909090912E-2</v>
      </c>
      <c r="EI27" s="282">
        <f t="shared" si="112"/>
        <v>8.6486486486486491E-2</v>
      </c>
      <c r="EJ27" s="282">
        <f t="shared" si="112"/>
        <v>8.6253369272237201E-2</v>
      </c>
      <c r="EK27" s="282">
        <f t="shared" si="112"/>
        <v>8.6486486486486491E-2</v>
      </c>
      <c r="EL27" s="282">
        <f t="shared" si="112"/>
        <v>8.5271317829457363E-2</v>
      </c>
      <c r="EM27" s="282">
        <f t="shared" si="112"/>
        <v>8.9473684210526316E-2</v>
      </c>
      <c r="EN27" s="282">
        <f t="shared" si="112"/>
        <v>7.7747989276139406E-2</v>
      </c>
      <c r="EO27" s="282">
        <f t="shared" si="112"/>
        <v>0.08</v>
      </c>
      <c r="EP27" s="282">
        <f t="shared" si="112"/>
        <v>7.9670329670329665E-2</v>
      </c>
      <c r="EQ27" s="282">
        <f t="shared" si="112"/>
        <v>7.6704545454545456E-2</v>
      </c>
      <c r="ER27" s="282">
        <f t="shared" si="112"/>
        <v>6.0913705583756347E-2</v>
      </c>
      <c r="ES27" s="282">
        <f t="shared" si="112"/>
        <v>6.9637883008356549E-2</v>
      </c>
      <c r="ET27" s="282">
        <f t="shared" si="112"/>
        <v>6.0367454068241469E-2</v>
      </c>
      <c r="EU27" s="282">
        <f t="shared" si="112"/>
        <v>5.8355437665782495E-2</v>
      </c>
      <c r="EV27" s="282">
        <f t="shared" si="112"/>
        <v>6.3660477453580902E-2</v>
      </c>
      <c r="EW27" s="282">
        <f t="shared" si="112"/>
        <v>5.7441253263707574E-2</v>
      </c>
      <c r="EX27" s="282">
        <f t="shared" si="112"/>
        <v>5.8510638297872342E-2</v>
      </c>
      <c r="EY27" s="282">
        <f t="shared" si="112"/>
        <v>5.9139784946236562E-2</v>
      </c>
      <c r="EZ27" s="282">
        <f t="shared" si="112"/>
        <v>5.8201058201058198E-2</v>
      </c>
      <c r="FA27" s="282">
        <f t="shared" si="112"/>
        <v>5.8510638297872342E-2</v>
      </c>
      <c r="FB27" s="282">
        <f t="shared" si="112"/>
        <v>6.2663185378590072E-2</v>
      </c>
      <c r="FC27" s="282">
        <f t="shared" si="112"/>
        <v>6.0686015831134567E-2</v>
      </c>
      <c r="FD27" s="282">
        <f t="shared" si="112"/>
        <v>5.181347150259067E-2</v>
      </c>
      <c r="FE27" s="282">
        <f t="shared" si="112"/>
        <v>4.6511627906976744E-2</v>
      </c>
      <c r="FF27" s="282">
        <f t="shared" si="112"/>
        <v>4.2929292929292928E-2</v>
      </c>
      <c r="FG27" s="282">
        <f t="shared" si="112"/>
        <v>4.3147208121827409E-2</v>
      </c>
      <c r="FH27" s="282">
        <f t="shared" si="112"/>
        <v>4.1769041769041768E-2</v>
      </c>
      <c r="FI27" s="282">
        <f t="shared" si="112"/>
        <v>3.9080459770114942E-2</v>
      </c>
      <c r="FJ27" s="282">
        <f t="shared" si="112"/>
        <v>3.9906103286384977E-2</v>
      </c>
      <c r="FK27" s="282">
        <f t="shared" si="112"/>
        <v>3.8288288288288286E-2</v>
      </c>
      <c r="FL27" s="282">
        <f t="shared" ref="FL27:FQ27" si="113">SUM(FL24)/FL26</f>
        <v>3.803131991051454E-2</v>
      </c>
      <c r="FM27" s="282">
        <f t="shared" si="113"/>
        <v>3.7362637362637362E-2</v>
      </c>
      <c r="FN27" s="282">
        <f t="shared" si="113"/>
        <v>3.6363636363636362E-2</v>
      </c>
      <c r="FO27" s="282">
        <f t="shared" si="113"/>
        <v>3.3860045146726865E-2</v>
      </c>
      <c r="FP27" s="282">
        <f t="shared" si="113"/>
        <v>3.2894736842105261E-2</v>
      </c>
      <c r="FQ27" s="282">
        <f t="shared" si="113"/>
        <v>2.6845637583892617E-2</v>
      </c>
      <c r="FR27" s="282">
        <f t="shared" ref="FR27:FT27" si="114">SUM(FR24)/FR26</f>
        <v>2.4498886414253896E-2</v>
      </c>
      <c r="FS27" s="282">
        <f t="shared" si="114"/>
        <v>2.2123893805309734E-2</v>
      </c>
      <c r="FT27" s="282">
        <f t="shared" si="114"/>
        <v>2.0408163265306121E-2</v>
      </c>
    </row>
    <row r="28" spans="2:176" s="188" customFormat="1" ht="12.75" hidden="1" customHeight="1" thickBot="1" x14ac:dyDescent="0.3">
      <c r="B28" s="266" t="s">
        <v>11</v>
      </c>
      <c r="C28" s="269">
        <f t="shared" ref="C28:Q28" si="115">SUM(C25/C26)</f>
        <v>0.21502590673575128</v>
      </c>
      <c r="D28" s="261">
        <f t="shared" si="115"/>
        <v>0.24069478908188585</v>
      </c>
      <c r="E28" s="261">
        <f t="shared" si="115"/>
        <v>0.24747474747474749</v>
      </c>
      <c r="F28" s="261">
        <f t="shared" si="115"/>
        <v>0.27047146401985112</v>
      </c>
      <c r="G28" s="261">
        <f t="shared" si="115"/>
        <v>0.28463476070528965</v>
      </c>
      <c r="H28" s="261">
        <f t="shared" si="115"/>
        <v>0.29187817258883247</v>
      </c>
      <c r="I28" s="261">
        <f t="shared" si="115"/>
        <v>0.29441624365482233</v>
      </c>
      <c r="J28" s="261">
        <f t="shared" si="115"/>
        <v>0.29949238578680204</v>
      </c>
      <c r="K28" s="261">
        <f t="shared" si="115"/>
        <v>0.30102040816326531</v>
      </c>
      <c r="L28" s="261">
        <f t="shared" si="115"/>
        <v>0.28537735849056606</v>
      </c>
      <c r="M28" s="261">
        <f t="shared" si="115"/>
        <v>0.32133676092544988</v>
      </c>
      <c r="N28" s="267">
        <f t="shared" si="115"/>
        <v>0.32480818414322249</v>
      </c>
      <c r="O28" s="269">
        <f t="shared" si="115"/>
        <v>0.32425742574257427</v>
      </c>
      <c r="P28" s="261">
        <f t="shared" si="115"/>
        <v>0.33161953727506427</v>
      </c>
      <c r="Q28" s="261">
        <f t="shared" si="115"/>
        <v>0.32233502538071068</v>
      </c>
      <c r="R28" s="261">
        <f>SUM(R25/R26)</f>
        <v>0.33248081841432225</v>
      </c>
      <c r="S28" s="261">
        <f>SUM(S25/S26)</f>
        <v>0.33419023136246789</v>
      </c>
      <c r="T28" s="261">
        <f>SUM(T25/T26)</f>
        <v>0.34517766497461927</v>
      </c>
      <c r="U28" s="261">
        <f t="shared" ref="U28:Z28" si="116">SUM(U25/U26)</f>
        <v>0.3629441624365482</v>
      </c>
      <c r="V28" s="261">
        <f t="shared" si="116"/>
        <v>0.37948717948717947</v>
      </c>
      <c r="W28" s="261">
        <f t="shared" si="116"/>
        <v>0.38676844783715014</v>
      </c>
      <c r="X28" s="261">
        <f t="shared" si="116"/>
        <v>0.3923444976076555</v>
      </c>
      <c r="Y28" s="261">
        <f t="shared" si="116"/>
        <v>0.38718662952646238</v>
      </c>
      <c r="Z28" s="267">
        <f t="shared" si="116"/>
        <v>0.39896373056994816</v>
      </c>
      <c r="AA28" s="269">
        <f t="shared" ref="AA28:AF28" si="117">SUM(AA25/AA26)</f>
        <v>0.42199488491048592</v>
      </c>
      <c r="AB28" s="261">
        <f t="shared" si="117"/>
        <v>0.42895442359249331</v>
      </c>
      <c r="AC28" s="261">
        <f t="shared" si="117"/>
        <v>0.47330097087378642</v>
      </c>
      <c r="AD28" s="261">
        <f t="shared" si="117"/>
        <v>0.46335078534031415</v>
      </c>
      <c r="AE28" s="261">
        <f t="shared" si="117"/>
        <v>0.47696476964769646</v>
      </c>
      <c r="AF28" s="261">
        <f t="shared" si="117"/>
        <v>0.51030927835051543</v>
      </c>
      <c r="AG28" s="261">
        <f t="shared" ref="AG28:AL28" si="118">SUM(AG25/AG26)</f>
        <v>0.51822916666666663</v>
      </c>
      <c r="AH28" s="261">
        <f t="shared" si="118"/>
        <v>0.53964194373401531</v>
      </c>
      <c r="AI28" s="261">
        <f t="shared" si="118"/>
        <v>0.56932153392330387</v>
      </c>
      <c r="AJ28" s="261">
        <f t="shared" si="118"/>
        <v>0.58611825192802058</v>
      </c>
      <c r="AK28" s="261">
        <f t="shared" si="118"/>
        <v>0.6</v>
      </c>
      <c r="AL28" s="267">
        <f t="shared" si="118"/>
        <v>0.60784313725490191</v>
      </c>
      <c r="AM28" s="269">
        <f t="shared" ref="AM28:AR28" si="119">SUM(AM25/AM26)</f>
        <v>0.60411311053984573</v>
      </c>
      <c r="AN28" s="261">
        <f t="shared" si="119"/>
        <v>0.62049861495844871</v>
      </c>
      <c r="AO28" s="261">
        <f t="shared" si="119"/>
        <v>0.62537764350453173</v>
      </c>
      <c r="AP28" s="261">
        <f t="shared" si="119"/>
        <v>0.64204545454545459</v>
      </c>
      <c r="AQ28" s="261">
        <f t="shared" si="119"/>
        <v>0.64525139664804465</v>
      </c>
      <c r="AR28" s="261">
        <f t="shared" si="119"/>
        <v>0.69166666666666665</v>
      </c>
      <c r="AS28" s="261">
        <f t="shared" ref="AS28:BD28" si="120">SUM(AS25/AS26)</f>
        <v>0.66666666666666663</v>
      </c>
      <c r="AT28" s="261">
        <f t="shared" si="120"/>
        <v>0.69333333333333336</v>
      </c>
      <c r="AU28" s="261">
        <f t="shared" si="120"/>
        <v>0.68784530386740328</v>
      </c>
      <c r="AV28" s="261">
        <f t="shared" si="120"/>
        <v>0.6845070422535211</v>
      </c>
      <c r="AW28" s="261">
        <f t="shared" si="120"/>
        <v>0.67679558011049723</v>
      </c>
      <c r="AX28" s="267">
        <f t="shared" si="120"/>
        <v>0.67241379310344829</v>
      </c>
      <c r="AY28" s="269">
        <f t="shared" si="120"/>
        <v>0.69811320754716977</v>
      </c>
      <c r="AZ28" s="261">
        <f t="shared" si="120"/>
        <v>0.69444444444444442</v>
      </c>
      <c r="BA28" s="261">
        <f t="shared" si="120"/>
        <v>0.70126582278481009</v>
      </c>
      <c r="BB28" s="261">
        <f t="shared" si="120"/>
        <v>0.69166666666666665</v>
      </c>
      <c r="BC28" s="261">
        <f t="shared" si="120"/>
        <v>0.70341207349081369</v>
      </c>
      <c r="BD28" s="261">
        <f t="shared" si="120"/>
        <v>0.70789473684210524</v>
      </c>
      <c r="BE28" s="261">
        <f t="shared" ref="BE28:BL28" si="121">SUM(BE25/BE26)</f>
        <v>0.71159029649595684</v>
      </c>
      <c r="BF28" s="261">
        <f t="shared" si="121"/>
        <v>0.71755725190839692</v>
      </c>
      <c r="BG28" s="261">
        <f t="shared" si="121"/>
        <v>0.70540540540540542</v>
      </c>
      <c r="BH28" s="261">
        <f t="shared" si="121"/>
        <v>0.7116883116883117</v>
      </c>
      <c r="BI28" s="261">
        <f t="shared" si="121"/>
        <v>0.70329670329670335</v>
      </c>
      <c r="BJ28" s="267">
        <f t="shared" si="121"/>
        <v>0.71671388101983002</v>
      </c>
      <c r="BK28" s="269">
        <f t="shared" si="121"/>
        <v>0.70320855614973266</v>
      </c>
      <c r="BL28" s="261">
        <f t="shared" si="121"/>
        <v>0.71625344352617082</v>
      </c>
      <c r="BM28" s="261">
        <f t="shared" ref="BM28:BS28" si="122">SUM(BM25/BM26)</f>
        <v>0.71139240506329116</v>
      </c>
      <c r="BN28" s="261">
        <f t="shared" si="122"/>
        <v>0.72237196765498657</v>
      </c>
      <c r="BO28" s="261">
        <f t="shared" si="122"/>
        <v>0.72110552763819091</v>
      </c>
      <c r="BP28" s="261">
        <f t="shared" si="122"/>
        <v>0.72020725388601037</v>
      </c>
      <c r="BQ28" s="261">
        <f t="shared" si="122"/>
        <v>0.73778920308483287</v>
      </c>
      <c r="BR28" s="261">
        <f t="shared" si="122"/>
        <v>0.75952380952380949</v>
      </c>
      <c r="BS28" s="261">
        <f t="shared" si="122"/>
        <v>0.74316939890710387</v>
      </c>
      <c r="BT28" s="261">
        <f>SUM(BT25/BT26)</f>
        <v>0.7531806615776081</v>
      </c>
      <c r="BU28" s="261">
        <f>SUM(BU25/BU26)</f>
        <v>0.75703324808184147</v>
      </c>
      <c r="BV28" s="267">
        <f>SUM(BV25/BV26)</f>
        <v>0.75515463917525771</v>
      </c>
      <c r="BW28" s="269">
        <f t="shared" ref="BW28:CB28" si="123">SUM(BW25/BW26)</f>
        <v>0.75897435897435894</v>
      </c>
      <c r="BX28" s="261">
        <f t="shared" si="123"/>
        <v>0.75897435897435894</v>
      </c>
      <c r="BY28" s="261">
        <f t="shared" si="123"/>
        <v>0.7578125</v>
      </c>
      <c r="BZ28" s="261">
        <f t="shared" si="123"/>
        <v>0.7590673575129534</v>
      </c>
      <c r="CA28" s="261">
        <f t="shared" si="123"/>
        <v>0.75979112271540472</v>
      </c>
      <c r="CB28" s="261">
        <f t="shared" si="123"/>
        <v>0.75844155844155847</v>
      </c>
      <c r="CC28" s="261">
        <f t="shared" ref="CC28:DK28" si="124">SUM(CC25/CC26)</f>
        <v>0.7590673575129534</v>
      </c>
      <c r="CD28" s="261">
        <f t="shared" si="124"/>
        <v>0.75584415584415587</v>
      </c>
      <c r="CE28" s="261">
        <f t="shared" si="124"/>
        <v>0.75844155844155847</v>
      </c>
      <c r="CF28" s="261">
        <f t="shared" si="124"/>
        <v>0.76103896103896107</v>
      </c>
      <c r="CG28" s="261">
        <f t="shared" si="124"/>
        <v>0.76726342710997442</v>
      </c>
      <c r="CH28" s="267">
        <f t="shared" si="124"/>
        <v>0.76349614395886889</v>
      </c>
      <c r="CI28" s="260">
        <f t="shared" si="124"/>
        <v>0.75853018372703407</v>
      </c>
      <c r="CJ28" s="261">
        <f t="shared" si="124"/>
        <v>0.76377952755905509</v>
      </c>
      <c r="CK28" s="261">
        <f t="shared" si="124"/>
        <v>0.76455026455026454</v>
      </c>
      <c r="CL28" s="261">
        <f t="shared" si="124"/>
        <v>0.75871313672922247</v>
      </c>
      <c r="CM28" s="261">
        <f t="shared" si="124"/>
        <v>0.76139410187667556</v>
      </c>
      <c r="CN28" s="261">
        <f t="shared" si="124"/>
        <v>0.76139410187667556</v>
      </c>
      <c r="CO28" s="261">
        <f t="shared" si="124"/>
        <v>0.75945945945945947</v>
      </c>
      <c r="CP28" s="261">
        <f t="shared" si="124"/>
        <v>0.78016085790884715</v>
      </c>
      <c r="CQ28" s="261">
        <f t="shared" si="124"/>
        <v>0.78706199460916437</v>
      </c>
      <c r="CR28" s="261">
        <f t="shared" si="124"/>
        <v>0.79679144385026734</v>
      </c>
      <c r="CS28" s="261">
        <f t="shared" si="124"/>
        <v>0.7931034482758621</v>
      </c>
      <c r="CT28" s="267">
        <f t="shared" si="124"/>
        <v>0.80299251870324184</v>
      </c>
      <c r="CU28" s="261">
        <f t="shared" si="124"/>
        <v>0.82697947214076251</v>
      </c>
      <c r="CV28" s="261">
        <f t="shared" si="124"/>
        <v>0.84696569920844322</v>
      </c>
      <c r="CW28" s="261">
        <f t="shared" si="124"/>
        <v>0.84696569920844322</v>
      </c>
      <c r="CX28" s="261">
        <f t="shared" si="124"/>
        <v>0.85224274406332456</v>
      </c>
      <c r="CY28" s="261">
        <f t="shared" si="124"/>
        <v>0.85263157894736841</v>
      </c>
      <c r="CZ28" s="261">
        <f t="shared" si="124"/>
        <v>0.85135135135135132</v>
      </c>
      <c r="DA28" s="261">
        <f t="shared" si="124"/>
        <v>0.85789473684210527</v>
      </c>
      <c r="DB28" s="261">
        <f t="shared" si="124"/>
        <v>0.85277777777777775</v>
      </c>
      <c r="DC28" s="261">
        <f t="shared" si="124"/>
        <v>0.85483870967741937</v>
      </c>
      <c r="DD28" s="261">
        <f t="shared" si="124"/>
        <v>0.851123595505618</v>
      </c>
      <c r="DE28" s="261">
        <f t="shared" si="124"/>
        <v>0.8539325842696629</v>
      </c>
      <c r="DF28" s="267">
        <f t="shared" si="124"/>
        <v>0.85751978891820579</v>
      </c>
      <c r="DG28" s="261">
        <f t="shared" si="124"/>
        <v>0.84498480243161089</v>
      </c>
      <c r="DH28" s="261">
        <f t="shared" si="124"/>
        <v>0.86243386243386244</v>
      </c>
      <c r="DI28" s="261">
        <f t="shared" si="124"/>
        <v>0.88251366120218577</v>
      </c>
      <c r="DJ28" s="261">
        <f t="shared" si="124"/>
        <v>0.87116564417177911</v>
      </c>
      <c r="DK28" s="261">
        <f t="shared" si="124"/>
        <v>0.87577639751552794</v>
      </c>
      <c r="DL28" s="261">
        <f t="shared" ref="DL28:DR28" si="125">SUM(DL25/DL26)</f>
        <v>0.88797814207650272</v>
      </c>
      <c r="DM28" s="261">
        <f t="shared" si="125"/>
        <v>0.88760806916426516</v>
      </c>
      <c r="DN28" s="261">
        <f t="shared" si="125"/>
        <v>0.89100817438692093</v>
      </c>
      <c r="DO28" s="261">
        <f t="shared" si="125"/>
        <v>0.88218390804597702</v>
      </c>
      <c r="DP28" s="261">
        <f t="shared" si="125"/>
        <v>0.88141025641025639</v>
      </c>
      <c r="DQ28" s="261">
        <f t="shared" si="125"/>
        <v>0.89772727272727271</v>
      </c>
      <c r="DR28" s="261">
        <f t="shared" si="125"/>
        <v>0.89508196721311473</v>
      </c>
      <c r="DS28" s="261">
        <f t="shared" ref="DS28:FK28" si="126">SUM(DS25/DS26)</f>
        <v>0.89783281733746134</v>
      </c>
      <c r="DT28" s="261">
        <f t="shared" si="126"/>
        <v>0.89757412398921832</v>
      </c>
      <c r="DU28" s="261">
        <f t="shared" si="126"/>
        <v>0.89572192513368987</v>
      </c>
      <c r="DV28" s="354">
        <f t="shared" si="126"/>
        <v>0.89066666666666672</v>
      </c>
      <c r="DW28" s="354">
        <f t="shared" si="126"/>
        <v>0.8970976253298153</v>
      </c>
      <c r="DX28" s="354">
        <f t="shared" si="126"/>
        <v>0.89247311827956988</v>
      </c>
      <c r="DY28" s="354">
        <f t="shared" si="126"/>
        <v>0.89655172413793105</v>
      </c>
      <c r="DZ28" s="354">
        <f t="shared" si="126"/>
        <v>0.89893617021276595</v>
      </c>
      <c r="EA28" s="354">
        <f t="shared" si="126"/>
        <v>0.89729729729729735</v>
      </c>
      <c r="EB28" s="354">
        <f t="shared" si="126"/>
        <v>0.90185676392572944</v>
      </c>
      <c r="EC28" s="354">
        <f t="shared" si="126"/>
        <v>0.90591397849462363</v>
      </c>
      <c r="ED28" s="354">
        <f t="shared" si="126"/>
        <v>0.90566037735849059</v>
      </c>
      <c r="EE28" s="354">
        <f t="shared" si="126"/>
        <v>0.90250696378830086</v>
      </c>
      <c r="EF28" s="354">
        <f t="shared" si="126"/>
        <v>0.90414507772020725</v>
      </c>
      <c r="EG28" s="354">
        <f t="shared" si="126"/>
        <v>0.90765171503957787</v>
      </c>
      <c r="EH28" s="354">
        <f t="shared" si="126"/>
        <v>0.90909090909090906</v>
      </c>
      <c r="EI28" s="354">
        <f t="shared" si="126"/>
        <v>0.91351351351351351</v>
      </c>
      <c r="EJ28" s="354">
        <f t="shared" si="126"/>
        <v>0.91374663072776285</v>
      </c>
      <c r="EK28" s="354">
        <f t="shared" si="126"/>
        <v>0.91351351351351351</v>
      </c>
      <c r="EL28" s="354">
        <f t="shared" si="126"/>
        <v>0.9147286821705426</v>
      </c>
      <c r="EM28" s="354">
        <f t="shared" si="126"/>
        <v>0.91052631578947374</v>
      </c>
      <c r="EN28" s="354">
        <f t="shared" si="126"/>
        <v>0.92225201072386054</v>
      </c>
      <c r="EO28" s="354">
        <f t="shared" si="126"/>
        <v>0.92</v>
      </c>
      <c r="EP28" s="354">
        <f t="shared" si="126"/>
        <v>0.92032967032967028</v>
      </c>
      <c r="EQ28" s="354">
        <f t="shared" si="126"/>
        <v>0.92329545454545459</v>
      </c>
      <c r="ER28" s="354">
        <f t="shared" si="126"/>
        <v>0.93908629441624369</v>
      </c>
      <c r="ES28" s="354">
        <f t="shared" si="126"/>
        <v>0.93036211699164351</v>
      </c>
      <c r="ET28" s="354">
        <f t="shared" si="126"/>
        <v>0.93963254593175849</v>
      </c>
      <c r="EU28" s="354">
        <f t="shared" si="126"/>
        <v>0.94164456233421756</v>
      </c>
      <c r="EV28" s="354">
        <f t="shared" si="126"/>
        <v>0.93633952254641906</v>
      </c>
      <c r="EW28" s="354">
        <f t="shared" si="126"/>
        <v>0.94255874673629247</v>
      </c>
      <c r="EX28" s="354">
        <f t="shared" si="126"/>
        <v>0.94148936170212771</v>
      </c>
      <c r="EY28" s="354">
        <f t="shared" si="126"/>
        <v>0.94086021505376349</v>
      </c>
      <c r="EZ28" s="354">
        <f t="shared" si="126"/>
        <v>0.94179894179894175</v>
      </c>
      <c r="FA28" s="354">
        <f t="shared" si="126"/>
        <v>0.94148936170212771</v>
      </c>
      <c r="FB28" s="354">
        <f t="shared" si="126"/>
        <v>0.93733681462140994</v>
      </c>
      <c r="FC28" s="354">
        <f t="shared" si="126"/>
        <v>0.93931398416886547</v>
      </c>
      <c r="FD28" s="354">
        <f t="shared" si="126"/>
        <v>0.94818652849740936</v>
      </c>
      <c r="FE28" s="354">
        <f t="shared" si="126"/>
        <v>0.95348837209302328</v>
      </c>
      <c r="FF28" s="354">
        <f t="shared" si="126"/>
        <v>0.95707070707070707</v>
      </c>
      <c r="FG28" s="354">
        <f t="shared" si="126"/>
        <v>0.95685279187817263</v>
      </c>
      <c r="FH28" s="354">
        <f t="shared" si="126"/>
        <v>0.95823095823095827</v>
      </c>
      <c r="FI28" s="354">
        <f t="shared" si="126"/>
        <v>0.96091954022988502</v>
      </c>
      <c r="FJ28" s="354">
        <f t="shared" si="126"/>
        <v>0.960093896713615</v>
      </c>
      <c r="FK28" s="354">
        <f t="shared" si="126"/>
        <v>0.96171171171171166</v>
      </c>
      <c r="FL28" s="354">
        <f t="shared" ref="FL28:FQ28" si="127">SUM(FL25/FL26)</f>
        <v>0.96196868008948544</v>
      </c>
      <c r="FM28" s="354">
        <f t="shared" si="127"/>
        <v>0.96263736263736266</v>
      </c>
      <c r="FN28" s="354">
        <f t="shared" si="127"/>
        <v>0.96363636363636362</v>
      </c>
      <c r="FO28" s="354">
        <f t="shared" si="127"/>
        <v>0.96613995485327309</v>
      </c>
      <c r="FP28" s="354">
        <f t="shared" si="127"/>
        <v>0.96710526315789469</v>
      </c>
      <c r="FQ28" s="354">
        <f t="shared" si="127"/>
        <v>0.97315436241610742</v>
      </c>
      <c r="FR28" s="354">
        <f t="shared" ref="FR28:FT28" si="128">SUM(FR25/FR26)</f>
        <v>0.97550111358574609</v>
      </c>
      <c r="FS28" s="354">
        <f t="shared" si="128"/>
        <v>0.97787610619469023</v>
      </c>
      <c r="FT28" s="354">
        <f t="shared" si="128"/>
        <v>0.97959183673469385</v>
      </c>
    </row>
    <row r="29" spans="2:176" ht="12.75" hidden="1" customHeight="1" x14ac:dyDescent="0.25">
      <c r="B29" s="3"/>
      <c r="C29" s="81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81"/>
      <c r="P29" s="18"/>
      <c r="Q29" s="18"/>
      <c r="R29" s="18"/>
      <c r="S29" s="18"/>
      <c r="T29" s="19"/>
      <c r="U29" s="18"/>
      <c r="V29" s="18"/>
      <c r="W29" s="18"/>
      <c r="X29" s="18"/>
      <c r="Y29" s="18"/>
      <c r="Z29" s="20"/>
      <c r="AA29" s="81"/>
      <c r="AB29" s="18"/>
      <c r="AC29" s="18"/>
      <c r="AD29" s="18"/>
      <c r="AE29" s="18"/>
      <c r="AF29" s="19"/>
      <c r="AG29" s="18"/>
      <c r="AH29" s="18"/>
      <c r="AI29" s="18"/>
      <c r="AJ29" s="18"/>
      <c r="AK29" s="18"/>
      <c r="AL29" s="20"/>
      <c r="AM29" s="81"/>
      <c r="AN29" s="18"/>
      <c r="AO29" s="18"/>
      <c r="AP29" s="18"/>
      <c r="AQ29" s="18"/>
      <c r="AR29" s="19"/>
      <c r="AS29" s="18"/>
      <c r="AT29" s="18"/>
      <c r="AU29" s="18"/>
      <c r="AV29" s="18"/>
      <c r="AW29" s="18"/>
      <c r="AX29" s="20"/>
      <c r="AY29" s="81"/>
      <c r="AZ29" s="18"/>
      <c r="BA29" s="18"/>
      <c r="BB29" s="18"/>
      <c r="BC29" s="18"/>
      <c r="BD29" s="19"/>
      <c r="BE29" s="18"/>
      <c r="BF29" s="18"/>
      <c r="BG29" s="18"/>
      <c r="BH29" s="18"/>
      <c r="BI29" s="18"/>
      <c r="BJ29" s="20"/>
      <c r="BK29" s="81"/>
      <c r="BL29" s="18"/>
      <c r="BM29" s="18"/>
      <c r="BN29" s="18"/>
      <c r="BO29" s="18"/>
      <c r="BP29" s="19"/>
      <c r="BQ29" s="18"/>
      <c r="BR29" s="18"/>
      <c r="BS29" s="18"/>
      <c r="BT29" s="18"/>
      <c r="BU29" s="18"/>
      <c r="BV29" s="20"/>
      <c r="BW29" s="81"/>
      <c r="BX29" s="18"/>
      <c r="BY29" s="18"/>
      <c r="BZ29" s="18"/>
      <c r="CA29" s="18"/>
      <c r="CB29" s="19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  <c r="DZ29" s="362"/>
    </row>
    <row r="30" spans="2:176" ht="12.75" customHeight="1" x14ac:dyDescent="0.25">
      <c r="B30" s="55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81"/>
      <c r="P30" s="18"/>
      <c r="Q30" s="18"/>
      <c r="R30" s="18"/>
      <c r="S30" s="18"/>
      <c r="T30" s="19"/>
      <c r="U30" s="18"/>
      <c r="V30" s="18"/>
      <c r="W30" s="18"/>
      <c r="X30" s="18"/>
      <c r="Y30" s="18"/>
      <c r="Z30" s="20"/>
      <c r="AA30" s="81"/>
      <c r="AB30" s="18"/>
      <c r="AC30" s="18"/>
      <c r="AD30" s="18"/>
      <c r="AE30" s="18"/>
      <c r="AF30" s="19"/>
      <c r="AG30" s="18"/>
      <c r="AH30" s="18"/>
      <c r="AI30" s="18"/>
      <c r="AJ30" s="18"/>
      <c r="AK30" s="18"/>
      <c r="AL30" s="20"/>
      <c r="AM30" s="81"/>
      <c r="AN30" s="18"/>
      <c r="AO30" s="18"/>
      <c r="AP30" s="18"/>
      <c r="AQ30" s="18"/>
      <c r="AR30" s="19"/>
      <c r="AS30" s="18"/>
      <c r="AT30" s="18"/>
      <c r="AU30" s="18"/>
      <c r="AV30" s="18"/>
      <c r="AW30" s="18"/>
      <c r="AX30" s="20"/>
      <c r="AY30" s="81"/>
      <c r="AZ30" s="18"/>
      <c r="BA30" s="18"/>
      <c r="BB30" s="18"/>
      <c r="BC30" s="18"/>
      <c r="BD30" s="19"/>
      <c r="BE30" s="18"/>
      <c r="BF30" s="18"/>
      <c r="BG30" s="18"/>
      <c r="BH30" s="18"/>
      <c r="BI30" s="18"/>
      <c r="BJ30" s="20"/>
      <c r="BK30" s="81"/>
      <c r="BL30" s="18"/>
      <c r="BM30" s="18"/>
      <c r="BN30" s="18"/>
      <c r="BO30" s="18"/>
      <c r="BP30" s="19"/>
      <c r="BQ30" s="18"/>
      <c r="BR30" s="18"/>
      <c r="BS30" s="18"/>
      <c r="BT30" s="18"/>
      <c r="BU30" s="18"/>
      <c r="BV30" s="20"/>
      <c r="BW30" s="81"/>
      <c r="BX30" s="18"/>
      <c r="BY30" s="18"/>
      <c r="BZ30" s="18"/>
      <c r="CA30" s="18"/>
      <c r="CB30" s="19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  <c r="DZ30" s="362"/>
    </row>
    <row r="31" spans="2:176" ht="12.75" customHeight="1" x14ac:dyDescent="0.25">
      <c r="B31" s="3" t="s">
        <v>1</v>
      </c>
      <c r="C31" s="121">
        <v>23910</v>
      </c>
      <c r="D31" s="16">
        <v>24287</v>
      </c>
      <c r="E31" s="16">
        <v>24255</v>
      </c>
      <c r="F31" s="16">
        <v>24095</v>
      </c>
      <c r="G31" s="16">
        <v>24037</v>
      </c>
      <c r="H31" s="16">
        <v>24003</v>
      </c>
      <c r="I31" s="16">
        <v>24022</v>
      </c>
      <c r="J31" s="16">
        <v>23951</v>
      </c>
      <c r="K31" s="16">
        <v>23787</v>
      </c>
      <c r="L31" s="16">
        <v>423</v>
      </c>
      <c r="M31" s="16">
        <v>393</v>
      </c>
      <c r="N31" s="21">
        <v>350</v>
      </c>
      <c r="O31" s="121">
        <f>23456</f>
        <v>23456</v>
      </c>
      <c r="P31" s="16">
        <v>20706</v>
      </c>
      <c r="Q31" s="16">
        <v>21887</v>
      </c>
      <c r="R31" s="16">
        <v>21701</v>
      </c>
      <c r="S31" s="16">
        <v>21423</v>
      </c>
      <c r="T31" s="16">
        <v>21144</v>
      </c>
      <c r="U31" s="16">
        <f>U33-U32</f>
        <v>21791</v>
      </c>
      <c r="V31" s="16">
        <f>V33-V32</f>
        <v>20674</v>
      </c>
      <c r="W31" s="16">
        <f>W33-W32</f>
        <v>20458</v>
      </c>
      <c r="X31" s="16">
        <v>22433</v>
      </c>
      <c r="Y31" s="16">
        <v>16993</v>
      </c>
      <c r="Z31" s="21">
        <v>19871</v>
      </c>
      <c r="AA31" s="121">
        <v>19489</v>
      </c>
      <c r="AB31" s="16">
        <v>18401</v>
      </c>
      <c r="AC31" s="16">
        <v>20778</v>
      </c>
      <c r="AD31" s="16">
        <v>18285</v>
      </c>
      <c r="AE31" s="16">
        <v>17180</v>
      </c>
      <c r="AF31" s="16">
        <v>18753</v>
      </c>
      <c r="AG31" s="16">
        <v>17444</v>
      </c>
      <c r="AH31" s="16">
        <v>18354</v>
      </c>
      <c r="AI31" s="16">
        <v>17069</v>
      </c>
      <c r="AJ31" s="16">
        <v>16684</v>
      </c>
      <c r="AK31" s="16">
        <v>15670</v>
      </c>
      <c r="AL31" s="21">
        <v>15457</v>
      </c>
      <c r="AM31" s="121">
        <v>16114</v>
      </c>
      <c r="AN31" s="16">
        <v>14368</v>
      </c>
      <c r="AO31" s="16">
        <v>15894</v>
      </c>
      <c r="AP31" s="16">
        <v>14963</v>
      </c>
      <c r="AQ31" s="16">
        <v>15315</v>
      </c>
      <c r="AR31" s="16">
        <v>15468</v>
      </c>
      <c r="AS31" s="16">
        <v>14440</v>
      </c>
      <c r="AT31" s="16">
        <v>16456</v>
      </c>
      <c r="AU31" s="16">
        <v>14782</v>
      </c>
      <c r="AV31" s="16">
        <v>14586</v>
      </c>
      <c r="AW31" s="16">
        <v>13743</v>
      </c>
      <c r="AX31" s="21">
        <v>13586</v>
      </c>
      <c r="AY31" s="121">
        <v>14123</v>
      </c>
      <c r="AZ31" s="16">
        <v>13258</v>
      </c>
      <c r="BA31" s="16">
        <v>15180</v>
      </c>
      <c r="BB31" s="16">
        <v>12855</v>
      </c>
      <c r="BC31" s="16">
        <v>13932</v>
      </c>
      <c r="BD31" s="16">
        <v>13539</v>
      </c>
      <c r="BE31" s="16">
        <v>12154</v>
      </c>
      <c r="BF31" s="16">
        <v>13613</v>
      </c>
      <c r="BG31" s="16">
        <v>11467</v>
      </c>
      <c r="BH31" s="16">
        <v>12556</v>
      </c>
      <c r="BI31" s="16">
        <v>11156</v>
      </c>
      <c r="BJ31" s="21">
        <v>10510</v>
      </c>
      <c r="BK31" s="121">
        <v>11675</v>
      </c>
      <c r="BL31" s="16">
        <v>10831</v>
      </c>
      <c r="BM31" s="16">
        <v>11880</v>
      </c>
      <c r="BN31" s="16">
        <v>10612</v>
      </c>
      <c r="BO31" s="16">
        <v>11578</v>
      </c>
      <c r="BP31" s="16">
        <v>10900</v>
      </c>
      <c r="BQ31" s="16">
        <v>10774</v>
      </c>
      <c r="BR31" s="16">
        <v>11711</v>
      </c>
      <c r="BS31" s="16">
        <v>9602</v>
      </c>
      <c r="BT31" s="16">
        <v>10538</v>
      </c>
      <c r="BU31" s="16">
        <v>10454</v>
      </c>
      <c r="BV31" s="21">
        <v>10373</v>
      </c>
      <c r="BW31" s="121">
        <v>10334</v>
      </c>
      <c r="BX31" s="16">
        <v>10246</v>
      </c>
      <c r="BY31" s="16">
        <v>10198</v>
      </c>
      <c r="BZ31" s="16">
        <v>10143</v>
      </c>
      <c r="CA31" s="16">
        <v>10192</v>
      </c>
      <c r="CB31" s="16">
        <v>9856</v>
      </c>
      <c r="CC31" s="16">
        <v>9680</v>
      </c>
      <c r="CD31" s="16">
        <v>9574</v>
      </c>
      <c r="CE31" s="16">
        <v>9486</v>
      </c>
      <c r="CF31" s="16">
        <v>9389</v>
      </c>
      <c r="CG31" s="16">
        <v>9304</v>
      </c>
      <c r="CH31" s="21">
        <v>9234</v>
      </c>
      <c r="CI31" s="71">
        <v>9182</v>
      </c>
      <c r="CJ31" s="69">
        <v>9066</v>
      </c>
      <c r="CK31" s="69">
        <v>9026</v>
      </c>
      <c r="CL31" s="69">
        <v>8983</v>
      </c>
      <c r="CM31" s="69">
        <v>8921</v>
      </c>
      <c r="CN31" s="69">
        <v>8849</v>
      </c>
      <c r="CO31" s="69">
        <v>8778</v>
      </c>
      <c r="CP31" s="69">
        <v>8695</v>
      </c>
      <c r="CQ31" s="69">
        <v>8633</v>
      </c>
      <c r="CR31" s="69">
        <v>8536</v>
      </c>
      <c r="CS31" s="69">
        <v>8423</v>
      </c>
      <c r="CT31" s="89">
        <v>8341</v>
      </c>
      <c r="CU31" s="69">
        <v>7423</v>
      </c>
      <c r="CV31" s="69">
        <v>8185</v>
      </c>
      <c r="CW31" s="69">
        <v>8074</v>
      </c>
      <c r="CX31" s="69">
        <v>8012</v>
      </c>
      <c r="CY31" s="69">
        <v>7936</v>
      </c>
      <c r="CZ31" s="69">
        <v>7881</v>
      </c>
      <c r="DA31" s="69">
        <v>7789</v>
      </c>
      <c r="DB31" s="69">
        <v>7327</v>
      </c>
      <c r="DC31" s="69">
        <v>7697</v>
      </c>
      <c r="DD31" s="69">
        <v>7252</v>
      </c>
      <c r="DE31" s="69">
        <v>7128</v>
      </c>
      <c r="DF31" s="89">
        <v>7338</v>
      </c>
      <c r="DG31" s="284">
        <v>6544</v>
      </c>
      <c r="DH31" s="284">
        <v>7202</v>
      </c>
      <c r="DI31" s="284">
        <v>7147</v>
      </c>
      <c r="DJ31" s="284">
        <v>6688</v>
      </c>
      <c r="DK31" s="284">
        <v>6229</v>
      </c>
      <c r="DL31" s="284">
        <v>6965</v>
      </c>
      <c r="DM31" s="284">
        <v>6510</v>
      </c>
      <c r="DN31" s="284">
        <v>6796</v>
      </c>
      <c r="DO31" s="284">
        <v>6392</v>
      </c>
      <c r="DP31" s="284">
        <v>6282</v>
      </c>
      <c r="DQ31" s="284">
        <v>6552</v>
      </c>
      <c r="DR31" s="284">
        <v>5791</v>
      </c>
      <c r="DS31" s="284">
        <v>5636</v>
      </c>
      <c r="DT31" s="284">
        <v>6174</v>
      </c>
      <c r="DU31" s="284">
        <v>6388</v>
      </c>
      <c r="DV31" s="362">
        <v>6329</v>
      </c>
      <c r="DW31" s="362">
        <v>6272</v>
      </c>
      <c r="DX31" s="362">
        <v>6230</v>
      </c>
      <c r="DY31" s="362">
        <v>6207</v>
      </c>
      <c r="DZ31" s="362">
        <v>6180</v>
      </c>
      <c r="EA31" s="362">
        <v>6101</v>
      </c>
      <c r="EB31" s="362">
        <v>6055</v>
      </c>
      <c r="EC31" s="362">
        <v>5992</v>
      </c>
      <c r="ED31" s="362">
        <v>5940</v>
      </c>
      <c r="EE31" s="362">
        <v>5912</v>
      </c>
      <c r="EF31" s="362">
        <v>5812</v>
      </c>
      <c r="EG31" s="362">
        <v>5763</v>
      </c>
      <c r="EH31" s="362">
        <v>5688</v>
      </c>
      <c r="EI31" s="362">
        <v>5620</v>
      </c>
      <c r="EJ31" s="362">
        <v>5566</v>
      </c>
      <c r="EK31" s="362">
        <v>5516</v>
      </c>
      <c r="EL31" s="362">
        <v>5490</v>
      </c>
      <c r="EM31" s="362">
        <v>5418</v>
      </c>
      <c r="EN31" s="362">
        <v>5398</v>
      </c>
      <c r="EO31" s="362">
        <v>5354</v>
      </c>
      <c r="EP31" s="362">
        <v>5276</v>
      </c>
      <c r="EQ31" s="362">
        <v>4982</v>
      </c>
      <c r="ER31" s="362">
        <v>5103</v>
      </c>
      <c r="ES31" s="362">
        <v>4898</v>
      </c>
      <c r="ET31" s="362">
        <v>5128</v>
      </c>
      <c r="EU31" s="362">
        <v>5091</v>
      </c>
      <c r="EV31" s="362">
        <v>5061</v>
      </c>
      <c r="EW31" s="362">
        <v>5020</v>
      </c>
      <c r="EX31" s="362">
        <v>4978</v>
      </c>
      <c r="EY31" s="362">
        <v>4938</v>
      </c>
      <c r="EZ31" s="362">
        <v>4916</v>
      </c>
      <c r="FA31" s="362">
        <v>4891</v>
      </c>
      <c r="FB31" s="362">
        <v>4841</v>
      </c>
      <c r="FC31" s="362">
        <v>4818</v>
      </c>
      <c r="FD31" s="362">
        <v>4804</v>
      </c>
      <c r="FE31" s="362">
        <v>4753</v>
      </c>
      <c r="FF31" s="362">
        <v>4722</v>
      </c>
      <c r="FG31" s="362">
        <v>4710</v>
      </c>
      <c r="FH31" s="362">
        <v>4675</v>
      </c>
      <c r="FI31" s="362">
        <v>4653</v>
      </c>
      <c r="FJ31" s="362">
        <v>4604</v>
      </c>
      <c r="FK31" s="362">
        <v>4535</v>
      </c>
      <c r="FL31" s="362">
        <v>4529</v>
      </c>
      <c r="FM31" s="362">
        <v>4466</v>
      </c>
      <c r="FN31" s="362">
        <v>4427</v>
      </c>
      <c r="FO31" s="362">
        <v>4399</v>
      </c>
      <c r="FP31" s="362">
        <v>4331</v>
      </c>
      <c r="FQ31" s="362">
        <v>4319</v>
      </c>
      <c r="FR31" s="362">
        <v>4261</v>
      </c>
      <c r="FS31" s="362">
        <v>4233</v>
      </c>
      <c r="FT31" s="362">
        <v>4205</v>
      </c>
    </row>
    <row r="32" spans="2:176" ht="12.75" customHeight="1" thickBot="1" x14ac:dyDescent="0.3">
      <c r="B32" s="5" t="s">
        <v>8</v>
      </c>
      <c r="C32" s="175">
        <v>250</v>
      </c>
      <c r="D32" s="17">
        <v>369</v>
      </c>
      <c r="E32" s="17">
        <v>536</v>
      </c>
      <c r="F32" s="17">
        <v>583</v>
      </c>
      <c r="G32" s="17">
        <v>638</v>
      </c>
      <c r="H32" s="17">
        <v>656</v>
      </c>
      <c r="I32" s="17">
        <v>731</v>
      </c>
      <c r="J32" s="17">
        <v>887</v>
      </c>
      <c r="K32" s="17">
        <v>940</v>
      </c>
      <c r="L32" s="17">
        <v>48</v>
      </c>
      <c r="M32" s="17">
        <v>50</v>
      </c>
      <c r="N32" s="22">
        <v>54</v>
      </c>
      <c r="O32" s="175">
        <v>1250</v>
      </c>
      <c r="P32" s="17">
        <v>1155</v>
      </c>
      <c r="Q32" s="17">
        <v>1331</v>
      </c>
      <c r="R32" s="17">
        <f>23032-R31</f>
        <v>1331</v>
      </c>
      <c r="S32" s="17">
        <f>22813-S31</f>
        <v>1390</v>
      </c>
      <c r="T32" s="17">
        <f>22581-T31</f>
        <v>1437</v>
      </c>
      <c r="U32" s="17">
        <v>1527</v>
      </c>
      <c r="V32" s="17">
        <v>1551</v>
      </c>
      <c r="W32" s="17">
        <v>1658</v>
      </c>
      <c r="X32" s="17">
        <f>X33-X31</f>
        <v>1920</v>
      </c>
      <c r="Y32" s="17">
        <f>Y33-Y31</f>
        <v>1430</v>
      </c>
      <c r="Z32" s="22">
        <f>Z33-Z31</f>
        <v>1841</v>
      </c>
      <c r="AA32" s="175">
        <v>1871</v>
      </c>
      <c r="AB32" s="17">
        <v>1884</v>
      </c>
      <c r="AC32" s="17">
        <v>2126</v>
      </c>
      <c r="AD32" s="17">
        <v>1951</v>
      </c>
      <c r="AE32" s="17">
        <v>1883</v>
      </c>
      <c r="AF32" s="17">
        <v>2129</v>
      </c>
      <c r="AG32" s="17">
        <v>2075</v>
      </c>
      <c r="AH32" s="17">
        <v>2380</v>
      </c>
      <c r="AI32" s="17">
        <v>2225</v>
      </c>
      <c r="AJ32" s="17">
        <v>2457</v>
      </c>
      <c r="AK32" s="17">
        <v>2383</v>
      </c>
      <c r="AL32" s="22">
        <v>2499</v>
      </c>
      <c r="AM32" s="175">
        <v>2703</v>
      </c>
      <c r="AN32" s="17">
        <v>2507</v>
      </c>
      <c r="AO32" s="17">
        <v>2877</v>
      </c>
      <c r="AP32" s="17">
        <v>2787</v>
      </c>
      <c r="AQ32" s="17">
        <v>2911</v>
      </c>
      <c r="AR32" s="17">
        <v>3012</v>
      </c>
      <c r="AS32" s="17">
        <v>2989</v>
      </c>
      <c r="AT32" s="17">
        <v>3569</v>
      </c>
      <c r="AU32" s="17">
        <v>3308</v>
      </c>
      <c r="AV32" s="17">
        <v>3421</v>
      </c>
      <c r="AW32" s="17">
        <v>3279</v>
      </c>
      <c r="AX32" s="22">
        <v>3384</v>
      </c>
      <c r="AY32" s="175">
        <v>3582</v>
      </c>
      <c r="AZ32" s="17">
        <v>3474</v>
      </c>
      <c r="BA32" s="17">
        <v>4079</v>
      </c>
      <c r="BB32" s="17">
        <v>3627</v>
      </c>
      <c r="BC32" s="17">
        <v>4128</v>
      </c>
      <c r="BD32" s="17">
        <v>4311</v>
      </c>
      <c r="BE32" s="17">
        <v>3909</v>
      </c>
      <c r="BF32" s="17">
        <v>4742</v>
      </c>
      <c r="BG32" s="17">
        <v>4180</v>
      </c>
      <c r="BH32" s="17">
        <v>4708</v>
      </c>
      <c r="BI32" s="17">
        <v>4378</v>
      </c>
      <c r="BJ32" s="22">
        <v>4144</v>
      </c>
      <c r="BK32" s="175">
        <v>4708</v>
      </c>
      <c r="BL32" s="17">
        <v>4553</v>
      </c>
      <c r="BM32" s="17">
        <v>5031</v>
      </c>
      <c r="BN32" s="17">
        <v>4666</v>
      </c>
      <c r="BO32" s="17">
        <v>5169</v>
      </c>
      <c r="BP32" s="17">
        <v>5009</v>
      </c>
      <c r="BQ32" s="17">
        <v>5112</v>
      </c>
      <c r="BR32" s="17">
        <v>5715</v>
      </c>
      <c r="BS32" s="17">
        <v>4655</v>
      </c>
      <c r="BT32" s="17">
        <v>5276</v>
      </c>
      <c r="BU32" s="17">
        <v>5350</v>
      </c>
      <c r="BV32" s="22">
        <v>5373</v>
      </c>
      <c r="BW32" s="175">
        <v>5421</v>
      </c>
      <c r="BX32" s="17">
        <v>5419</v>
      </c>
      <c r="BY32" s="17">
        <v>5427</v>
      </c>
      <c r="BZ32" s="17">
        <v>5472</v>
      </c>
      <c r="CA32" s="17">
        <v>5559</v>
      </c>
      <c r="CB32" s="17">
        <v>5610</v>
      </c>
      <c r="CC32" s="17">
        <v>5600</v>
      </c>
      <c r="CD32" s="17">
        <v>5666</v>
      </c>
      <c r="CE32" s="17">
        <v>5653</v>
      </c>
      <c r="CF32" s="17">
        <v>5647</v>
      </c>
      <c r="CG32" s="17">
        <v>5837</v>
      </c>
      <c r="CH32" s="22">
        <v>5940</v>
      </c>
      <c r="CI32" s="72">
        <v>5674</v>
      </c>
      <c r="CJ32" s="92">
        <v>5708</v>
      </c>
      <c r="CK32" s="92">
        <v>5717</v>
      </c>
      <c r="CL32" s="92">
        <v>5691</v>
      </c>
      <c r="CM32" s="92">
        <v>5689</v>
      </c>
      <c r="CN32" s="92">
        <v>5667</v>
      </c>
      <c r="CO32" s="92">
        <v>5706</v>
      </c>
      <c r="CP32" s="92">
        <v>5737</v>
      </c>
      <c r="CQ32" s="92">
        <v>5811</v>
      </c>
      <c r="CR32" s="92">
        <v>5844</v>
      </c>
      <c r="CS32" s="92">
        <v>5873</v>
      </c>
      <c r="CT32" s="93">
        <v>5918</v>
      </c>
      <c r="CU32" s="91">
        <v>5371</v>
      </c>
      <c r="CV32" s="92">
        <v>5963</v>
      </c>
      <c r="CW32" s="92">
        <v>5988</v>
      </c>
      <c r="CX32" s="92">
        <v>6014</v>
      </c>
      <c r="CY32" s="92">
        <v>6028</v>
      </c>
      <c r="CZ32" s="92">
        <v>6064</v>
      </c>
      <c r="DA32" s="92">
        <v>6104</v>
      </c>
      <c r="DB32" s="92">
        <v>5841</v>
      </c>
      <c r="DC32" s="92">
        <v>6130</v>
      </c>
      <c r="DD32" s="92">
        <v>5886</v>
      </c>
      <c r="DE32" s="92">
        <v>5984</v>
      </c>
      <c r="DF32" s="93">
        <v>6259</v>
      </c>
      <c r="DG32" s="284">
        <v>5724</v>
      </c>
      <c r="DH32" s="284">
        <v>6396</v>
      </c>
      <c r="DI32" s="284">
        <v>6433</v>
      </c>
      <c r="DJ32" s="284">
        <v>6156</v>
      </c>
      <c r="DK32" s="284">
        <v>5898</v>
      </c>
      <c r="DL32" s="284">
        <v>6555</v>
      </c>
      <c r="DM32" s="284">
        <v>6231</v>
      </c>
      <c r="DN32" s="284">
        <v>6635</v>
      </c>
      <c r="DO32" s="284">
        <v>6292</v>
      </c>
      <c r="DP32" s="284">
        <v>6336</v>
      </c>
      <c r="DQ32" s="284">
        <v>6859</v>
      </c>
      <c r="DR32" s="284">
        <v>6069</v>
      </c>
      <c r="DS32" s="284">
        <v>5924</v>
      </c>
      <c r="DT32" s="284">
        <v>6405</v>
      </c>
      <c r="DU32" s="284">
        <v>6766</v>
      </c>
      <c r="DV32" s="362">
        <v>6751</v>
      </c>
      <c r="DW32" s="362">
        <v>6799</v>
      </c>
      <c r="DX32" s="362">
        <v>6757</v>
      </c>
      <c r="DY32" s="362">
        <v>6822</v>
      </c>
      <c r="DZ32" s="362">
        <v>6826</v>
      </c>
      <c r="EA32" s="362">
        <v>6865</v>
      </c>
      <c r="EB32" s="362">
        <v>6861</v>
      </c>
      <c r="EC32" s="362">
        <v>6919</v>
      </c>
      <c r="ED32" s="362">
        <v>6922</v>
      </c>
      <c r="EE32" s="362">
        <v>6973</v>
      </c>
      <c r="EF32" s="362">
        <v>6954</v>
      </c>
      <c r="EG32" s="362">
        <v>7004</v>
      </c>
      <c r="EH32" s="362">
        <v>7077</v>
      </c>
      <c r="EI32" s="362">
        <v>7112</v>
      </c>
      <c r="EJ32" s="362">
        <v>7122</v>
      </c>
      <c r="EK32" s="362">
        <v>7085</v>
      </c>
      <c r="EL32" s="362">
        <v>7097</v>
      </c>
      <c r="EM32" s="362">
        <v>7138</v>
      </c>
      <c r="EN32" s="362">
        <v>7245</v>
      </c>
      <c r="EO32" s="362">
        <v>7142</v>
      </c>
      <c r="EP32" s="362">
        <v>7142</v>
      </c>
      <c r="EQ32" s="362">
        <v>6868</v>
      </c>
      <c r="ER32" s="362">
        <v>6858</v>
      </c>
      <c r="ES32" s="362">
        <v>6811</v>
      </c>
      <c r="ET32" s="362">
        <v>7225</v>
      </c>
      <c r="EU32" s="362">
        <v>7249</v>
      </c>
      <c r="EV32" s="362">
        <v>7284</v>
      </c>
      <c r="EW32" s="362">
        <v>7222</v>
      </c>
      <c r="EX32" s="362">
        <v>7255</v>
      </c>
      <c r="EY32" s="362">
        <v>7202</v>
      </c>
      <c r="EZ32" s="362">
        <v>7260</v>
      </c>
      <c r="FA32" s="362">
        <v>7252</v>
      </c>
      <c r="FB32" s="362">
        <v>7264</v>
      </c>
      <c r="FC32" s="362">
        <v>7246</v>
      </c>
      <c r="FD32" s="362">
        <v>7247</v>
      </c>
      <c r="FE32" s="362">
        <v>7240</v>
      </c>
      <c r="FF32" s="92">
        <v>7315</v>
      </c>
      <c r="FG32" s="92">
        <v>7318</v>
      </c>
      <c r="FH32" s="92">
        <v>7310</v>
      </c>
      <c r="FI32" s="284">
        <v>7311</v>
      </c>
      <c r="FJ32" s="284">
        <v>7314</v>
      </c>
      <c r="FK32" s="284">
        <v>7350</v>
      </c>
      <c r="FL32" s="284">
        <v>7371</v>
      </c>
      <c r="FM32" s="284">
        <v>7455</v>
      </c>
      <c r="FN32" s="284">
        <v>7437</v>
      </c>
      <c r="FO32" s="284">
        <v>7463</v>
      </c>
      <c r="FP32" s="284">
        <v>7461</v>
      </c>
      <c r="FQ32" s="284">
        <v>7489</v>
      </c>
      <c r="FR32" s="284">
        <v>7519</v>
      </c>
      <c r="FS32" s="284">
        <v>7596</v>
      </c>
      <c r="FT32" s="284">
        <v>7578</v>
      </c>
    </row>
    <row r="33" spans="2:182" ht="12.75" customHeight="1" thickTop="1" x14ac:dyDescent="0.25">
      <c r="B33" s="3" t="s">
        <v>9</v>
      </c>
      <c r="C33" s="176">
        <f t="shared" ref="C33:Q33" si="129">SUM(C31:C32)</f>
        <v>24160</v>
      </c>
      <c r="D33" s="8">
        <f t="shared" si="129"/>
        <v>24656</v>
      </c>
      <c r="E33" s="8">
        <f t="shared" si="129"/>
        <v>24791</v>
      </c>
      <c r="F33" s="8">
        <f t="shared" si="129"/>
        <v>24678</v>
      </c>
      <c r="G33" s="8">
        <f t="shared" si="129"/>
        <v>24675</v>
      </c>
      <c r="H33" s="8">
        <f t="shared" si="129"/>
        <v>24659</v>
      </c>
      <c r="I33" s="8">
        <f t="shared" si="129"/>
        <v>24753</v>
      </c>
      <c r="J33" s="8">
        <f t="shared" si="129"/>
        <v>24838</v>
      </c>
      <c r="K33" s="8">
        <f t="shared" si="129"/>
        <v>24727</v>
      </c>
      <c r="L33" s="8">
        <f t="shared" si="129"/>
        <v>471</v>
      </c>
      <c r="M33" s="8">
        <f t="shared" si="129"/>
        <v>443</v>
      </c>
      <c r="N33" s="10">
        <f t="shared" si="129"/>
        <v>404</v>
      </c>
      <c r="O33" s="176">
        <f t="shared" si="129"/>
        <v>24706</v>
      </c>
      <c r="P33" s="8">
        <f t="shared" si="129"/>
        <v>21861</v>
      </c>
      <c r="Q33" s="8">
        <f t="shared" si="129"/>
        <v>23218</v>
      </c>
      <c r="R33" s="8">
        <f>SUM(R31:R32)</f>
        <v>23032</v>
      </c>
      <c r="S33" s="8">
        <f>SUM(S31:S32)</f>
        <v>22813</v>
      </c>
      <c r="T33" s="8">
        <f>SUM(T31:T32)</f>
        <v>22581</v>
      </c>
      <c r="U33" s="8">
        <v>23318</v>
      </c>
      <c r="V33" s="8">
        <v>22225</v>
      </c>
      <c r="W33" s="8">
        <v>22116</v>
      </c>
      <c r="X33" s="8">
        <v>24353</v>
      </c>
      <c r="Y33" s="8">
        <v>18423</v>
      </c>
      <c r="Z33" s="10">
        <v>21712</v>
      </c>
      <c r="AA33" s="176">
        <f t="shared" ref="AA33:AF33" si="130">SUM(AA31:AA32)</f>
        <v>21360</v>
      </c>
      <c r="AB33" s="8">
        <f t="shared" si="130"/>
        <v>20285</v>
      </c>
      <c r="AC33" s="8">
        <f t="shared" si="130"/>
        <v>22904</v>
      </c>
      <c r="AD33" s="8">
        <f t="shared" si="130"/>
        <v>20236</v>
      </c>
      <c r="AE33" s="8">
        <f t="shared" si="130"/>
        <v>19063</v>
      </c>
      <c r="AF33" s="8">
        <f t="shared" si="130"/>
        <v>20882</v>
      </c>
      <c r="AG33" s="8">
        <f t="shared" ref="AG33:AL33" si="131">SUM(AG31:AG32)</f>
        <v>19519</v>
      </c>
      <c r="AH33" s="8">
        <f t="shared" si="131"/>
        <v>20734</v>
      </c>
      <c r="AI33" s="8">
        <f t="shared" si="131"/>
        <v>19294</v>
      </c>
      <c r="AJ33" s="8">
        <f t="shared" si="131"/>
        <v>19141</v>
      </c>
      <c r="AK33" s="8">
        <f t="shared" si="131"/>
        <v>18053</v>
      </c>
      <c r="AL33" s="10">
        <f t="shared" si="131"/>
        <v>17956</v>
      </c>
      <c r="AM33" s="176">
        <f t="shared" ref="AM33:AR33" si="132">SUM(AM31:AM32)</f>
        <v>18817</v>
      </c>
      <c r="AN33" s="8">
        <f t="shared" si="132"/>
        <v>16875</v>
      </c>
      <c r="AO33" s="8">
        <f t="shared" si="132"/>
        <v>18771</v>
      </c>
      <c r="AP33" s="8">
        <f t="shared" si="132"/>
        <v>17750</v>
      </c>
      <c r="AQ33" s="8">
        <f t="shared" si="132"/>
        <v>18226</v>
      </c>
      <c r="AR33" s="8">
        <f t="shared" si="132"/>
        <v>18480</v>
      </c>
      <c r="AS33" s="8">
        <f t="shared" ref="AS33:AX33" si="133">SUM(AS31:AS32)</f>
        <v>17429</v>
      </c>
      <c r="AT33" s="8">
        <f t="shared" si="133"/>
        <v>20025</v>
      </c>
      <c r="AU33" s="8">
        <f t="shared" si="133"/>
        <v>18090</v>
      </c>
      <c r="AV33" s="8">
        <f t="shared" si="133"/>
        <v>18007</v>
      </c>
      <c r="AW33" s="8">
        <f t="shared" si="133"/>
        <v>17022</v>
      </c>
      <c r="AX33" s="10">
        <f t="shared" si="133"/>
        <v>16970</v>
      </c>
      <c r="AY33" s="176">
        <f t="shared" ref="AY33:BJ33" si="134">SUM(AY31:AY32)</f>
        <v>17705</v>
      </c>
      <c r="AZ33" s="8">
        <f t="shared" si="134"/>
        <v>16732</v>
      </c>
      <c r="BA33" s="8">
        <f t="shared" si="134"/>
        <v>19259</v>
      </c>
      <c r="BB33" s="8">
        <f t="shared" si="134"/>
        <v>16482</v>
      </c>
      <c r="BC33" s="8">
        <f t="shared" si="134"/>
        <v>18060</v>
      </c>
      <c r="BD33" s="8">
        <f t="shared" si="134"/>
        <v>17850</v>
      </c>
      <c r="BE33" s="8">
        <f t="shared" si="134"/>
        <v>16063</v>
      </c>
      <c r="BF33" s="8">
        <f t="shared" si="134"/>
        <v>18355</v>
      </c>
      <c r="BG33" s="8">
        <f t="shared" si="134"/>
        <v>15647</v>
      </c>
      <c r="BH33" s="8">
        <f t="shared" si="134"/>
        <v>17264</v>
      </c>
      <c r="BI33" s="8">
        <f t="shared" si="134"/>
        <v>15534</v>
      </c>
      <c r="BJ33" s="10">
        <f t="shared" si="134"/>
        <v>14654</v>
      </c>
      <c r="BK33" s="176">
        <f t="shared" ref="BK33:BP33" si="135">SUM(BK31:BK32)</f>
        <v>16383</v>
      </c>
      <c r="BL33" s="8">
        <f t="shared" si="135"/>
        <v>15384</v>
      </c>
      <c r="BM33" s="8">
        <f t="shared" si="135"/>
        <v>16911</v>
      </c>
      <c r="BN33" s="8">
        <f t="shared" si="135"/>
        <v>15278</v>
      </c>
      <c r="BO33" s="8">
        <f t="shared" si="135"/>
        <v>16747</v>
      </c>
      <c r="BP33" s="8">
        <f t="shared" si="135"/>
        <v>15909</v>
      </c>
      <c r="BQ33" s="8">
        <f t="shared" ref="BQ33:CB33" si="136">SUM(BQ31:BQ32)</f>
        <v>15886</v>
      </c>
      <c r="BR33" s="8">
        <f t="shared" si="136"/>
        <v>17426</v>
      </c>
      <c r="BS33" s="8">
        <f t="shared" si="136"/>
        <v>14257</v>
      </c>
      <c r="BT33" s="8">
        <f t="shared" si="136"/>
        <v>15814</v>
      </c>
      <c r="BU33" s="8">
        <f t="shared" si="136"/>
        <v>15804</v>
      </c>
      <c r="BV33" s="10">
        <f t="shared" si="136"/>
        <v>15746</v>
      </c>
      <c r="BW33" s="176">
        <f t="shared" si="136"/>
        <v>15755</v>
      </c>
      <c r="BX33" s="8">
        <f t="shared" si="136"/>
        <v>15665</v>
      </c>
      <c r="BY33" s="8">
        <f t="shared" si="136"/>
        <v>15625</v>
      </c>
      <c r="BZ33" s="8">
        <f t="shared" si="136"/>
        <v>15615</v>
      </c>
      <c r="CA33" s="8">
        <f t="shared" si="136"/>
        <v>15751</v>
      </c>
      <c r="CB33" s="8">
        <f t="shared" si="136"/>
        <v>15466</v>
      </c>
      <c r="CC33" s="8">
        <f t="shared" ref="CC33:DK33" si="137">SUM(CC31:CC32)</f>
        <v>15280</v>
      </c>
      <c r="CD33" s="8">
        <f t="shared" si="137"/>
        <v>15240</v>
      </c>
      <c r="CE33" s="8">
        <f t="shared" si="137"/>
        <v>15139</v>
      </c>
      <c r="CF33" s="8">
        <f t="shared" si="137"/>
        <v>15036</v>
      </c>
      <c r="CG33" s="8">
        <f t="shared" si="137"/>
        <v>15141</v>
      </c>
      <c r="CH33" s="9">
        <f t="shared" si="137"/>
        <v>15174</v>
      </c>
      <c r="CI33" s="106">
        <f t="shared" si="137"/>
        <v>14856</v>
      </c>
      <c r="CJ33" s="94">
        <f t="shared" si="137"/>
        <v>14774</v>
      </c>
      <c r="CK33" s="94">
        <f t="shared" si="137"/>
        <v>14743</v>
      </c>
      <c r="CL33" s="94">
        <f t="shared" si="137"/>
        <v>14674</v>
      </c>
      <c r="CM33" s="94">
        <f t="shared" si="137"/>
        <v>14610</v>
      </c>
      <c r="CN33" s="94">
        <f t="shared" si="137"/>
        <v>14516</v>
      </c>
      <c r="CO33" s="94">
        <f t="shared" si="137"/>
        <v>14484</v>
      </c>
      <c r="CP33" s="94">
        <f t="shared" si="137"/>
        <v>14432</v>
      </c>
      <c r="CQ33" s="94">
        <f t="shared" si="137"/>
        <v>14444</v>
      </c>
      <c r="CR33" s="94">
        <f t="shared" si="137"/>
        <v>14380</v>
      </c>
      <c r="CS33" s="94">
        <f t="shared" si="137"/>
        <v>14296</v>
      </c>
      <c r="CT33" s="107">
        <f t="shared" si="137"/>
        <v>14259</v>
      </c>
      <c r="CU33" s="95">
        <f t="shared" si="137"/>
        <v>12794</v>
      </c>
      <c r="CV33" s="95">
        <f t="shared" si="137"/>
        <v>14148</v>
      </c>
      <c r="CW33" s="95">
        <f t="shared" si="137"/>
        <v>14062</v>
      </c>
      <c r="CX33" s="95">
        <f t="shared" si="137"/>
        <v>14026</v>
      </c>
      <c r="CY33" s="95">
        <f t="shared" si="137"/>
        <v>13964</v>
      </c>
      <c r="CZ33" s="95">
        <f t="shared" si="137"/>
        <v>13945</v>
      </c>
      <c r="DA33" s="95">
        <f t="shared" si="137"/>
        <v>13893</v>
      </c>
      <c r="DB33" s="95">
        <f t="shared" si="137"/>
        <v>13168</v>
      </c>
      <c r="DC33" s="95">
        <f t="shared" si="137"/>
        <v>13827</v>
      </c>
      <c r="DD33" s="95">
        <f t="shared" si="137"/>
        <v>13138</v>
      </c>
      <c r="DE33" s="95">
        <f t="shared" si="137"/>
        <v>13112</v>
      </c>
      <c r="DF33" s="107">
        <f t="shared" si="137"/>
        <v>13597</v>
      </c>
      <c r="DG33" s="95">
        <f t="shared" si="137"/>
        <v>12268</v>
      </c>
      <c r="DH33" s="95">
        <f t="shared" si="137"/>
        <v>13598</v>
      </c>
      <c r="DI33" s="95">
        <f t="shared" si="137"/>
        <v>13580</v>
      </c>
      <c r="DJ33" s="95">
        <f t="shared" si="137"/>
        <v>12844</v>
      </c>
      <c r="DK33" s="95">
        <f t="shared" si="137"/>
        <v>12127</v>
      </c>
      <c r="DL33" s="95">
        <f t="shared" ref="DL33:DR33" si="138">SUM(DL31:DL32)</f>
        <v>13520</v>
      </c>
      <c r="DM33" s="95">
        <f t="shared" si="138"/>
        <v>12741</v>
      </c>
      <c r="DN33" s="95">
        <f t="shared" si="138"/>
        <v>13431</v>
      </c>
      <c r="DO33" s="95">
        <f t="shared" si="138"/>
        <v>12684</v>
      </c>
      <c r="DP33" s="95">
        <f t="shared" si="138"/>
        <v>12618</v>
      </c>
      <c r="DQ33" s="95">
        <f t="shared" si="138"/>
        <v>13411</v>
      </c>
      <c r="DR33" s="95">
        <f t="shared" si="138"/>
        <v>11860</v>
      </c>
      <c r="DS33" s="95">
        <f t="shared" ref="DS33:FK33" si="139">SUM(DS31:DS32)</f>
        <v>11560</v>
      </c>
      <c r="DT33" s="95">
        <f t="shared" si="139"/>
        <v>12579</v>
      </c>
      <c r="DU33" s="95">
        <f t="shared" si="139"/>
        <v>13154</v>
      </c>
      <c r="DV33" s="355">
        <f t="shared" si="139"/>
        <v>13080</v>
      </c>
      <c r="DW33" s="355">
        <f t="shared" si="139"/>
        <v>13071</v>
      </c>
      <c r="DX33" s="355">
        <f t="shared" si="139"/>
        <v>12987</v>
      </c>
      <c r="DY33" s="355">
        <f t="shared" si="139"/>
        <v>13029</v>
      </c>
      <c r="DZ33" s="355">
        <f t="shared" si="139"/>
        <v>13006</v>
      </c>
      <c r="EA33" s="355">
        <f t="shared" si="139"/>
        <v>12966</v>
      </c>
      <c r="EB33" s="355">
        <f t="shared" si="139"/>
        <v>12916</v>
      </c>
      <c r="EC33" s="355">
        <f t="shared" si="139"/>
        <v>12911</v>
      </c>
      <c r="ED33" s="355">
        <f t="shared" si="139"/>
        <v>12862</v>
      </c>
      <c r="EE33" s="355">
        <f t="shared" si="139"/>
        <v>12885</v>
      </c>
      <c r="EF33" s="355">
        <f t="shared" si="139"/>
        <v>12766</v>
      </c>
      <c r="EG33" s="355">
        <f t="shared" si="139"/>
        <v>12767</v>
      </c>
      <c r="EH33" s="355">
        <f t="shared" si="139"/>
        <v>12765</v>
      </c>
      <c r="EI33" s="355">
        <f t="shared" si="139"/>
        <v>12732</v>
      </c>
      <c r="EJ33" s="355">
        <f t="shared" si="139"/>
        <v>12688</v>
      </c>
      <c r="EK33" s="355">
        <f t="shared" si="139"/>
        <v>12601</v>
      </c>
      <c r="EL33" s="355">
        <f t="shared" si="139"/>
        <v>12587</v>
      </c>
      <c r="EM33" s="355">
        <f t="shared" si="139"/>
        <v>12556</v>
      </c>
      <c r="EN33" s="355">
        <f t="shared" si="139"/>
        <v>12643</v>
      </c>
      <c r="EO33" s="355">
        <f t="shared" si="139"/>
        <v>12496</v>
      </c>
      <c r="EP33" s="355">
        <f t="shared" si="139"/>
        <v>12418</v>
      </c>
      <c r="EQ33" s="355">
        <f t="shared" si="139"/>
        <v>11850</v>
      </c>
      <c r="ER33" s="355">
        <f t="shared" si="139"/>
        <v>11961</v>
      </c>
      <c r="ES33" s="355">
        <f t="shared" si="139"/>
        <v>11709</v>
      </c>
      <c r="ET33" s="355">
        <f t="shared" si="139"/>
        <v>12353</v>
      </c>
      <c r="EU33" s="355">
        <f t="shared" si="139"/>
        <v>12340</v>
      </c>
      <c r="EV33" s="355">
        <f t="shared" si="139"/>
        <v>12345</v>
      </c>
      <c r="EW33" s="355">
        <f t="shared" si="139"/>
        <v>12242</v>
      </c>
      <c r="EX33" s="355">
        <f t="shared" si="139"/>
        <v>12233</v>
      </c>
      <c r="EY33" s="355">
        <f t="shared" si="139"/>
        <v>12140</v>
      </c>
      <c r="EZ33" s="355">
        <f t="shared" si="139"/>
        <v>12176</v>
      </c>
      <c r="FA33" s="355">
        <f t="shared" si="139"/>
        <v>12143</v>
      </c>
      <c r="FB33" s="355">
        <f t="shared" si="139"/>
        <v>12105</v>
      </c>
      <c r="FC33" s="355">
        <f t="shared" si="139"/>
        <v>12064</v>
      </c>
      <c r="FD33" s="355">
        <f t="shared" si="139"/>
        <v>12051</v>
      </c>
      <c r="FE33" s="355">
        <f t="shared" si="139"/>
        <v>11993</v>
      </c>
      <c r="FF33" s="355">
        <f t="shared" si="139"/>
        <v>12037</v>
      </c>
      <c r="FG33" s="355">
        <f t="shared" si="139"/>
        <v>12028</v>
      </c>
      <c r="FH33" s="355">
        <f t="shared" si="139"/>
        <v>11985</v>
      </c>
      <c r="FI33" s="355">
        <f t="shared" si="139"/>
        <v>11964</v>
      </c>
      <c r="FJ33" s="355">
        <f t="shared" si="139"/>
        <v>11918</v>
      </c>
      <c r="FK33" s="355">
        <f t="shared" si="139"/>
        <v>11885</v>
      </c>
      <c r="FL33" s="355">
        <f t="shared" ref="FL33:FQ33" si="140">SUM(FL31:FL32)</f>
        <v>11900</v>
      </c>
      <c r="FM33" s="355">
        <f t="shared" si="140"/>
        <v>11921</v>
      </c>
      <c r="FN33" s="355">
        <f t="shared" si="140"/>
        <v>11864</v>
      </c>
      <c r="FO33" s="355">
        <f t="shared" si="140"/>
        <v>11862</v>
      </c>
      <c r="FP33" s="355">
        <f t="shared" si="140"/>
        <v>11792</v>
      </c>
      <c r="FQ33" s="355">
        <f t="shared" si="140"/>
        <v>11808</v>
      </c>
      <c r="FR33" s="355">
        <f t="shared" ref="FR33:FT33" si="141">SUM(FR31:FR32)</f>
        <v>11780</v>
      </c>
      <c r="FS33" s="355">
        <f t="shared" si="141"/>
        <v>11829</v>
      </c>
      <c r="FT33" s="355">
        <f t="shared" si="141"/>
        <v>11783</v>
      </c>
    </row>
    <row r="34" spans="2:182" ht="12.75" customHeight="1" x14ac:dyDescent="0.25">
      <c r="B34" s="3" t="s">
        <v>10</v>
      </c>
      <c r="C34" s="177">
        <f t="shared" ref="C34:Q34" si="142">SUM(C31)/C33</f>
        <v>0.98965231788079466</v>
      </c>
      <c r="D34" s="14">
        <f t="shared" si="142"/>
        <v>0.98503406878650224</v>
      </c>
      <c r="E34" s="14">
        <f t="shared" si="142"/>
        <v>0.97837925053446817</v>
      </c>
      <c r="F34" s="14">
        <f t="shared" si="142"/>
        <v>0.97637571926412192</v>
      </c>
      <c r="G34" s="14">
        <f t="shared" si="142"/>
        <v>0.97414387031408312</v>
      </c>
      <c r="H34" s="14">
        <f t="shared" si="142"/>
        <v>0.97339713694797037</v>
      </c>
      <c r="I34" s="14">
        <f t="shared" si="142"/>
        <v>0.97046822607360728</v>
      </c>
      <c r="J34" s="14">
        <f t="shared" si="142"/>
        <v>0.96428859006361223</v>
      </c>
      <c r="K34" s="14">
        <f t="shared" si="142"/>
        <v>0.96198487483317829</v>
      </c>
      <c r="L34" s="14">
        <f t="shared" si="142"/>
        <v>0.89808917197452232</v>
      </c>
      <c r="M34" s="14">
        <f t="shared" si="142"/>
        <v>0.88713318284424381</v>
      </c>
      <c r="N34" s="23">
        <f t="shared" si="142"/>
        <v>0.86633663366336633</v>
      </c>
      <c r="O34" s="177">
        <f t="shared" si="142"/>
        <v>0.94940500283331986</v>
      </c>
      <c r="P34" s="14">
        <f t="shared" si="142"/>
        <v>0.94716618635926997</v>
      </c>
      <c r="Q34" s="14">
        <f t="shared" si="142"/>
        <v>0.94267378757860276</v>
      </c>
      <c r="R34" s="14">
        <f t="shared" ref="R34:W34" si="143">SUM(R31)/R33</f>
        <v>0.942210837096214</v>
      </c>
      <c r="S34" s="14">
        <f t="shared" si="143"/>
        <v>0.93906982860649635</v>
      </c>
      <c r="T34" s="14">
        <f t="shared" si="143"/>
        <v>0.93636242859040786</v>
      </c>
      <c r="U34" s="14">
        <f t="shared" si="143"/>
        <v>0.93451410927180723</v>
      </c>
      <c r="V34" s="14">
        <f t="shared" si="143"/>
        <v>0.9302137232845894</v>
      </c>
      <c r="W34" s="14">
        <f t="shared" si="143"/>
        <v>0.92503165129318143</v>
      </c>
      <c r="X34" s="14">
        <f t="shared" ref="X34:AC34" si="144">SUM(X31)/X33</f>
        <v>0.92115961072557795</v>
      </c>
      <c r="Y34" s="14">
        <f t="shared" si="144"/>
        <v>0.92237963415296098</v>
      </c>
      <c r="Z34" s="23">
        <f t="shared" si="144"/>
        <v>0.91520817980840086</v>
      </c>
      <c r="AA34" s="177">
        <f t="shared" si="144"/>
        <v>0.91240636704119848</v>
      </c>
      <c r="AB34" s="14">
        <f t="shared" si="144"/>
        <v>0.90712349026374173</v>
      </c>
      <c r="AC34" s="14">
        <f t="shared" si="144"/>
        <v>0.90717778553964368</v>
      </c>
      <c r="AD34" s="14">
        <f t="shared" ref="AD34:AI34" si="145">SUM(AD31)/AD33</f>
        <v>0.90358766554655068</v>
      </c>
      <c r="AE34" s="14">
        <f t="shared" si="145"/>
        <v>0.90122226302260922</v>
      </c>
      <c r="AF34" s="14">
        <f t="shared" si="145"/>
        <v>0.89804616416052108</v>
      </c>
      <c r="AG34" s="14">
        <f t="shared" si="145"/>
        <v>0.89369332445309702</v>
      </c>
      <c r="AH34" s="14">
        <f t="shared" si="145"/>
        <v>0.88521269412559078</v>
      </c>
      <c r="AI34" s="14">
        <f t="shared" si="145"/>
        <v>0.8846791748730175</v>
      </c>
      <c r="AJ34" s="14">
        <f t="shared" ref="AJ34:AO34" si="146">SUM(AJ31)/AJ33</f>
        <v>0.87163680058513138</v>
      </c>
      <c r="AK34" s="14">
        <f t="shared" si="146"/>
        <v>0.86799977843017784</v>
      </c>
      <c r="AL34" s="23">
        <f t="shared" si="146"/>
        <v>0.86082646469146806</v>
      </c>
      <c r="AM34" s="177">
        <f t="shared" si="146"/>
        <v>0.85635329755008771</v>
      </c>
      <c r="AN34" s="14">
        <f t="shared" si="146"/>
        <v>0.85143703703703699</v>
      </c>
      <c r="AO34" s="14">
        <f t="shared" si="146"/>
        <v>0.846731660540195</v>
      </c>
      <c r="AP34" s="14">
        <f t="shared" ref="AP34:AU34" si="147">SUM(AP31)/AP33</f>
        <v>0.84298591549295776</v>
      </c>
      <c r="AQ34" s="14">
        <f t="shared" si="147"/>
        <v>0.8402831120377483</v>
      </c>
      <c r="AR34" s="14">
        <f t="shared" si="147"/>
        <v>0.83701298701298699</v>
      </c>
      <c r="AS34" s="14">
        <f t="shared" si="147"/>
        <v>0.82850421710941535</v>
      </c>
      <c r="AT34" s="14">
        <f t="shared" si="147"/>
        <v>0.821772784019975</v>
      </c>
      <c r="AU34" s="14">
        <f t="shared" si="147"/>
        <v>0.81713653952459919</v>
      </c>
      <c r="AV34" s="14">
        <f t="shared" ref="AV34:BJ34" si="148">SUM(AV31)/AV33</f>
        <v>0.81001832620647529</v>
      </c>
      <c r="AW34" s="14">
        <f t="shared" si="148"/>
        <v>0.80736693690518158</v>
      </c>
      <c r="AX34" s="23">
        <f t="shared" si="148"/>
        <v>0.80058927519151446</v>
      </c>
      <c r="AY34" s="177">
        <f t="shared" si="148"/>
        <v>0.79768426998023156</v>
      </c>
      <c r="AZ34" s="14">
        <f t="shared" si="148"/>
        <v>0.79237389433420991</v>
      </c>
      <c r="BA34" s="14">
        <f t="shared" si="148"/>
        <v>0.78820291811620546</v>
      </c>
      <c r="BB34" s="14">
        <f t="shared" si="148"/>
        <v>0.77994175464142701</v>
      </c>
      <c r="BC34" s="14">
        <f t="shared" si="148"/>
        <v>0.77142857142857146</v>
      </c>
      <c r="BD34" s="14">
        <f t="shared" si="148"/>
        <v>0.75848739495798323</v>
      </c>
      <c r="BE34" s="14">
        <f t="shared" si="148"/>
        <v>0.75664570752661398</v>
      </c>
      <c r="BF34" s="14">
        <f t="shared" si="148"/>
        <v>0.74165077635521659</v>
      </c>
      <c r="BG34" s="14">
        <f t="shared" si="148"/>
        <v>0.7328561385569119</v>
      </c>
      <c r="BH34" s="14">
        <f t="shared" si="148"/>
        <v>0.72729379054680254</v>
      </c>
      <c r="BI34" s="14">
        <f t="shared" si="148"/>
        <v>0.71816660229174711</v>
      </c>
      <c r="BJ34" s="23">
        <f t="shared" si="148"/>
        <v>0.71721031800191071</v>
      </c>
      <c r="BK34" s="177">
        <f t="shared" ref="BK34:BP34" si="149">SUM(BK31)/BK33</f>
        <v>0.71262894463773419</v>
      </c>
      <c r="BL34" s="14">
        <f t="shared" si="149"/>
        <v>0.70404316172646908</v>
      </c>
      <c r="BM34" s="14">
        <f t="shared" si="149"/>
        <v>0.70250133049494412</v>
      </c>
      <c r="BN34" s="14">
        <f t="shared" si="149"/>
        <v>0.69459353318497186</v>
      </c>
      <c r="BO34" s="14">
        <f t="shared" si="149"/>
        <v>0.6913477040664</v>
      </c>
      <c r="BP34" s="14">
        <f t="shared" si="149"/>
        <v>0.68514677226727005</v>
      </c>
      <c r="BQ34" s="14">
        <f t="shared" ref="BQ34:CB34" si="150">SUM(BQ31)/BQ33</f>
        <v>0.67820722648873222</v>
      </c>
      <c r="BR34" s="14">
        <f t="shared" si="150"/>
        <v>0.67204177665557219</v>
      </c>
      <c r="BS34" s="14">
        <f t="shared" si="150"/>
        <v>0.67349372238198779</v>
      </c>
      <c r="BT34" s="14">
        <f t="shared" si="150"/>
        <v>0.66637156949538379</v>
      </c>
      <c r="BU34" s="14">
        <f t="shared" si="150"/>
        <v>0.66147810680840291</v>
      </c>
      <c r="BV34" s="23">
        <f t="shared" si="150"/>
        <v>0.65877048139209959</v>
      </c>
      <c r="BW34" s="177">
        <f t="shared" si="150"/>
        <v>0.65591875595049187</v>
      </c>
      <c r="BX34" s="14">
        <f t="shared" si="150"/>
        <v>0.65406958187041175</v>
      </c>
      <c r="BY34" s="14">
        <f t="shared" si="150"/>
        <v>0.65267200000000003</v>
      </c>
      <c r="BZ34" s="14">
        <f t="shared" si="150"/>
        <v>0.64956772334293944</v>
      </c>
      <c r="CA34" s="14">
        <f t="shared" si="150"/>
        <v>0.64707002729985397</v>
      </c>
      <c r="CB34" s="14">
        <f t="shared" si="150"/>
        <v>0.63726884779516357</v>
      </c>
      <c r="CC34" s="14">
        <f t="shared" ref="CC34:DK34" si="151">SUM(CC31)/CC33</f>
        <v>0.63350785340314131</v>
      </c>
      <c r="CD34" s="14">
        <f t="shared" si="151"/>
        <v>0.62821522309711286</v>
      </c>
      <c r="CE34" s="14">
        <f t="shared" si="151"/>
        <v>0.62659356628575202</v>
      </c>
      <c r="CF34" s="14">
        <f t="shared" si="151"/>
        <v>0.62443469007714814</v>
      </c>
      <c r="CG34" s="14">
        <f t="shared" si="151"/>
        <v>0.6144904563767255</v>
      </c>
      <c r="CH34" s="23">
        <f t="shared" si="151"/>
        <v>0.60854092526690395</v>
      </c>
      <c r="CI34" s="239">
        <f t="shared" si="151"/>
        <v>0.61806677436725899</v>
      </c>
      <c r="CJ34" s="240">
        <f t="shared" si="151"/>
        <v>0.61364559361039661</v>
      </c>
      <c r="CK34" s="240">
        <f t="shared" si="151"/>
        <v>0.61222274977955637</v>
      </c>
      <c r="CL34" s="240">
        <f t="shared" si="151"/>
        <v>0.61217118713370589</v>
      </c>
      <c r="CM34" s="240">
        <f t="shared" si="151"/>
        <v>0.61060917180013685</v>
      </c>
      <c r="CN34" s="240">
        <f t="shared" si="151"/>
        <v>0.60960319647285754</v>
      </c>
      <c r="CO34" s="240">
        <f t="shared" si="151"/>
        <v>0.60604805302402653</v>
      </c>
      <c r="CP34" s="240">
        <f t="shared" si="151"/>
        <v>0.60248059866962311</v>
      </c>
      <c r="CQ34" s="240">
        <f t="shared" si="151"/>
        <v>0.59768762115757412</v>
      </c>
      <c r="CR34" s="240">
        <f t="shared" si="151"/>
        <v>0.59360222531293461</v>
      </c>
      <c r="CS34" s="240">
        <f t="shared" si="151"/>
        <v>0.5891857862339116</v>
      </c>
      <c r="CT34" s="241">
        <f t="shared" si="151"/>
        <v>0.58496388246020059</v>
      </c>
      <c r="CU34" s="240">
        <f t="shared" si="151"/>
        <v>0.58019384086290449</v>
      </c>
      <c r="CV34" s="240">
        <f t="shared" si="151"/>
        <v>0.57852700028272552</v>
      </c>
      <c r="CW34" s="240">
        <f t="shared" si="151"/>
        <v>0.5741715260987057</v>
      </c>
      <c r="CX34" s="240">
        <f t="shared" si="151"/>
        <v>0.57122486810209616</v>
      </c>
      <c r="CY34" s="240">
        <f t="shared" si="151"/>
        <v>0.56831853337152682</v>
      </c>
      <c r="CZ34" s="240">
        <f t="shared" si="151"/>
        <v>0.56514879885263536</v>
      </c>
      <c r="DA34" s="240">
        <f t="shared" si="151"/>
        <v>0.56064204995321387</v>
      </c>
      <c r="DB34" s="240">
        <f t="shared" si="151"/>
        <v>0.55642466585662209</v>
      </c>
      <c r="DC34" s="240">
        <f t="shared" si="151"/>
        <v>0.55666449699862586</v>
      </c>
      <c r="DD34" s="240">
        <f t="shared" si="151"/>
        <v>0.55198660374486219</v>
      </c>
      <c r="DE34" s="240">
        <f t="shared" si="151"/>
        <v>0.5436241610738255</v>
      </c>
      <c r="DF34" s="241">
        <f t="shared" si="151"/>
        <v>0.53967787011840851</v>
      </c>
      <c r="DG34" s="240">
        <f t="shared" si="151"/>
        <v>0.53342028040430389</v>
      </c>
      <c r="DH34" s="240">
        <f t="shared" si="151"/>
        <v>0.5296367112810707</v>
      </c>
      <c r="DI34" s="240">
        <f t="shared" si="151"/>
        <v>0.52628865979381445</v>
      </c>
      <c r="DJ34" s="240">
        <f t="shared" si="151"/>
        <v>0.52071005917159763</v>
      </c>
      <c r="DK34" s="240">
        <f t="shared" si="151"/>
        <v>0.51364723344602947</v>
      </c>
      <c r="DL34" s="240">
        <f t="shared" ref="DL34:DR34" si="152">SUM(DL31)/DL33</f>
        <v>0.5151627218934911</v>
      </c>
      <c r="DM34" s="240">
        <f t="shared" si="152"/>
        <v>0.51094890510948909</v>
      </c>
      <c r="DN34" s="240">
        <f t="shared" si="152"/>
        <v>0.50599359690268786</v>
      </c>
      <c r="DO34" s="240">
        <f t="shared" si="152"/>
        <v>0.50394197414064967</v>
      </c>
      <c r="DP34" s="240">
        <f t="shared" si="152"/>
        <v>0.49786019971469331</v>
      </c>
      <c r="DQ34" s="240">
        <f t="shared" si="152"/>
        <v>0.48855417194840056</v>
      </c>
      <c r="DR34" s="240">
        <f t="shared" si="152"/>
        <v>0.48827993254637436</v>
      </c>
      <c r="DS34" s="240">
        <f t="shared" ref="DS34:FK34" si="153">SUM(DS31)/DS33</f>
        <v>0.48754325259515569</v>
      </c>
      <c r="DT34" s="240">
        <f t="shared" si="153"/>
        <v>0.49081803005008345</v>
      </c>
      <c r="DU34" s="240">
        <f t="shared" si="153"/>
        <v>0.48563174699711115</v>
      </c>
      <c r="DV34" s="356">
        <f t="shared" si="153"/>
        <v>0.48386850152905198</v>
      </c>
      <c r="DW34" s="356">
        <f t="shared" si="153"/>
        <v>0.47984086909953333</v>
      </c>
      <c r="DX34" s="356">
        <f t="shared" si="153"/>
        <v>0.4797104797104797</v>
      </c>
      <c r="DY34" s="356">
        <f t="shared" si="153"/>
        <v>0.47639880267096479</v>
      </c>
      <c r="DZ34" s="356">
        <f t="shared" si="153"/>
        <v>0.47516530831923726</v>
      </c>
      <c r="EA34" s="356">
        <f t="shared" si="153"/>
        <v>0.4705383310195897</v>
      </c>
      <c r="EB34" s="356">
        <f t="shared" si="153"/>
        <v>0.46879838959430165</v>
      </c>
      <c r="EC34" s="356">
        <f t="shared" si="153"/>
        <v>0.46410037952133837</v>
      </c>
      <c r="ED34" s="356">
        <f t="shared" si="153"/>
        <v>0.46182553257658215</v>
      </c>
      <c r="EE34" s="356">
        <f t="shared" si="153"/>
        <v>0.45882809468374081</v>
      </c>
      <c r="EF34" s="356">
        <f t="shared" si="153"/>
        <v>0.45527181576061415</v>
      </c>
      <c r="EG34" s="356">
        <f t="shared" si="153"/>
        <v>0.45139813581890814</v>
      </c>
      <c r="EH34" s="356">
        <f t="shared" si="153"/>
        <v>0.44559341950646297</v>
      </c>
      <c r="EI34" s="356">
        <f t="shared" si="153"/>
        <v>0.44140747722274581</v>
      </c>
      <c r="EJ34" s="356">
        <f t="shared" si="153"/>
        <v>0.43868221941992436</v>
      </c>
      <c r="EK34" s="356">
        <f t="shared" si="153"/>
        <v>0.43774303626696293</v>
      </c>
      <c r="EL34" s="356">
        <f t="shared" si="153"/>
        <v>0.43616429649638516</v>
      </c>
      <c r="EM34" s="356">
        <f t="shared" si="153"/>
        <v>0.4315068493150685</v>
      </c>
      <c r="EN34" s="356">
        <f t="shared" si="153"/>
        <v>0.42695562762002687</v>
      </c>
      <c r="EO34" s="356">
        <f t="shared" si="153"/>
        <v>0.42845710627400768</v>
      </c>
      <c r="EP34" s="356">
        <f t="shared" si="153"/>
        <v>0.42486712836205509</v>
      </c>
      <c r="EQ34" s="356">
        <f t="shared" si="153"/>
        <v>0.42042194092827007</v>
      </c>
      <c r="ER34" s="356">
        <f t="shared" si="153"/>
        <v>0.42663656884875845</v>
      </c>
      <c r="ES34" s="356">
        <f t="shared" si="153"/>
        <v>0.41831070117004016</v>
      </c>
      <c r="ET34" s="356">
        <f t="shared" si="153"/>
        <v>0.41512183275317738</v>
      </c>
      <c r="EU34" s="356">
        <f t="shared" si="153"/>
        <v>0.41256077795786061</v>
      </c>
      <c r="EV34" s="356">
        <f t="shared" si="153"/>
        <v>0.40996354799513973</v>
      </c>
      <c r="EW34" s="356">
        <f t="shared" si="153"/>
        <v>0.41006371507923539</v>
      </c>
      <c r="EX34" s="356">
        <f t="shared" si="153"/>
        <v>0.40693206899370554</v>
      </c>
      <c r="EY34" s="356">
        <f t="shared" si="153"/>
        <v>0.40675453047775945</v>
      </c>
      <c r="EZ34" s="356">
        <f t="shared" si="153"/>
        <v>0.40374507227332457</v>
      </c>
      <c r="FA34" s="356">
        <f t="shared" si="153"/>
        <v>0.40278349666474511</v>
      </c>
      <c r="FB34" s="356">
        <f t="shared" si="153"/>
        <v>0.39991738950846756</v>
      </c>
      <c r="FC34" s="356">
        <f t="shared" si="153"/>
        <v>0.39937002652519893</v>
      </c>
      <c r="FD34" s="356">
        <f t="shared" si="153"/>
        <v>0.39863911708571903</v>
      </c>
      <c r="FE34" s="356">
        <f t="shared" si="153"/>
        <v>0.39631451680146751</v>
      </c>
      <c r="FF34" s="356">
        <f t="shared" si="153"/>
        <v>0.39229043781673173</v>
      </c>
      <c r="FG34" s="356">
        <f t="shared" si="153"/>
        <v>0.39158629863651478</v>
      </c>
      <c r="FH34" s="356">
        <f t="shared" si="153"/>
        <v>0.39007092198581561</v>
      </c>
      <c r="FI34" s="356">
        <f t="shared" si="153"/>
        <v>0.38891675025075223</v>
      </c>
      <c r="FJ34" s="356">
        <f t="shared" si="153"/>
        <v>0.38630642725289477</v>
      </c>
      <c r="FK34" s="356">
        <f t="shared" si="153"/>
        <v>0.38157341186369376</v>
      </c>
      <c r="FL34" s="356">
        <f t="shared" ref="FL34:FQ34" si="154">SUM(FL31)/FL33</f>
        <v>0.38058823529411767</v>
      </c>
      <c r="FM34" s="356">
        <f t="shared" si="154"/>
        <v>0.37463300058719906</v>
      </c>
      <c r="FN34" s="356">
        <f t="shared" si="154"/>
        <v>0.3731456507080243</v>
      </c>
      <c r="FO34" s="356">
        <f t="shared" si="154"/>
        <v>0.37084808632608329</v>
      </c>
      <c r="FP34" s="356">
        <f t="shared" si="154"/>
        <v>0.36728290366350069</v>
      </c>
      <c r="FQ34" s="356">
        <f t="shared" si="154"/>
        <v>0.36576897018970189</v>
      </c>
      <c r="FR34" s="356">
        <f t="shared" ref="FR34:FT34" si="155">SUM(FR31)/FR33</f>
        <v>0.36171477079796266</v>
      </c>
      <c r="FS34" s="356">
        <f t="shared" si="155"/>
        <v>0.35784935328430129</v>
      </c>
      <c r="FT34" s="356">
        <f t="shared" si="155"/>
        <v>0.35687006704574387</v>
      </c>
    </row>
    <row r="35" spans="2:182" ht="12.75" customHeight="1" thickBot="1" x14ac:dyDescent="0.3">
      <c r="B35" s="4" t="s">
        <v>11</v>
      </c>
      <c r="C35" s="178">
        <f t="shared" ref="C35:Q35" si="156">SUM(C32/C33)</f>
        <v>1.0347682119205299E-2</v>
      </c>
      <c r="D35" s="15">
        <f t="shared" si="156"/>
        <v>1.4965931213497728E-2</v>
      </c>
      <c r="E35" s="15">
        <f t="shared" si="156"/>
        <v>2.1620749465531847E-2</v>
      </c>
      <c r="F35" s="15">
        <f t="shared" si="156"/>
        <v>2.3624280735878109E-2</v>
      </c>
      <c r="G35" s="15">
        <f t="shared" si="156"/>
        <v>2.5856129685916919E-2</v>
      </c>
      <c r="H35" s="15">
        <f t="shared" si="156"/>
        <v>2.6602863052029684E-2</v>
      </c>
      <c r="I35" s="15">
        <f t="shared" si="156"/>
        <v>2.9531773926392762E-2</v>
      </c>
      <c r="J35" s="15">
        <f t="shared" si="156"/>
        <v>3.5711409936387793E-2</v>
      </c>
      <c r="K35" s="15">
        <f t="shared" si="156"/>
        <v>3.8015125166821692E-2</v>
      </c>
      <c r="L35" s="15">
        <f t="shared" si="156"/>
        <v>0.10191082802547771</v>
      </c>
      <c r="M35" s="15">
        <f t="shared" si="156"/>
        <v>0.11286681715575621</v>
      </c>
      <c r="N35" s="24">
        <f t="shared" si="156"/>
        <v>0.13366336633663367</v>
      </c>
      <c r="O35" s="178">
        <f t="shared" si="156"/>
        <v>5.0594997166680158E-2</v>
      </c>
      <c r="P35" s="15">
        <f t="shared" si="156"/>
        <v>5.2833813640730067E-2</v>
      </c>
      <c r="Q35" s="15">
        <f t="shared" si="156"/>
        <v>5.7326212421397189E-2</v>
      </c>
      <c r="R35" s="15">
        <f t="shared" ref="R35:W35" si="157">SUM(R32/R33)</f>
        <v>5.7789162903786037E-2</v>
      </c>
      <c r="S35" s="15">
        <f t="shared" si="157"/>
        <v>6.0930171393503707E-2</v>
      </c>
      <c r="T35" s="15">
        <f t="shared" si="157"/>
        <v>6.3637571409592142E-2</v>
      </c>
      <c r="U35" s="15">
        <f t="shared" si="157"/>
        <v>6.5485890728192817E-2</v>
      </c>
      <c r="V35" s="15">
        <f t="shared" si="157"/>
        <v>6.9786276715410572E-2</v>
      </c>
      <c r="W35" s="15">
        <f t="shared" si="157"/>
        <v>7.4968348706818594E-2</v>
      </c>
      <c r="X35" s="15">
        <f t="shared" ref="X35:AC35" si="158">SUM(X32/X33)</f>
        <v>7.8840389274422037E-2</v>
      </c>
      <c r="Y35" s="15">
        <f t="shared" si="158"/>
        <v>7.7620365847039033E-2</v>
      </c>
      <c r="Z35" s="24">
        <f t="shared" si="158"/>
        <v>8.4791820191599115E-2</v>
      </c>
      <c r="AA35" s="178">
        <f t="shared" si="158"/>
        <v>8.7593632958801501E-2</v>
      </c>
      <c r="AB35" s="15">
        <f t="shared" si="158"/>
        <v>9.2876509736258314E-2</v>
      </c>
      <c r="AC35" s="15">
        <f t="shared" si="158"/>
        <v>9.2822214460356267E-2</v>
      </c>
      <c r="AD35" s="15">
        <f t="shared" ref="AD35:AI35" si="159">SUM(AD32/AD33)</f>
        <v>9.6412334453449294E-2</v>
      </c>
      <c r="AE35" s="15">
        <f t="shared" si="159"/>
        <v>9.8777736977390757E-2</v>
      </c>
      <c r="AF35" s="15">
        <f t="shared" si="159"/>
        <v>0.10195383583947898</v>
      </c>
      <c r="AG35" s="15">
        <f t="shared" si="159"/>
        <v>0.10630667554690301</v>
      </c>
      <c r="AH35" s="15">
        <f t="shared" si="159"/>
        <v>0.11478730587440918</v>
      </c>
      <c r="AI35" s="15">
        <f t="shared" si="159"/>
        <v>0.11532082512698248</v>
      </c>
      <c r="AJ35" s="15">
        <f t="shared" ref="AJ35:AO35" si="160">SUM(AJ32/AJ33)</f>
        <v>0.1283631994148686</v>
      </c>
      <c r="AK35" s="15">
        <f t="shared" si="160"/>
        <v>0.13200022156982219</v>
      </c>
      <c r="AL35" s="24">
        <f t="shared" si="160"/>
        <v>0.13917353530853196</v>
      </c>
      <c r="AM35" s="178">
        <f t="shared" si="160"/>
        <v>0.14364670244991232</v>
      </c>
      <c r="AN35" s="15">
        <f t="shared" si="160"/>
        <v>0.14856296296296295</v>
      </c>
      <c r="AO35" s="15">
        <f t="shared" si="160"/>
        <v>0.15326833945980503</v>
      </c>
      <c r="AP35" s="15">
        <f t="shared" ref="AP35:AU35" si="161">SUM(AP32/AP33)</f>
        <v>0.15701408450704224</v>
      </c>
      <c r="AQ35" s="15">
        <f t="shared" si="161"/>
        <v>0.15971688796225172</v>
      </c>
      <c r="AR35" s="15">
        <f t="shared" si="161"/>
        <v>0.16298701298701299</v>
      </c>
      <c r="AS35" s="15">
        <f t="shared" si="161"/>
        <v>0.17149578289058465</v>
      </c>
      <c r="AT35" s="15">
        <f t="shared" si="161"/>
        <v>0.17822721598002497</v>
      </c>
      <c r="AU35" s="15">
        <f t="shared" si="161"/>
        <v>0.18286346047540078</v>
      </c>
      <c r="AV35" s="15">
        <f>SUM(AV32/AV33)</f>
        <v>0.18998167379352474</v>
      </c>
      <c r="AW35" s="15">
        <f>SUM(AW32/AW33)</f>
        <v>0.19263306309481848</v>
      </c>
      <c r="AX35" s="24">
        <f>SUM(AX32/AX33)</f>
        <v>0.19941072480848557</v>
      </c>
      <c r="AY35" s="178">
        <f t="shared" ref="AY35:BG35" si="162">SUM(AY32/AY33)</f>
        <v>0.20231573001976844</v>
      </c>
      <c r="AZ35" s="15">
        <f t="shared" si="162"/>
        <v>0.20762610566579009</v>
      </c>
      <c r="BA35" s="15">
        <f t="shared" si="162"/>
        <v>0.21179708188379459</v>
      </c>
      <c r="BB35" s="15">
        <f t="shared" si="162"/>
        <v>0.22005824535857299</v>
      </c>
      <c r="BC35" s="15">
        <f t="shared" si="162"/>
        <v>0.22857142857142856</v>
      </c>
      <c r="BD35" s="15">
        <f t="shared" si="162"/>
        <v>0.2415126050420168</v>
      </c>
      <c r="BE35" s="15">
        <f t="shared" si="162"/>
        <v>0.24335429247338605</v>
      </c>
      <c r="BF35" s="15">
        <f t="shared" si="162"/>
        <v>0.25834922364478341</v>
      </c>
      <c r="BG35" s="15">
        <f t="shared" si="162"/>
        <v>0.2671438614430881</v>
      </c>
      <c r="BH35" s="15">
        <f t="shared" ref="BH35:BM35" si="163">SUM(BH32/BH33)</f>
        <v>0.2727062094531974</v>
      </c>
      <c r="BI35" s="15">
        <f t="shared" si="163"/>
        <v>0.28183339770825289</v>
      </c>
      <c r="BJ35" s="24">
        <f t="shared" si="163"/>
        <v>0.28278968199808924</v>
      </c>
      <c r="BK35" s="178">
        <f t="shared" si="163"/>
        <v>0.28737105536226576</v>
      </c>
      <c r="BL35" s="15">
        <f t="shared" si="163"/>
        <v>0.29595683827353092</v>
      </c>
      <c r="BM35" s="15">
        <f t="shared" si="163"/>
        <v>0.29749866950505588</v>
      </c>
      <c r="BN35" s="15">
        <f t="shared" ref="BN35:BS35" si="164">SUM(BN32/BN33)</f>
        <v>0.30540646681502814</v>
      </c>
      <c r="BO35" s="15">
        <f t="shared" si="164"/>
        <v>0.30865229593360005</v>
      </c>
      <c r="BP35" s="15">
        <f t="shared" si="164"/>
        <v>0.31485322773272989</v>
      </c>
      <c r="BQ35" s="15">
        <f t="shared" si="164"/>
        <v>0.32179277351126778</v>
      </c>
      <c r="BR35" s="15">
        <f t="shared" si="164"/>
        <v>0.32795822334442787</v>
      </c>
      <c r="BS35" s="15">
        <f t="shared" si="164"/>
        <v>0.32650627761801221</v>
      </c>
      <c r="BT35" s="15">
        <f>SUM(BT32/BT33)</f>
        <v>0.33362843050461616</v>
      </c>
      <c r="BU35" s="15">
        <f>SUM(BU32/BU33)</f>
        <v>0.33852189319159709</v>
      </c>
      <c r="BV35" s="24">
        <f>SUM(BV32/BV33)</f>
        <v>0.34122951860790041</v>
      </c>
      <c r="BW35" s="178">
        <f t="shared" ref="BW35:CB35" si="165">SUM(BW32/BW33)</f>
        <v>0.34408124404950807</v>
      </c>
      <c r="BX35" s="15">
        <f t="shared" si="165"/>
        <v>0.34593041812958825</v>
      </c>
      <c r="BY35" s="15">
        <f t="shared" si="165"/>
        <v>0.34732800000000003</v>
      </c>
      <c r="BZ35" s="15">
        <f t="shared" si="165"/>
        <v>0.3504322766570605</v>
      </c>
      <c r="CA35" s="15">
        <f t="shared" si="165"/>
        <v>0.35292997270014603</v>
      </c>
      <c r="CB35" s="15">
        <f t="shared" si="165"/>
        <v>0.36273115220483643</v>
      </c>
      <c r="CC35" s="15">
        <f t="shared" ref="CC35:DK35" si="166">SUM(CC32/CC33)</f>
        <v>0.36649214659685864</v>
      </c>
      <c r="CD35" s="15">
        <f t="shared" si="166"/>
        <v>0.37178477690288714</v>
      </c>
      <c r="CE35" s="15">
        <f t="shared" si="166"/>
        <v>0.37340643371424798</v>
      </c>
      <c r="CF35" s="15">
        <f t="shared" si="166"/>
        <v>0.37556530992285181</v>
      </c>
      <c r="CG35" s="15">
        <f t="shared" si="166"/>
        <v>0.38550954362327455</v>
      </c>
      <c r="CH35" s="24">
        <f t="shared" si="166"/>
        <v>0.3914590747330961</v>
      </c>
      <c r="CI35" s="244">
        <f t="shared" si="166"/>
        <v>0.38193322563274096</v>
      </c>
      <c r="CJ35" s="245">
        <f t="shared" si="166"/>
        <v>0.38635440638960333</v>
      </c>
      <c r="CK35" s="245">
        <f t="shared" si="166"/>
        <v>0.38777725022044363</v>
      </c>
      <c r="CL35" s="245">
        <f t="shared" si="166"/>
        <v>0.38782881286629411</v>
      </c>
      <c r="CM35" s="245">
        <f t="shared" si="166"/>
        <v>0.38939082819986309</v>
      </c>
      <c r="CN35" s="245">
        <f t="shared" si="166"/>
        <v>0.39039680352714246</v>
      </c>
      <c r="CO35" s="245">
        <f t="shared" si="166"/>
        <v>0.39395194697597347</v>
      </c>
      <c r="CP35" s="245">
        <f t="shared" si="166"/>
        <v>0.39751940133037694</v>
      </c>
      <c r="CQ35" s="245">
        <f t="shared" si="166"/>
        <v>0.40231237884242593</v>
      </c>
      <c r="CR35" s="245">
        <f t="shared" si="166"/>
        <v>0.40639777468706539</v>
      </c>
      <c r="CS35" s="245">
        <f t="shared" si="166"/>
        <v>0.4108142137660884</v>
      </c>
      <c r="CT35" s="246">
        <f t="shared" si="166"/>
        <v>0.41503611753979941</v>
      </c>
      <c r="CU35" s="245">
        <f t="shared" si="166"/>
        <v>0.41980615913709551</v>
      </c>
      <c r="CV35" s="245">
        <f t="shared" si="166"/>
        <v>0.42147299971727453</v>
      </c>
      <c r="CW35" s="245">
        <f t="shared" si="166"/>
        <v>0.42582847390129425</v>
      </c>
      <c r="CX35" s="245">
        <f t="shared" si="166"/>
        <v>0.42877513189790389</v>
      </c>
      <c r="CY35" s="245">
        <f t="shared" si="166"/>
        <v>0.43168146662847323</v>
      </c>
      <c r="CZ35" s="245">
        <f t="shared" si="166"/>
        <v>0.43485120114736464</v>
      </c>
      <c r="DA35" s="245">
        <f t="shared" si="166"/>
        <v>0.43935795004678613</v>
      </c>
      <c r="DB35" s="245">
        <f t="shared" si="166"/>
        <v>0.44357533414337791</v>
      </c>
      <c r="DC35" s="245">
        <f t="shared" si="166"/>
        <v>0.44333550300137414</v>
      </c>
      <c r="DD35" s="245">
        <f t="shared" si="166"/>
        <v>0.44801339625513775</v>
      </c>
      <c r="DE35" s="245">
        <f t="shared" si="166"/>
        <v>0.4563758389261745</v>
      </c>
      <c r="DF35" s="246">
        <f t="shared" si="166"/>
        <v>0.46032212988159155</v>
      </c>
      <c r="DG35" s="245">
        <f t="shared" si="166"/>
        <v>0.46657971959569611</v>
      </c>
      <c r="DH35" s="245">
        <f t="shared" si="166"/>
        <v>0.47036328871892924</v>
      </c>
      <c r="DI35" s="245">
        <f t="shared" si="166"/>
        <v>0.47371134020618555</v>
      </c>
      <c r="DJ35" s="245">
        <f t="shared" si="166"/>
        <v>0.47928994082840237</v>
      </c>
      <c r="DK35" s="245">
        <f t="shared" si="166"/>
        <v>0.48635276655397047</v>
      </c>
      <c r="DL35" s="245">
        <f t="shared" ref="DL35:DR35" si="167">SUM(DL32/DL33)</f>
        <v>0.4848372781065089</v>
      </c>
      <c r="DM35" s="245">
        <f t="shared" si="167"/>
        <v>0.48905109489051096</v>
      </c>
      <c r="DN35" s="245">
        <f t="shared" si="167"/>
        <v>0.4940064030973122</v>
      </c>
      <c r="DO35" s="245">
        <f t="shared" si="167"/>
        <v>0.49605802585935038</v>
      </c>
      <c r="DP35" s="245">
        <f t="shared" si="167"/>
        <v>0.50213980028530669</v>
      </c>
      <c r="DQ35" s="245">
        <f t="shared" si="167"/>
        <v>0.51144582805159944</v>
      </c>
      <c r="DR35" s="245">
        <f t="shared" si="167"/>
        <v>0.51172006745362564</v>
      </c>
      <c r="DS35" s="245">
        <f t="shared" ref="DS35:FK35" si="168">SUM(DS32/DS33)</f>
        <v>0.51245674740484426</v>
      </c>
      <c r="DT35" s="245">
        <f t="shared" si="168"/>
        <v>0.50918196994991649</v>
      </c>
      <c r="DU35" s="245">
        <f t="shared" si="168"/>
        <v>0.51436825300288891</v>
      </c>
      <c r="DV35" s="357">
        <f t="shared" si="168"/>
        <v>0.51613149847094797</v>
      </c>
      <c r="DW35" s="357">
        <f t="shared" si="168"/>
        <v>0.52015913090046673</v>
      </c>
      <c r="DX35" s="357">
        <f t="shared" si="168"/>
        <v>0.52028952028952025</v>
      </c>
      <c r="DY35" s="357">
        <f t="shared" si="168"/>
        <v>0.52360119732903521</v>
      </c>
      <c r="DZ35" s="357">
        <f t="shared" si="168"/>
        <v>0.52483469168076269</v>
      </c>
      <c r="EA35" s="357">
        <f t="shared" si="168"/>
        <v>0.52946166898041025</v>
      </c>
      <c r="EB35" s="357">
        <f t="shared" si="168"/>
        <v>0.53120161040569835</v>
      </c>
      <c r="EC35" s="357">
        <f t="shared" si="168"/>
        <v>0.53589962047866158</v>
      </c>
      <c r="ED35" s="357">
        <f t="shared" si="168"/>
        <v>0.53817446742341779</v>
      </c>
      <c r="EE35" s="357">
        <f t="shared" si="168"/>
        <v>0.54117190531625925</v>
      </c>
      <c r="EF35" s="357">
        <f t="shared" si="168"/>
        <v>0.54472818423938585</v>
      </c>
      <c r="EG35" s="357">
        <f t="shared" si="168"/>
        <v>0.54860186418109191</v>
      </c>
      <c r="EH35" s="357">
        <f t="shared" si="168"/>
        <v>0.55440658049353697</v>
      </c>
      <c r="EI35" s="357">
        <f t="shared" si="168"/>
        <v>0.55859252277725413</v>
      </c>
      <c r="EJ35" s="357">
        <f t="shared" si="168"/>
        <v>0.56131778058007564</v>
      </c>
      <c r="EK35" s="357">
        <f t="shared" si="168"/>
        <v>0.56225696373303702</v>
      </c>
      <c r="EL35" s="357">
        <f t="shared" si="168"/>
        <v>0.56383570350361489</v>
      </c>
      <c r="EM35" s="357">
        <f t="shared" si="168"/>
        <v>0.56849315068493156</v>
      </c>
      <c r="EN35" s="357">
        <f t="shared" si="168"/>
        <v>0.57304437237997308</v>
      </c>
      <c r="EO35" s="357">
        <f t="shared" si="168"/>
        <v>0.57154289372599232</v>
      </c>
      <c r="EP35" s="357">
        <f t="shared" si="168"/>
        <v>0.57513287163794491</v>
      </c>
      <c r="EQ35" s="357">
        <f t="shared" si="168"/>
        <v>0.57957805907172999</v>
      </c>
      <c r="ER35" s="357">
        <f t="shared" si="168"/>
        <v>0.57336343115124155</v>
      </c>
      <c r="ES35" s="357">
        <f t="shared" si="168"/>
        <v>0.5816892988299599</v>
      </c>
      <c r="ET35" s="357">
        <f t="shared" si="168"/>
        <v>0.58487816724682262</v>
      </c>
      <c r="EU35" s="357">
        <f t="shared" si="168"/>
        <v>0.58743922204213939</v>
      </c>
      <c r="EV35" s="357">
        <f t="shared" si="168"/>
        <v>0.59003645200486021</v>
      </c>
      <c r="EW35" s="357">
        <f t="shared" si="168"/>
        <v>0.58993628492076455</v>
      </c>
      <c r="EX35" s="357">
        <f t="shared" si="168"/>
        <v>0.5930679310062944</v>
      </c>
      <c r="EY35" s="357">
        <f t="shared" si="168"/>
        <v>0.59324546952224055</v>
      </c>
      <c r="EZ35" s="357">
        <f t="shared" si="168"/>
        <v>0.59625492772667543</v>
      </c>
      <c r="FA35" s="357">
        <f t="shared" si="168"/>
        <v>0.59721650333525489</v>
      </c>
      <c r="FB35" s="357">
        <f t="shared" si="168"/>
        <v>0.60008261049153244</v>
      </c>
      <c r="FC35" s="357">
        <f t="shared" si="168"/>
        <v>0.60062997347480107</v>
      </c>
      <c r="FD35" s="357">
        <f t="shared" si="168"/>
        <v>0.60136088291428103</v>
      </c>
      <c r="FE35" s="357">
        <f t="shared" si="168"/>
        <v>0.60368548319853244</v>
      </c>
      <c r="FF35" s="357">
        <f t="shared" si="168"/>
        <v>0.60770956218326821</v>
      </c>
      <c r="FG35" s="357">
        <f t="shared" si="168"/>
        <v>0.60841370136348516</v>
      </c>
      <c r="FH35" s="357">
        <f t="shared" si="168"/>
        <v>0.60992907801418439</v>
      </c>
      <c r="FI35" s="357">
        <f t="shared" si="168"/>
        <v>0.61108324974924777</v>
      </c>
      <c r="FJ35" s="357">
        <f t="shared" si="168"/>
        <v>0.61369357274710523</v>
      </c>
      <c r="FK35" s="357">
        <f t="shared" si="168"/>
        <v>0.61842658813630624</v>
      </c>
      <c r="FL35" s="357">
        <f t="shared" ref="FL35:FQ35" si="169">SUM(FL32/FL33)</f>
        <v>0.61941176470588233</v>
      </c>
      <c r="FM35" s="357">
        <f t="shared" si="169"/>
        <v>0.62536699941280094</v>
      </c>
      <c r="FN35" s="357">
        <f t="shared" si="169"/>
        <v>0.6268543492919757</v>
      </c>
      <c r="FO35" s="357">
        <f t="shared" si="169"/>
        <v>0.62915191367391676</v>
      </c>
      <c r="FP35" s="357">
        <f t="shared" si="169"/>
        <v>0.63271709633649931</v>
      </c>
      <c r="FQ35" s="357">
        <f t="shared" si="169"/>
        <v>0.63423102981029811</v>
      </c>
      <c r="FR35" s="357">
        <f t="shared" ref="FR35:FT35" si="170">SUM(FR32/FR33)</f>
        <v>0.63828522920203734</v>
      </c>
      <c r="FS35" s="357">
        <f t="shared" si="170"/>
        <v>0.64215064671569866</v>
      </c>
      <c r="FT35" s="357">
        <f t="shared" si="170"/>
        <v>0.64312993295425613</v>
      </c>
    </row>
    <row r="36" spans="2:182" ht="12.75" customHeight="1" x14ac:dyDescent="0.25">
      <c r="B36" s="179"/>
      <c r="C36" s="42"/>
      <c r="D36" s="18"/>
      <c r="E36" s="18"/>
      <c r="F36" s="18"/>
      <c r="G36" s="18"/>
      <c r="H36" s="19"/>
      <c r="I36" s="18"/>
      <c r="J36" s="18"/>
      <c r="K36" s="18"/>
      <c r="L36" s="18"/>
      <c r="M36" s="18"/>
      <c r="N36" s="20"/>
      <c r="O36" s="81"/>
      <c r="P36" s="18"/>
      <c r="Q36" s="18"/>
      <c r="R36" s="18"/>
      <c r="S36" s="18"/>
      <c r="T36" s="19"/>
      <c r="U36" s="18"/>
      <c r="V36" s="18"/>
      <c r="W36" s="18"/>
      <c r="X36" s="18"/>
      <c r="Y36" s="18"/>
      <c r="Z36" s="20"/>
      <c r="AA36" s="81"/>
      <c r="AB36" s="18"/>
      <c r="AC36" s="18"/>
      <c r="AD36" s="18"/>
      <c r="AE36" s="18"/>
      <c r="AF36" s="19"/>
      <c r="AG36" s="18"/>
      <c r="AH36" s="18"/>
      <c r="AI36" s="18"/>
      <c r="AJ36" s="18"/>
      <c r="AK36" s="18"/>
      <c r="AL36" s="20"/>
      <c r="AM36" s="81"/>
      <c r="AN36" s="18"/>
      <c r="AO36" s="18"/>
      <c r="AP36" s="18"/>
      <c r="AQ36" s="18"/>
      <c r="AR36" s="19"/>
      <c r="AS36" s="18"/>
      <c r="AT36" s="18"/>
      <c r="AU36" s="18"/>
      <c r="AV36" s="18"/>
      <c r="AW36" s="18"/>
      <c r="AX36" s="20"/>
      <c r="AY36" s="81"/>
      <c r="AZ36" s="18"/>
      <c r="BA36" s="18"/>
      <c r="BB36" s="18"/>
      <c r="BC36" s="18"/>
      <c r="BD36" s="19"/>
      <c r="BE36" s="18"/>
      <c r="BF36" s="18"/>
      <c r="BG36" s="18"/>
      <c r="BH36" s="18"/>
      <c r="BI36" s="18"/>
      <c r="BJ36" s="20"/>
      <c r="BK36" s="81"/>
      <c r="BL36" s="18"/>
      <c r="BM36" s="18"/>
      <c r="BN36" s="18"/>
      <c r="BO36" s="18"/>
      <c r="BP36" s="19"/>
      <c r="BQ36" s="18"/>
      <c r="BR36" s="18"/>
      <c r="BS36" s="18"/>
      <c r="BT36" s="18"/>
      <c r="BU36" s="18"/>
      <c r="BV36" s="20"/>
      <c r="BW36" s="81"/>
      <c r="BX36" s="18"/>
      <c r="BY36" s="18"/>
      <c r="BZ36" s="18"/>
      <c r="CA36" s="18"/>
      <c r="CB36" s="19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  <c r="DZ36" s="362"/>
    </row>
    <row r="37" spans="2:182" ht="12.75" customHeight="1" x14ac:dyDescent="0.25">
      <c r="B37" s="55" t="s">
        <v>57</v>
      </c>
      <c r="C37" s="81"/>
      <c r="D37" s="18"/>
      <c r="E37" s="18"/>
      <c r="F37" s="18"/>
      <c r="G37" s="18"/>
      <c r="H37" s="19"/>
      <c r="I37" s="18"/>
      <c r="J37" s="18"/>
      <c r="K37" s="18"/>
      <c r="L37" s="18"/>
      <c r="M37" s="18"/>
      <c r="N37" s="20"/>
      <c r="O37" s="81"/>
      <c r="P37" s="18"/>
      <c r="Q37" s="18"/>
      <c r="R37" s="18"/>
      <c r="S37" s="18"/>
      <c r="T37" s="19"/>
      <c r="U37" s="18"/>
      <c r="V37" s="18"/>
      <c r="W37" s="18"/>
      <c r="X37" s="18"/>
      <c r="Y37" s="18"/>
      <c r="Z37" s="20"/>
      <c r="AA37" s="81"/>
      <c r="AB37" s="18"/>
      <c r="AC37" s="18"/>
      <c r="AD37" s="18"/>
      <c r="AE37" s="18"/>
      <c r="AF37" s="19"/>
      <c r="AG37" s="18"/>
      <c r="AH37" s="18"/>
      <c r="AI37" s="18"/>
      <c r="AJ37" s="18"/>
      <c r="AK37" s="18"/>
      <c r="AL37" s="20"/>
      <c r="AM37" s="81"/>
      <c r="AN37" s="18"/>
      <c r="AO37" s="18"/>
      <c r="AP37" s="18"/>
      <c r="AQ37" s="18"/>
      <c r="AR37" s="19"/>
      <c r="AS37" s="18"/>
      <c r="AT37" s="18"/>
      <c r="AU37" s="18"/>
      <c r="AV37" s="18"/>
      <c r="AW37" s="18"/>
      <c r="AX37" s="20"/>
      <c r="AY37" s="81"/>
      <c r="AZ37" s="18"/>
      <c r="BA37" s="18"/>
      <c r="BB37" s="18"/>
      <c r="BC37" s="18"/>
      <c r="BD37" s="19"/>
      <c r="BE37" s="18"/>
      <c r="BF37" s="18"/>
      <c r="BG37" s="18"/>
      <c r="BH37" s="18"/>
      <c r="BI37" s="18"/>
      <c r="BJ37" s="20"/>
      <c r="BK37" s="81"/>
      <c r="BL37" s="18"/>
      <c r="BM37" s="18"/>
      <c r="BN37" s="18"/>
      <c r="BO37" s="18"/>
      <c r="BP37" s="19"/>
      <c r="BQ37" s="18"/>
      <c r="BR37" s="18"/>
      <c r="BS37" s="18"/>
      <c r="BT37" s="18"/>
      <c r="BU37" s="18"/>
      <c r="BV37" s="20"/>
      <c r="BW37" s="81"/>
      <c r="BX37" s="18"/>
      <c r="BY37" s="18"/>
      <c r="BZ37" s="18"/>
      <c r="CA37" s="18"/>
      <c r="CB37" s="19"/>
      <c r="CC37" s="18"/>
      <c r="CD37" s="18"/>
      <c r="CE37" s="18"/>
      <c r="CF37" s="18"/>
      <c r="CG37" s="18"/>
      <c r="CH37" s="20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V37" s="302"/>
      <c r="DW37" s="302"/>
      <c r="DX37" s="302"/>
      <c r="DZ37" s="362"/>
    </row>
    <row r="38" spans="2:182" x14ac:dyDescent="0.25">
      <c r="B38" s="3" t="s">
        <v>1</v>
      </c>
      <c r="C38" s="121">
        <f>SUM(C8,C16,C24,C31)</f>
        <v>202370</v>
      </c>
      <c r="D38" s="16">
        <f t="shared" ref="D38:N39" si="171">SUM(D8,D16,D24,D31)</f>
        <v>204540</v>
      </c>
      <c r="E38" s="16">
        <f t="shared" si="171"/>
        <v>205088</v>
      </c>
      <c r="F38" s="16">
        <f t="shared" si="171"/>
        <v>204427</v>
      </c>
      <c r="G38" s="16">
        <f t="shared" si="171"/>
        <v>204520</v>
      </c>
      <c r="H38" s="16">
        <f t="shared" si="171"/>
        <v>204843</v>
      </c>
      <c r="I38" s="16">
        <f t="shared" si="171"/>
        <v>206178</v>
      </c>
      <c r="J38" s="16">
        <f t="shared" si="171"/>
        <v>206220</v>
      </c>
      <c r="K38" s="16">
        <f t="shared" si="171"/>
        <v>203592</v>
      </c>
      <c r="L38" s="16">
        <f t="shared" si="171"/>
        <v>177883</v>
      </c>
      <c r="M38" s="16">
        <f t="shared" si="171"/>
        <v>176348</v>
      </c>
      <c r="N38" s="21">
        <f t="shared" si="171"/>
        <v>174882</v>
      </c>
      <c r="O38" s="121">
        <f t="shared" ref="O38:Q39" si="172">O31+O24+O16+O8</f>
        <v>203200</v>
      </c>
      <c r="P38" s="16">
        <f t="shared" si="172"/>
        <v>181004</v>
      </c>
      <c r="Q38" s="16">
        <f t="shared" si="172"/>
        <v>191233</v>
      </c>
      <c r="R38" s="16">
        <f t="shared" ref="R38:T39" si="173">R31+R24+R16+R8</f>
        <v>189257</v>
      </c>
      <c r="S38" s="16">
        <f t="shared" si="173"/>
        <v>188749</v>
      </c>
      <c r="T38" s="16">
        <f t="shared" si="173"/>
        <v>185821</v>
      </c>
      <c r="U38" s="16">
        <f t="shared" ref="U38:W39" si="174">U31+U24+U16+U8</f>
        <v>192323</v>
      </c>
      <c r="V38" s="16">
        <f t="shared" si="174"/>
        <v>180951</v>
      </c>
      <c r="W38" s="16">
        <f t="shared" si="174"/>
        <v>178587</v>
      </c>
      <c r="X38" s="16">
        <f t="shared" ref="X38:Z39" si="175">X31+X24+X16+X8</f>
        <v>188239</v>
      </c>
      <c r="Y38" s="16">
        <f t="shared" si="175"/>
        <v>139498</v>
      </c>
      <c r="Z38" s="21">
        <f t="shared" si="175"/>
        <v>164913</v>
      </c>
      <c r="AA38" s="121">
        <f t="shared" ref="AA38:AC39" si="176">AA31+AA24+AA16+AA8</f>
        <v>168043</v>
      </c>
      <c r="AB38" s="16">
        <f t="shared" si="176"/>
        <v>158831</v>
      </c>
      <c r="AC38" s="16">
        <f t="shared" si="176"/>
        <v>182157</v>
      </c>
      <c r="AD38" s="16">
        <f t="shared" ref="AD38:AF39" si="177">AD31+AD24+AD16+AD8</f>
        <v>162350</v>
      </c>
      <c r="AE38" s="16">
        <f t="shared" si="177"/>
        <v>151963</v>
      </c>
      <c r="AF38" s="16">
        <f t="shared" si="177"/>
        <v>166876</v>
      </c>
      <c r="AG38" s="16">
        <f t="shared" ref="AG38:AI39" si="178">AG31+AG24+AG16+AG8</f>
        <v>154851</v>
      </c>
      <c r="AH38" s="16">
        <f t="shared" si="178"/>
        <v>163318</v>
      </c>
      <c r="AI38" s="16">
        <f t="shared" si="178"/>
        <v>151663</v>
      </c>
      <c r="AJ38" s="16">
        <f t="shared" ref="AJ38:AL39" si="179">AJ31+AJ24+AJ16+AJ8</f>
        <v>148829</v>
      </c>
      <c r="AK38" s="16">
        <f t="shared" si="179"/>
        <v>140235</v>
      </c>
      <c r="AL38" s="21">
        <f t="shared" si="179"/>
        <v>138280</v>
      </c>
      <c r="AM38" s="121">
        <f t="shared" ref="AM38:AO39" si="180">AM31+AM24+AM16+AM8</f>
        <v>145428</v>
      </c>
      <c r="AN38" s="16">
        <f t="shared" si="180"/>
        <v>130769</v>
      </c>
      <c r="AO38" s="16">
        <f t="shared" si="180"/>
        <v>143625</v>
      </c>
      <c r="AP38" s="16">
        <f t="shared" ref="AP38:AR39" si="181">AP31+AP24+AP16+AP8</f>
        <v>135306</v>
      </c>
      <c r="AQ38" s="16">
        <f t="shared" si="181"/>
        <v>139870</v>
      </c>
      <c r="AR38" s="16">
        <f t="shared" si="181"/>
        <v>142773</v>
      </c>
      <c r="AS38" s="16">
        <f t="shared" ref="AS38:AU39" si="182">AS31+AS24+AS16+AS8</f>
        <v>132762</v>
      </c>
      <c r="AT38" s="16">
        <f t="shared" si="182"/>
        <v>154209</v>
      </c>
      <c r="AU38" s="16">
        <f t="shared" si="182"/>
        <v>136545</v>
      </c>
      <c r="AV38" s="16">
        <f t="shared" ref="AV38:BG39" si="183">AV31+AV24+AV16+AV8</f>
        <v>133742</v>
      </c>
      <c r="AW38" s="16">
        <f t="shared" si="183"/>
        <v>127130</v>
      </c>
      <c r="AX38" s="21">
        <f t="shared" si="183"/>
        <v>125119</v>
      </c>
      <c r="AY38" s="121">
        <f t="shared" si="183"/>
        <v>131544</v>
      </c>
      <c r="AZ38" s="16">
        <f t="shared" si="183"/>
        <v>122934</v>
      </c>
      <c r="BA38" s="16">
        <f t="shared" si="183"/>
        <v>142037</v>
      </c>
      <c r="BB38" s="16">
        <f t="shared" si="183"/>
        <v>119756</v>
      </c>
      <c r="BC38" s="16">
        <f t="shared" si="183"/>
        <v>132562</v>
      </c>
      <c r="BD38" s="16">
        <f t="shared" si="183"/>
        <v>129061</v>
      </c>
      <c r="BE38" s="16">
        <f t="shared" si="183"/>
        <v>115000</v>
      </c>
      <c r="BF38" s="16">
        <f t="shared" si="183"/>
        <v>130543</v>
      </c>
      <c r="BG38" s="16">
        <f t="shared" si="183"/>
        <v>117451</v>
      </c>
      <c r="BH38" s="16">
        <f t="shared" ref="BH38:BM39" si="184">BH31+BH24+BH16+BH8</f>
        <v>118691</v>
      </c>
      <c r="BI38" s="16">
        <f t="shared" si="184"/>
        <v>104886</v>
      </c>
      <c r="BJ38" s="21">
        <f t="shared" si="184"/>
        <v>98800</v>
      </c>
      <c r="BK38" s="121">
        <f t="shared" si="184"/>
        <v>110449</v>
      </c>
      <c r="BL38" s="16">
        <f t="shared" si="184"/>
        <v>102901</v>
      </c>
      <c r="BM38" s="16">
        <f t="shared" si="184"/>
        <v>113529</v>
      </c>
      <c r="BN38" s="16">
        <f t="shared" ref="BN38:BP39" si="185">BN31+BN24+BN16+BN8</f>
        <v>101355</v>
      </c>
      <c r="BO38" s="16">
        <f t="shared" si="185"/>
        <v>110235</v>
      </c>
      <c r="BP38" s="16">
        <f t="shared" si="185"/>
        <v>104311</v>
      </c>
      <c r="BQ38" s="16">
        <f t="shared" ref="BQ38:BS39" si="186">BQ31+BQ24+BQ16+BQ8</f>
        <v>101615</v>
      </c>
      <c r="BR38" s="16">
        <f t="shared" si="186"/>
        <v>111130</v>
      </c>
      <c r="BS38" s="16">
        <f t="shared" si="186"/>
        <v>89271</v>
      </c>
      <c r="BT38" s="16">
        <f t="shared" ref="BT38:CB39" si="187">BT31+BT24+BT16+BT8</f>
        <v>98254</v>
      </c>
      <c r="BU38" s="16">
        <f t="shared" si="187"/>
        <v>97217</v>
      </c>
      <c r="BV38" s="21">
        <f t="shared" si="187"/>
        <v>95985</v>
      </c>
      <c r="BW38" s="121">
        <f t="shared" si="187"/>
        <v>94989</v>
      </c>
      <c r="BX38" s="16">
        <f t="shared" si="187"/>
        <v>94252</v>
      </c>
      <c r="BY38" s="16">
        <f t="shared" si="187"/>
        <v>93665</v>
      </c>
      <c r="BZ38" s="16">
        <f t="shared" si="187"/>
        <v>92648</v>
      </c>
      <c r="CA38" s="16">
        <f t="shared" si="187"/>
        <v>91581</v>
      </c>
      <c r="CB38" s="16">
        <f t="shared" si="187"/>
        <v>89752</v>
      </c>
      <c r="CC38" s="16">
        <f t="shared" ref="CC38:CH39" si="188">CC31+CC24+CC16+CC8</f>
        <v>88843</v>
      </c>
      <c r="CD38" s="16">
        <f t="shared" si="188"/>
        <v>87869</v>
      </c>
      <c r="CE38" s="16">
        <f t="shared" si="188"/>
        <v>87053</v>
      </c>
      <c r="CF38" s="16">
        <f t="shared" si="188"/>
        <v>86086</v>
      </c>
      <c r="CG38" s="16">
        <f t="shared" si="188"/>
        <v>85544</v>
      </c>
      <c r="CH38" s="21">
        <f t="shared" si="188"/>
        <v>84744</v>
      </c>
      <c r="CI38" s="71">
        <f t="shared" ref="CI38:CK39" si="189">SUM(CI8,CI16,CI24,CI31)</f>
        <v>84397</v>
      </c>
      <c r="CJ38" s="69">
        <f t="shared" si="189"/>
        <v>83834</v>
      </c>
      <c r="CK38" s="69">
        <f t="shared" si="189"/>
        <v>83588</v>
      </c>
      <c r="CL38" s="69">
        <f t="shared" ref="CL38:DK38" si="190">SUM(CL8,CL16,CL24,CL31)</f>
        <v>82983</v>
      </c>
      <c r="CM38" s="69">
        <f t="shared" si="190"/>
        <v>82680</v>
      </c>
      <c r="CN38" s="69">
        <f t="shared" si="190"/>
        <v>81884</v>
      </c>
      <c r="CO38" s="69">
        <f t="shared" si="190"/>
        <v>81241</v>
      </c>
      <c r="CP38" s="69">
        <f t="shared" si="190"/>
        <v>80690</v>
      </c>
      <c r="CQ38" s="69">
        <f t="shared" si="190"/>
        <v>79623</v>
      </c>
      <c r="CR38" s="69">
        <f t="shared" si="190"/>
        <v>78784</v>
      </c>
      <c r="CS38" s="69">
        <f t="shared" si="190"/>
        <v>77608</v>
      </c>
      <c r="CT38" s="89">
        <f t="shared" si="190"/>
        <v>76864</v>
      </c>
      <c r="CU38" s="69">
        <f t="shared" si="190"/>
        <v>68764</v>
      </c>
      <c r="CV38" s="69">
        <f t="shared" si="190"/>
        <v>75674</v>
      </c>
      <c r="CW38" s="69">
        <f t="shared" si="190"/>
        <v>74987</v>
      </c>
      <c r="CX38" s="69">
        <f t="shared" si="190"/>
        <v>74496</v>
      </c>
      <c r="CY38" s="69">
        <f t="shared" si="190"/>
        <v>74391</v>
      </c>
      <c r="CZ38" s="69">
        <f t="shared" si="190"/>
        <v>73996</v>
      </c>
      <c r="DA38" s="69">
        <f t="shared" si="190"/>
        <v>73468</v>
      </c>
      <c r="DB38" s="69">
        <f t="shared" si="190"/>
        <v>68784</v>
      </c>
      <c r="DC38" s="69">
        <f t="shared" si="190"/>
        <v>72460</v>
      </c>
      <c r="DD38" s="69">
        <f t="shared" si="190"/>
        <v>68555</v>
      </c>
      <c r="DE38" s="69">
        <f t="shared" si="190"/>
        <v>67546</v>
      </c>
      <c r="DF38" s="89">
        <f t="shared" si="190"/>
        <v>69852</v>
      </c>
      <c r="DG38" s="69">
        <f t="shared" si="190"/>
        <v>62395</v>
      </c>
      <c r="DH38" s="69">
        <f t="shared" si="190"/>
        <v>68809</v>
      </c>
      <c r="DI38" s="69">
        <f t="shared" si="190"/>
        <v>68532</v>
      </c>
      <c r="DJ38" s="69">
        <f t="shared" si="190"/>
        <v>64892</v>
      </c>
      <c r="DK38" s="69">
        <f t="shared" si="190"/>
        <v>61153</v>
      </c>
      <c r="DL38" s="69">
        <f t="shared" ref="DL38:DR38" si="191">SUM(DL8,DL16,DL24,DL31)</f>
        <v>67808</v>
      </c>
      <c r="DM38" s="69">
        <f t="shared" si="191"/>
        <v>64329</v>
      </c>
      <c r="DN38" s="69">
        <f t="shared" si="191"/>
        <v>67158</v>
      </c>
      <c r="DO38" s="69">
        <f t="shared" si="191"/>
        <v>63437</v>
      </c>
      <c r="DP38" s="69">
        <f t="shared" si="191"/>
        <v>62123</v>
      </c>
      <c r="DQ38" s="69">
        <f t="shared" si="191"/>
        <v>64954</v>
      </c>
      <c r="DR38" s="69">
        <f t="shared" si="191"/>
        <v>57833</v>
      </c>
      <c r="DS38" s="69">
        <f t="shared" ref="DS38:EH39" si="192">SUM(DS8,DS16,DS24,DS31)</f>
        <v>57340</v>
      </c>
      <c r="DT38" s="69">
        <f t="shared" si="192"/>
        <v>62268</v>
      </c>
      <c r="DU38" s="69">
        <f t="shared" si="192"/>
        <v>65251</v>
      </c>
      <c r="DV38" s="359">
        <f t="shared" si="192"/>
        <v>65267</v>
      </c>
      <c r="DW38" s="359">
        <f t="shared" si="192"/>
        <v>65098</v>
      </c>
      <c r="DX38" s="359">
        <f t="shared" si="192"/>
        <v>64490</v>
      </c>
      <c r="DY38" s="359">
        <f t="shared" si="192"/>
        <v>64739</v>
      </c>
      <c r="DZ38" s="359">
        <f t="shared" si="192"/>
        <v>64658</v>
      </c>
      <c r="EA38" s="359">
        <f t="shared" si="192"/>
        <v>64161</v>
      </c>
      <c r="EB38" s="359">
        <f t="shared" si="192"/>
        <v>64202</v>
      </c>
      <c r="EC38" s="359">
        <f t="shared" si="192"/>
        <v>63847</v>
      </c>
      <c r="ED38" s="359">
        <f t="shared" si="192"/>
        <v>63080</v>
      </c>
      <c r="EE38" s="359">
        <f t="shared" si="192"/>
        <v>62958</v>
      </c>
      <c r="EF38" s="359">
        <f t="shared" si="192"/>
        <v>62588</v>
      </c>
      <c r="EG38" s="359">
        <f t="shared" si="192"/>
        <v>61875</v>
      </c>
      <c r="EH38" s="359">
        <f t="shared" si="192"/>
        <v>61692</v>
      </c>
      <c r="EI38" s="359">
        <f t="shared" ref="EI38:EX39" si="193">SUM(EI8,EI16,EI24,EI31)</f>
        <v>61623</v>
      </c>
      <c r="EJ38" s="359">
        <f t="shared" si="193"/>
        <v>61119</v>
      </c>
      <c r="EK38" s="359">
        <f t="shared" si="193"/>
        <v>60783</v>
      </c>
      <c r="EL38" s="359">
        <f t="shared" si="193"/>
        <v>60641</v>
      </c>
      <c r="EM38" s="359">
        <f t="shared" si="193"/>
        <v>59987</v>
      </c>
      <c r="EN38" s="359">
        <f t="shared" si="193"/>
        <v>59358</v>
      </c>
      <c r="EO38" s="359">
        <f t="shared" si="193"/>
        <v>58922</v>
      </c>
      <c r="EP38" s="359">
        <f t="shared" si="193"/>
        <v>58182</v>
      </c>
      <c r="EQ38" s="359">
        <f t="shared" si="193"/>
        <v>55680</v>
      </c>
      <c r="ER38" s="359">
        <f t="shared" si="193"/>
        <v>56632</v>
      </c>
      <c r="ES38" s="359">
        <f t="shared" si="193"/>
        <v>54695</v>
      </c>
      <c r="ET38" s="359">
        <f t="shared" si="193"/>
        <v>57174</v>
      </c>
      <c r="EU38" s="359">
        <f t="shared" si="193"/>
        <v>56954</v>
      </c>
      <c r="EV38" s="359">
        <f t="shared" si="193"/>
        <v>56775</v>
      </c>
      <c r="EW38" s="359">
        <f t="shared" si="193"/>
        <v>56178</v>
      </c>
      <c r="EX38" s="359">
        <f t="shared" si="193"/>
        <v>55631</v>
      </c>
      <c r="EY38" s="359">
        <f t="shared" ref="EY38:FK39" si="194">SUM(EY8,EY16,EY24,EY31)</f>
        <v>55310</v>
      </c>
      <c r="EZ38" s="359">
        <f t="shared" si="194"/>
        <v>54933</v>
      </c>
      <c r="FA38" s="359">
        <f t="shared" si="194"/>
        <v>54430</v>
      </c>
      <c r="FB38" s="359">
        <f t="shared" si="194"/>
        <v>54122</v>
      </c>
      <c r="FC38" s="359">
        <f t="shared" si="194"/>
        <v>54023</v>
      </c>
      <c r="FD38" s="359">
        <f t="shared" si="194"/>
        <v>53571</v>
      </c>
      <c r="FE38" s="359">
        <f t="shared" si="194"/>
        <v>52694</v>
      </c>
      <c r="FF38" s="359">
        <f t="shared" si="194"/>
        <v>52316</v>
      </c>
      <c r="FG38" s="359">
        <f t="shared" si="194"/>
        <v>51974</v>
      </c>
      <c r="FH38" s="359">
        <f t="shared" si="194"/>
        <v>51520</v>
      </c>
      <c r="FI38" s="359">
        <f t="shared" si="194"/>
        <v>50946</v>
      </c>
      <c r="FJ38" s="359">
        <f t="shared" si="194"/>
        <v>50674</v>
      </c>
      <c r="FK38" s="359">
        <f t="shared" si="194"/>
        <v>49632</v>
      </c>
      <c r="FL38" s="359">
        <f t="shared" ref="FL38:FQ38" si="195">SUM(FL8,FL16,FL24,FL31)</f>
        <v>49260</v>
      </c>
      <c r="FM38" s="359">
        <f t="shared" si="195"/>
        <v>48587</v>
      </c>
      <c r="FN38" s="359">
        <f t="shared" si="195"/>
        <v>48010</v>
      </c>
      <c r="FO38" s="359">
        <f t="shared" si="195"/>
        <v>47761</v>
      </c>
      <c r="FP38" s="359">
        <f t="shared" si="195"/>
        <v>47309</v>
      </c>
      <c r="FQ38" s="359">
        <f t="shared" si="195"/>
        <v>46821</v>
      </c>
      <c r="FR38" s="359">
        <f t="shared" ref="FR38:FT38" si="196">SUM(FR8,FR16,FR24,FR31)</f>
        <v>46198</v>
      </c>
      <c r="FS38" s="359">
        <f t="shared" si="196"/>
        <v>45781</v>
      </c>
      <c r="FT38" s="359">
        <f t="shared" si="196"/>
        <v>45191</v>
      </c>
    </row>
    <row r="39" spans="2:182" ht="13.8" thickBot="1" x14ac:dyDescent="0.3">
      <c r="B39" s="5" t="s">
        <v>8</v>
      </c>
      <c r="C39" s="175">
        <f>SUM(C9,C17,C25,C32)</f>
        <v>2152</v>
      </c>
      <c r="D39" s="17">
        <f t="shared" si="171"/>
        <v>3230</v>
      </c>
      <c r="E39" s="17">
        <f t="shared" si="171"/>
        <v>4369</v>
      </c>
      <c r="F39" s="17">
        <f t="shared" si="171"/>
        <v>5036</v>
      </c>
      <c r="G39" s="17">
        <f t="shared" si="171"/>
        <v>5487</v>
      </c>
      <c r="H39" s="17">
        <f t="shared" si="171"/>
        <v>5963</v>
      </c>
      <c r="I39" s="17">
        <f t="shared" si="171"/>
        <v>6986</v>
      </c>
      <c r="J39" s="17">
        <f t="shared" si="171"/>
        <v>8542</v>
      </c>
      <c r="K39" s="17">
        <f t="shared" si="171"/>
        <v>9194</v>
      </c>
      <c r="L39" s="17">
        <f t="shared" si="171"/>
        <v>10375</v>
      </c>
      <c r="M39" s="17">
        <f t="shared" si="171"/>
        <v>11154</v>
      </c>
      <c r="N39" s="22">
        <f t="shared" si="171"/>
        <v>12168</v>
      </c>
      <c r="O39" s="175">
        <f t="shared" si="172"/>
        <v>16327</v>
      </c>
      <c r="P39" s="17">
        <f t="shared" si="172"/>
        <v>15740</v>
      </c>
      <c r="Q39" s="17">
        <f t="shared" si="172"/>
        <v>18028</v>
      </c>
      <c r="R39" s="17">
        <f t="shared" si="173"/>
        <v>18427</v>
      </c>
      <c r="S39" s="17">
        <f t="shared" si="173"/>
        <v>20170</v>
      </c>
      <c r="T39" s="17">
        <f t="shared" si="173"/>
        <v>22915</v>
      </c>
      <c r="U39" s="17">
        <f t="shared" si="174"/>
        <v>26850</v>
      </c>
      <c r="V39" s="17">
        <f t="shared" si="174"/>
        <v>27727</v>
      </c>
      <c r="W39" s="17">
        <f t="shared" si="174"/>
        <v>29884</v>
      </c>
      <c r="X39" s="17">
        <f t="shared" si="175"/>
        <v>35814</v>
      </c>
      <c r="Y39" s="17">
        <f t="shared" si="175"/>
        <v>30455</v>
      </c>
      <c r="Z39" s="22">
        <f t="shared" si="175"/>
        <v>38112</v>
      </c>
      <c r="AA39" s="175">
        <f t="shared" si="176"/>
        <v>40169</v>
      </c>
      <c r="AB39" s="17">
        <f t="shared" si="176"/>
        <v>39114</v>
      </c>
      <c r="AC39" s="17">
        <f t="shared" si="176"/>
        <v>46840</v>
      </c>
      <c r="AD39" s="17">
        <f t="shared" si="177"/>
        <v>42652</v>
      </c>
      <c r="AE39" s="17">
        <f t="shared" si="177"/>
        <v>41613</v>
      </c>
      <c r="AF39" s="17">
        <f t="shared" si="177"/>
        <v>48013</v>
      </c>
      <c r="AG39" s="17">
        <f t="shared" si="178"/>
        <v>46773</v>
      </c>
      <c r="AH39" s="17">
        <f t="shared" si="178"/>
        <v>52850</v>
      </c>
      <c r="AI39" s="17">
        <f t="shared" si="178"/>
        <v>52100</v>
      </c>
      <c r="AJ39" s="17">
        <f t="shared" si="179"/>
        <v>53769</v>
      </c>
      <c r="AK39" s="17">
        <f t="shared" si="179"/>
        <v>52063</v>
      </c>
      <c r="AL39" s="22">
        <f t="shared" si="179"/>
        <v>53377</v>
      </c>
      <c r="AM39" s="175">
        <f t="shared" si="180"/>
        <v>57387</v>
      </c>
      <c r="AN39" s="17">
        <f t="shared" si="180"/>
        <v>52465</v>
      </c>
      <c r="AO39" s="17">
        <f t="shared" si="180"/>
        <v>59139</v>
      </c>
      <c r="AP39" s="17">
        <f t="shared" si="181"/>
        <v>56787</v>
      </c>
      <c r="AQ39" s="17">
        <f t="shared" si="181"/>
        <v>59121</v>
      </c>
      <c r="AR39" s="17">
        <f t="shared" si="181"/>
        <v>61752</v>
      </c>
      <c r="AS39" s="17">
        <f t="shared" si="182"/>
        <v>59961</v>
      </c>
      <c r="AT39" s="17">
        <f t="shared" si="182"/>
        <v>71115</v>
      </c>
      <c r="AU39" s="17">
        <f t="shared" si="182"/>
        <v>66159</v>
      </c>
      <c r="AV39" s="17">
        <f t="shared" si="183"/>
        <v>67057</v>
      </c>
      <c r="AW39" s="17">
        <f t="shared" si="183"/>
        <v>65573</v>
      </c>
      <c r="AX39" s="22">
        <f t="shared" si="183"/>
        <v>66304</v>
      </c>
      <c r="AY39" s="175">
        <f t="shared" si="183"/>
        <v>71452</v>
      </c>
      <c r="AZ39" s="17">
        <f t="shared" si="183"/>
        <v>68552</v>
      </c>
      <c r="BA39" s="17">
        <f t="shared" si="183"/>
        <v>80786</v>
      </c>
      <c r="BB39" s="17">
        <f t="shared" si="183"/>
        <v>71054</v>
      </c>
      <c r="BC39" s="17">
        <f t="shared" si="183"/>
        <v>80606</v>
      </c>
      <c r="BD39" s="17">
        <f t="shared" si="183"/>
        <v>83195</v>
      </c>
      <c r="BE39" s="17">
        <f t="shared" si="183"/>
        <v>77764</v>
      </c>
      <c r="BF39" s="17">
        <f t="shared" si="183"/>
        <v>92541</v>
      </c>
      <c r="BG39" s="17">
        <f t="shared" si="183"/>
        <v>85524</v>
      </c>
      <c r="BH39" s="17">
        <f t="shared" si="184"/>
        <v>92532</v>
      </c>
      <c r="BI39" s="17">
        <f t="shared" si="184"/>
        <v>85413</v>
      </c>
      <c r="BJ39" s="22">
        <f t="shared" si="184"/>
        <v>81723</v>
      </c>
      <c r="BK39" s="175">
        <f t="shared" si="184"/>
        <v>91704</v>
      </c>
      <c r="BL39" s="17">
        <f t="shared" si="184"/>
        <v>88098</v>
      </c>
      <c r="BM39" s="17">
        <f t="shared" si="184"/>
        <v>97320</v>
      </c>
      <c r="BN39" s="17">
        <f t="shared" si="185"/>
        <v>90301</v>
      </c>
      <c r="BO39" s="17">
        <f t="shared" si="185"/>
        <v>101033</v>
      </c>
      <c r="BP39" s="17">
        <f t="shared" si="185"/>
        <v>98016</v>
      </c>
      <c r="BQ39" s="17">
        <f t="shared" si="186"/>
        <v>100376</v>
      </c>
      <c r="BR39" s="17">
        <f t="shared" si="186"/>
        <v>111450</v>
      </c>
      <c r="BS39" s="17">
        <f t="shared" si="186"/>
        <v>92287</v>
      </c>
      <c r="BT39" s="17">
        <f t="shared" si="187"/>
        <v>104950</v>
      </c>
      <c r="BU39" s="17">
        <f t="shared" si="187"/>
        <v>105987</v>
      </c>
      <c r="BV39" s="22">
        <f t="shared" si="187"/>
        <v>107343</v>
      </c>
      <c r="BW39" s="175">
        <f t="shared" si="187"/>
        <v>107931</v>
      </c>
      <c r="BX39" s="17">
        <f t="shared" si="187"/>
        <v>108632</v>
      </c>
      <c r="BY39" s="17">
        <f t="shared" si="187"/>
        <v>109827</v>
      </c>
      <c r="BZ39" s="17">
        <f t="shared" si="187"/>
        <v>111080</v>
      </c>
      <c r="CA39" s="17">
        <f t="shared" si="187"/>
        <v>113288</v>
      </c>
      <c r="CB39" s="17">
        <f t="shared" si="187"/>
        <v>113767</v>
      </c>
      <c r="CC39" s="17">
        <f t="shared" si="188"/>
        <v>115174</v>
      </c>
      <c r="CD39" s="17">
        <f t="shared" si="188"/>
        <v>116446</v>
      </c>
      <c r="CE39" s="17">
        <f t="shared" si="188"/>
        <v>117056</v>
      </c>
      <c r="CF39" s="17">
        <f t="shared" si="188"/>
        <v>116762</v>
      </c>
      <c r="CG39" s="17">
        <f t="shared" si="188"/>
        <v>121116</v>
      </c>
      <c r="CH39" s="22">
        <f t="shared" si="188"/>
        <v>119974</v>
      </c>
      <c r="CI39" s="72">
        <f t="shared" si="189"/>
        <v>117216</v>
      </c>
      <c r="CJ39" s="92">
        <f t="shared" si="189"/>
        <v>117970</v>
      </c>
      <c r="CK39" s="92">
        <f t="shared" si="189"/>
        <v>118333</v>
      </c>
      <c r="CL39" s="92">
        <f t="shared" ref="CL39:DK39" si="197">SUM(CL9,CL17,CL25,CL32)</f>
        <v>118917</v>
      </c>
      <c r="CM39" s="92">
        <f t="shared" si="197"/>
        <v>119876</v>
      </c>
      <c r="CN39" s="92">
        <f t="shared" si="197"/>
        <v>120369</v>
      </c>
      <c r="CO39" s="92">
        <f t="shared" si="197"/>
        <v>121057</v>
      </c>
      <c r="CP39" s="92">
        <f t="shared" si="197"/>
        <v>122845</v>
      </c>
      <c r="CQ39" s="92">
        <f t="shared" si="197"/>
        <v>122975</v>
      </c>
      <c r="CR39" s="92">
        <f t="shared" si="197"/>
        <v>123155</v>
      </c>
      <c r="CS39" s="92">
        <f t="shared" si="197"/>
        <v>123978</v>
      </c>
      <c r="CT39" s="93">
        <f t="shared" si="197"/>
        <v>124385</v>
      </c>
      <c r="CU39" s="92">
        <f t="shared" si="197"/>
        <v>113559</v>
      </c>
      <c r="CV39" s="92">
        <f t="shared" si="197"/>
        <v>126141</v>
      </c>
      <c r="CW39" s="92">
        <f t="shared" si="197"/>
        <v>126721</v>
      </c>
      <c r="CX39" s="92">
        <f t="shared" si="197"/>
        <v>127195</v>
      </c>
      <c r="CY39" s="92">
        <f t="shared" si="197"/>
        <v>127699</v>
      </c>
      <c r="CZ39" s="92">
        <f t="shared" si="197"/>
        <v>127890</v>
      </c>
      <c r="DA39" s="92">
        <f t="shared" si="197"/>
        <v>128332</v>
      </c>
      <c r="DB39" s="92">
        <f t="shared" si="197"/>
        <v>121066</v>
      </c>
      <c r="DC39" s="92">
        <f t="shared" si="197"/>
        <v>129303</v>
      </c>
      <c r="DD39" s="92">
        <f t="shared" si="197"/>
        <v>123833</v>
      </c>
      <c r="DE39" s="92">
        <f t="shared" si="197"/>
        <v>123278</v>
      </c>
      <c r="DF39" s="93">
        <f t="shared" si="197"/>
        <v>130201</v>
      </c>
      <c r="DG39" s="92">
        <f t="shared" si="197"/>
        <v>115817</v>
      </c>
      <c r="DH39" s="92">
        <f t="shared" si="197"/>
        <v>131873</v>
      </c>
      <c r="DI39" s="92">
        <f t="shared" si="197"/>
        <v>132100</v>
      </c>
      <c r="DJ39" s="92">
        <f t="shared" si="197"/>
        <v>126259</v>
      </c>
      <c r="DK39" s="92">
        <f t="shared" si="197"/>
        <v>120615</v>
      </c>
      <c r="DL39" s="92">
        <f t="shared" ref="DL39:DR39" si="198">SUM(DL9,DL17,DL25,DL32)</f>
        <v>133849</v>
      </c>
      <c r="DM39" s="92">
        <f t="shared" si="198"/>
        <v>127312</v>
      </c>
      <c r="DN39" s="92">
        <f t="shared" si="198"/>
        <v>134149</v>
      </c>
      <c r="DO39" s="92">
        <f t="shared" si="198"/>
        <v>128280</v>
      </c>
      <c r="DP39" s="92">
        <f t="shared" si="198"/>
        <v>126513</v>
      </c>
      <c r="DQ39" s="92">
        <f t="shared" si="198"/>
        <v>132620</v>
      </c>
      <c r="DR39" s="92">
        <f t="shared" si="198"/>
        <v>118898</v>
      </c>
      <c r="DS39" s="92">
        <f>SUM(DS9,DS17,DS25,DS32)</f>
        <v>117989</v>
      </c>
      <c r="DT39" s="92">
        <f>SUM(DT9,DT17,DT25,DT32)</f>
        <v>129215</v>
      </c>
      <c r="DU39" s="92">
        <f>SUM(DU9,DU17,DU25,DU32)</f>
        <v>136322</v>
      </c>
      <c r="DV39" s="352">
        <f t="shared" si="192"/>
        <v>136264</v>
      </c>
      <c r="DW39" s="352">
        <f t="shared" si="192"/>
        <v>136612</v>
      </c>
      <c r="DX39" s="352">
        <f t="shared" si="192"/>
        <v>135357</v>
      </c>
      <c r="DY39" s="352">
        <f t="shared" si="192"/>
        <v>137689</v>
      </c>
      <c r="DZ39" s="352">
        <f t="shared" si="192"/>
        <v>137928</v>
      </c>
      <c r="EA39" s="352">
        <f t="shared" si="192"/>
        <v>137854</v>
      </c>
      <c r="EB39" s="352">
        <f t="shared" si="192"/>
        <v>137917</v>
      </c>
      <c r="EC39" s="352">
        <f t="shared" si="192"/>
        <v>138726</v>
      </c>
      <c r="ED39" s="352">
        <f t="shared" si="192"/>
        <v>138691</v>
      </c>
      <c r="EE39" s="352">
        <f t="shared" si="192"/>
        <v>138939</v>
      </c>
      <c r="EF39" s="352">
        <f t="shared" si="192"/>
        <v>139751</v>
      </c>
      <c r="EG39" s="352">
        <f t="shared" si="192"/>
        <v>139993</v>
      </c>
      <c r="EH39" s="352">
        <f t="shared" si="192"/>
        <v>141434</v>
      </c>
      <c r="EI39" s="352">
        <f t="shared" si="193"/>
        <v>140797</v>
      </c>
      <c r="EJ39" s="352">
        <f t="shared" si="193"/>
        <v>142505</v>
      </c>
      <c r="EK39" s="352">
        <f t="shared" si="193"/>
        <v>142870</v>
      </c>
      <c r="EL39" s="352">
        <f t="shared" si="193"/>
        <v>143358</v>
      </c>
      <c r="EM39" s="352">
        <f t="shared" si="193"/>
        <v>143356</v>
      </c>
      <c r="EN39" s="352">
        <f t="shared" si="193"/>
        <v>143625</v>
      </c>
      <c r="EO39" s="352">
        <f t="shared" si="193"/>
        <v>143979</v>
      </c>
      <c r="EP39" s="352">
        <f t="shared" si="193"/>
        <v>143304</v>
      </c>
      <c r="EQ39" s="352">
        <f t="shared" si="193"/>
        <v>137349</v>
      </c>
      <c r="ER39" s="352">
        <f t="shared" si="193"/>
        <v>142285</v>
      </c>
      <c r="ES39" s="352">
        <f t="shared" si="193"/>
        <v>138566</v>
      </c>
      <c r="ET39" s="352">
        <f t="shared" si="193"/>
        <v>145779</v>
      </c>
      <c r="EU39" s="352">
        <f t="shared" si="193"/>
        <v>146675</v>
      </c>
      <c r="EV39" s="352">
        <f t="shared" si="193"/>
        <v>146419</v>
      </c>
      <c r="EW39" s="352">
        <f t="shared" si="193"/>
        <v>147727</v>
      </c>
      <c r="EX39" s="352">
        <f t="shared" si="193"/>
        <v>147662</v>
      </c>
      <c r="EY39" s="352">
        <f t="shared" si="194"/>
        <v>145794</v>
      </c>
      <c r="EZ39" s="352">
        <f t="shared" si="194"/>
        <v>149259</v>
      </c>
      <c r="FA39" s="352">
        <f t="shared" si="194"/>
        <v>149838</v>
      </c>
      <c r="FB39" s="352">
        <f t="shared" si="194"/>
        <v>149572</v>
      </c>
      <c r="FC39" s="352">
        <f t="shared" si="194"/>
        <v>149300</v>
      </c>
      <c r="FD39" s="352">
        <f t="shared" si="194"/>
        <v>150178</v>
      </c>
      <c r="FE39" s="352">
        <f t="shared" si="194"/>
        <v>150140</v>
      </c>
      <c r="FF39" s="352">
        <f t="shared" si="194"/>
        <v>151309</v>
      </c>
      <c r="FG39" s="352">
        <f t="shared" si="194"/>
        <v>151650</v>
      </c>
      <c r="FH39" s="352">
        <f t="shared" si="194"/>
        <v>152324</v>
      </c>
      <c r="FI39" s="352">
        <f t="shared" si="194"/>
        <v>152801</v>
      </c>
      <c r="FJ39" s="352">
        <f t="shared" si="194"/>
        <v>153932</v>
      </c>
      <c r="FK39" s="352">
        <f t="shared" si="194"/>
        <v>153562</v>
      </c>
      <c r="FL39" s="352">
        <f t="shared" ref="FL39:FQ39" si="199">SUM(FL9,FL17,FL25,FL32)</f>
        <v>154733</v>
      </c>
      <c r="FM39" s="352">
        <f t="shared" si="199"/>
        <v>154789</v>
      </c>
      <c r="FN39" s="352">
        <f t="shared" si="199"/>
        <v>154185</v>
      </c>
      <c r="FO39" s="352">
        <f t="shared" si="199"/>
        <v>154969</v>
      </c>
      <c r="FP39" s="352">
        <f t="shared" si="199"/>
        <v>156588</v>
      </c>
      <c r="FQ39" s="352">
        <f t="shared" si="199"/>
        <v>156084</v>
      </c>
      <c r="FR39" s="352">
        <f t="shared" ref="FR39:FT39" si="200">SUM(FR9,FR17,FR25,FR32)</f>
        <v>156950</v>
      </c>
      <c r="FS39" s="352">
        <f t="shared" si="200"/>
        <v>158325</v>
      </c>
      <c r="FT39" s="352">
        <f t="shared" si="200"/>
        <v>157798</v>
      </c>
    </row>
    <row r="40" spans="2:182" ht="13.8" thickTop="1" x14ac:dyDescent="0.25">
      <c r="B40" s="3" t="s">
        <v>9</v>
      </c>
      <c r="C40" s="176">
        <f t="shared" ref="C40:Q40" si="201">SUM(C38:C39)</f>
        <v>204522</v>
      </c>
      <c r="D40" s="8">
        <f t="shared" si="201"/>
        <v>207770</v>
      </c>
      <c r="E40" s="8">
        <f t="shared" si="201"/>
        <v>209457</v>
      </c>
      <c r="F40" s="8">
        <f t="shared" si="201"/>
        <v>209463</v>
      </c>
      <c r="G40" s="8">
        <f t="shared" si="201"/>
        <v>210007</v>
      </c>
      <c r="H40" s="8">
        <f t="shared" si="201"/>
        <v>210806</v>
      </c>
      <c r="I40" s="8">
        <f t="shared" si="201"/>
        <v>213164</v>
      </c>
      <c r="J40" s="8">
        <f t="shared" si="201"/>
        <v>214762</v>
      </c>
      <c r="K40" s="8">
        <f t="shared" si="201"/>
        <v>212786</v>
      </c>
      <c r="L40" s="8">
        <f t="shared" si="201"/>
        <v>188258</v>
      </c>
      <c r="M40" s="8">
        <f t="shared" si="201"/>
        <v>187502</v>
      </c>
      <c r="N40" s="10">
        <f t="shared" si="201"/>
        <v>187050</v>
      </c>
      <c r="O40" s="176">
        <f t="shared" si="201"/>
        <v>219527</v>
      </c>
      <c r="P40" s="8">
        <f t="shared" si="201"/>
        <v>196744</v>
      </c>
      <c r="Q40" s="8">
        <f t="shared" si="201"/>
        <v>209261</v>
      </c>
      <c r="R40" s="8">
        <f t="shared" ref="R40:W40" si="202">SUM(R38:R39)</f>
        <v>207684</v>
      </c>
      <c r="S40" s="8">
        <f t="shared" si="202"/>
        <v>208919</v>
      </c>
      <c r="T40" s="8">
        <f t="shared" si="202"/>
        <v>208736</v>
      </c>
      <c r="U40" s="8">
        <f t="shared" si="202"/>
        <v>219173</v>
      </c>
      <c r="V40" s="8">
        <f t="shared" si="202"/>
        <v>208678</v>
      </c>
      <c r="W40" s="8">
        <f t="shared" si="202"/>
        <v>208471</v>
      </c>
      <c r="X40" s="8">
        <f t="shared" ref="X40:AC40" si="203">SUM(X38:X39)</f>
        <v>224053</v>
      </c>
      <c r="Y40" s="8">
        <f t="shared" si="203"/>
        <v>169953</v>
      </c>
      <c r="Z40" s="10">
        <f t="shared" si="203"/>
        <v>203025</v>
      </c>
      <c r="AA40" s="176">
        <f t="shared" si="203"/>
        <v>208212</v>
      </c>
      <c r="AB40" s="8">
        <f t="shared" si="203"/>
        <v>197945</v>
      </c>
      <c r="AC40" s="8">
        <f t="shared" si="203"/>
        <v>228997</v>
      </c>
      <c r="AD40" s="8">
        <f t="shared" ref="AD40:AI40" si="204">SUM(AD38:AD39)</f>
        <v>205002</v>
      </c>
      <c r="AE40" s="8">
        <f t="shared" si="204"/>
        <v>193576</v>
      </c>
      <c r="AF40" s="8">
        <f t="shared" si="204"/>
        <v>214889</v>
      </c>
      <c r="AG40" s="8">
        <f t="shared" si="204"/>
        <v>201624</v>
      </c>
      <c r="AH40" s="8">
        <f t="shared" si="204"/>
        <v>216168</v>
      </c>
      <c r="AI40" s="8">
        <f t="shared" si="204"/>
        <v>203763</v>
      </c>
      <c r="AJ40" s="8">
        <f t="shared" ref="AJ40:AO40" si="205">SUM(AJ38:AJ39)</f>
        <v>202598</v>
      </c>
      <c r="AK40" s="8">
        <f t="shared" si="205"/>
        <v>192298</v>
      </c>
      <c r="AL40" s="10">
        <f t="shared" si="205"/>
        <v>191657</v>
      </c>
      <c r="AM40" s="176">
        <f t="shared" si="205"/>
        <v>202815</v>
      </c>
      <c r="AN40" s="8">
        <f t="shared" si="205"/>
        <v>183234</v>
      </c>
      <c r="AO40" s="8">
        <f t="shared" si="205"/>
        <v>202764</v>
      </c>
      <c r="AP40" s="8">
        <f t="shared" ref="AP40:AU40" si="206">SUM(AP38:AP39)</f>
        <v>192093</v>
      </c>
      <c r="AQ40" s="8">
        <f t="shared" si="206"/>
        <v>198991</v>
      </c>
      <c r="AR40" s="8">
        <f t="shared" si="206"/>
        <v>204525</v>
      </c>
      <c r="AS40" s="8">
        <f t="shared" si="206"/>
        <v>192723</v>
      </c>
      <c r="AT40" s="8">
        <f t="shared" si="206"/>
        <v>225324</v>
      </c>
      <c r="AU40" s="8">
        <f t="shared" si="206"/>
        <v>202704</v>
      </c>
      <c r="AV40" s="8">
        <f t="shared" ref="AV40:BJ40" si="207">SUM(AV38:AV39)</f>
        <v>200799</v>
      </c>
      <c r="AW40" s="8">
        <f t="shared" si="207"/>
        <v>192703</v>
      </c>
      <c r="AX40" s="10">
        <f t="shared" si="207"/>
        <v>191423</v>
      </c>
      <c r="AY40" s="176">
        <f t="shared" si="207"/>
        <v>202996</v>
      </c>
      <c r="AZ40" s="8">
        <f t="shared" si="207"/>
        <v>191486</v>
      </c>
      <c r="BA40" s="8">
        <f t="shared" si="207"/>
        <v>222823</v>
      </c>
      <c r="BB40" s="8">
        <f t="shared" si="207"/>
        <v>190810</v>
      </c>
      <c r="BC40" s="8">
        <f t="shared" si="207"/>
        <v>213168</v>
      </c>
      <c r="BD40" s="8">
        <f t="shared" si="207"/>
        <v>212256</v>
      </c>
      <c r="BE40" s="8">
        <f t="shared" si="207"/>
        <v>192764</v>
      </c>
      <c r="BF40" s="8">
        <f t="shared" si="207"/>
        <v>223084</v>
      </c>
      <c r="BG40" s="8">
        <f t="shared" si="207"/>
        <v>202975</v>
      </c>
      <c r="BH40" s="8">
        <f t="shared" si="207"/>
        <v>211223</v>
      </c>
      <c r="BI40" s="8">
        <f t="shared" si="207"/>
        <v>190299</v>
      </c>
      <c r="BJ40" s="10">
        <f t="shared" si="207"/>
        <v>180523</v>
      </c>
      <c r="BK40" s="176">
        <f t="shared" ref="BK40:BP40" si="208">SUM(BK38:BK39)</f>
        <v>202153</v>
      </c>
      <c r="BL40" s="8">
        <f t="shared" si="208"/>
        <v>190999</v>
      </c>
      <c r="BM40" s="8">
        <f t="shared" si="208"/>
        <v>210849</v>
      </c>
      <c r="BN40" s="8">
        <f t="shared" si="208"/>
        <v>191656</v>
      </c>
      <c r="BO40" s="8">
        <f t="shared" si="208"/>
        <v>211268</v>
      </c>
      <c r="BP40" s="8">
        <f t="shared" si="208"/>
        <v>202327</v>
      </c>
      <c r="BQ40" s="8">
        <f t="shared" ref="BQ40:CB40" si="209">SUM(BQ38:BQ39)</f>
        <v>201991</v>
      </c>
      <c r="BR40" s="8">
        <f t="shared" si="209"/>
        <v>222580</v>
      </c>
      <c r="BS40" s="8">
        <f t="shared" si="209"/>
        <v>181558</v>
      </c>
      <c r="BT40" s="8">
        <f t="shared" si="209"/>
        <v>203204</v>
      </c>
      <c r="BU40" s="8">
        <f t="shared" si="209"/>
        <v>203204</v>
      </c>
      <c r="BV40" s="10">
        <f t="shared" si="209"/>
        <v>203328</v>
      </c>
      <c r="BW40" s="176">
        <f t="shared" si="209"/>
        <v>202920</v>
      </c>
      <c r="BX40" s="8">
        <f t="shared" si="209"/>
        <v>202884</v>
      </c>
      <c r="BY40" s="8">
        <f t="shared" si="209"/>
        <v>203492</v>
      </c>
      <c r="BZ40" s="8">
        <f t="shared" si="209"/>
        <v>203728</v>
      </c>
      <c r="CA40" s="8">
        <f t="shared" si="209"/>
        <v>204869</v>
      </c>
      <c r="CB40" s="8">
        <f t="shared" si="209"/>
        <v>203519</v>
      </c>
      <c r="CC40" s="8">
        <f t="shared" ref="CC40:DK40" si="210">SUM(CC38:CC39)</f>
        <v>204017</v>
      </c>
      <c r="CD40" s="8">
        <f t="shared" si="210"/>
        <v>204315</v>
      </c>
      <c r="CE40" s="8">
        <f t="shared" si="210"/>
        <v>204109</v>
      </c>
      <c r="CF40" s="8">
        <f t="shared" si="210"/>
        <v>202848</v>
      </c>
      <c r="CG40" s="8">
        <f t="shared" si="210"/>
        <v>206660</v>
      </c>
      <c r="CH40" s="9">
        <f t="shared" si="210"/>
        <v>204718</v>
      </c>
      <c r="CI40" s="106">
        <f t="shared" si="210"/>
        <v>201613</v>
      </c>
      <c r="CJ40" s="94">
        <f t="shared" si="210"/>
        <v>201804</v>
      </c>
      <c r="CK40" s="94">
        <f t="shared" si="210"/>
        <v>201921</v>
      </c>
      <c r="CL40" s="94">
        <f t="shared" si="210"/>
        <v>201900</v>
      </c>
      <c r="CM40" s="94">
        <f t="shared" si="210"/>
        <v>202556</v>
      </c>
      <c r="CN40" s="94">
        <f t="shared" si="210"/>
        <v>202253</v>
      </c>
      <c r="CO40" s="94">
        <f t="shared" si="210"/>
        <v>202298</v>
      </c>
      <c r="CP40" s="94">
        <f t="shared" si="210"/>
        <v>203535</v>
      </c>
      <c r="CQ40" s="94">
        <f t="shared" si="210"/>
        <v>202598</v>
      </c>
      <c r="CR40" s="94">
        <f t="shared" si="210"/>
        <v>201939</v>
      </c>
      <c r="CS40" s="94">
        <f t="shared" si="210"/>
        <v>201586</v>
      </c>
      <c r="CT40" s="96">
        <f t="shared" si="210"/>
        <v>201249</v>
      </c>
      <c r="CU40" s="94">
        <f t="shared" si="210"/>
        <v>182323</v>
      </c>
      <c r="CV40" s="94">
        <f t="shared" si="210"/>
        <v>201815</v>
      </c>
      <c r="CW40" s="94">
        <f t="shared" si="210"/>
        <v>201708</v>
      </c>
      <c r="CX40" s="94">
        <f t="shared" si="210"/>
        <v>201691</v>
      </c>
      <c r="CY40" s="94">
        <f t="shared" si="210"/>
        <v>202090</v>
      </c>
      <c r="CZ40" s="94">
        <f t="shared" si="210"/>
        <v>201886</v>
      </c>
      <c r="DA40" s="94">
        <f t="shared" si="210"/>
        <v>201800</v>
      </c>
      <c r="DB40" s="94">
        <f t="shared" si="210"/>
        <v>189850</v>
      </c>
      <c r="DC40" s="94">
        <f t="shared" si="210"/>
        <v>201763</v>
      </c>
      <c r="DD40" s="94">
        <f t="shared" si="210"/>
        <v>192388</v>
      </c>
      <c r="DE40" s="94">
        <f t="shared" si="210"/>
        <v>190824</v>
      </c>
      <c r="DF40" s="96">
        <f t="shared" si="210"/>
        <v>200053</v>
      </c>
      <c r="DG40" s="94">
        <f t="shared" si="210"/>
        <v>178212</v>
      </c>
      <c r="DH40" s="94">
        <f t="shared" si="210"/>
        <v>200682</v>
      </c>
      <c r="DI40" s="94">
        <f t="shared" si="210"/>
        <v>200632</v>
      </c>
      <c r="DJ40" s="94">
        <f t="shared" si="210"/>
        <v>191151</v>
      </c>
      <c r="DK40" s="94">
        <f t="shared" si="210"/>
        <v>181768</v>
      </c>
      <c r="DL40" s="94">
        <f t="shared" ref="DL40:DR40" si="211">SUM(DL38:DL39)</f>
        <v>201657</v>
      </c>
      <c r="DM40" s="94">
        <f t="shared" si="211"/>
        <v>191641</v>
      </c>
      <c r="DN40" s="94">
        <f t="shared" si="211"/>
        <v>201307</v>
      </c>
      <c r="DO40" s="94">
        <f t="shared" si="211"/>
        <v>191717</v>
      </c>
      <c r="DP40" s="94">
        <f t="shared" si="211"/>
        <v>188636</v>
      </c>
      <c r="DQ40" s="94">
        <f t="shared" si="211"/>
        <v>197574</v>
      </c>
      <c r="DR40" s="94">
        <f t="shared" si="211"/>
        <v>176731</v>
      </c>
      <c r="DS40" s="94">
        <f>SUM(DS38:DS39)</f>
        <v>175329</v>
      </c>
      <c r="DT40" s="94">
        <f>SUM(DT38:DT39)</f>
        <v>191483</v>
      </c>
      <c r="DU40" s="94">
        <f>SUM(DU38:DU39)</f>
        <v>201573</v>
      </c>
      <c r="DV40" s="358">
        <f t="shared" ref="DV40:FK40" si="212">SUM(DV38:DV39)</f>
        <v>201531</v>
      </c>
      <c r="DW40" s="358">
        <f t="shared" si="212"/>
        <v>201710</v>
      </c>
      <c r="DX40" s="358">
        <f t="shared" si="212"/>
        <v>199847</v>
      </c>
      <c r="DY40" s="358">
        <f t="shared" si="212"/>
        <v>202428</v>
      </c>
      <c r="DZ40" s="358">
        <f t="shared" si="212"/>
        <v>202586</v>
      </c>
      <c r="EA40" s="358">
        <f t="shared" si="212"/>
        <v>202015</v>
      </c>
      <c r="EB40" s="358">
        <f t="shared" si="212"/>
        <v>202119</v>
      </c>
      <c r="EC40" s="358">
        <f t="shared" si="212"/>
        <v>202573</v>
      </c>
      <c r="ED40" s="358">
        <f t="shared" si="212"/>
        <v>201771</v>
      </c>
      <c r="EE40" s="358">
        <f t="shared" si="212"/>
        <v>201897</v>
      </c>
      <c r="EF40" s="358">
        <f t="shared" si="212"/>
        <v>202339</v>
      </c>
      <c r="EG40" s="358">
        <f t="shared" si="212"/>
        <v>201868</v>
      </c>
      <c r="EH40" s="358">
        <f t="shared" si="212"/>
        <v>203126</v>
      </c>
      <c r="EI40" s="358">
        <f t="shared" si="212"/>
        <v>202420</v>
      </c>
      <c r="EJ40" s="358">
        <f t="shared" si="212"/>
        <v>203624</v>
      </c>
      <c r="EK40" s="358">
        <f t="shared" si="212"/>
        <v>203653</v>
      </c>
      <c r="EL40" s="358">
        <f t="shared" si="212"/>
        <v>203999</v>
      </c>
      <c r="EM40" s="358">
        <f t="shared" si="212"/>
        <v>203343</v>
      </c>
      <c r="EN40" s="358">
        <f t="shared" si="212"/>
        <v>202983</v>
      </c>
      <c r="EO40" s="358">
        <f t="shared" si="212"/>
        <v>202901</v>
      </c>
      <c r="EP40" s="358">
        <f t="shared" si="212"/>
        <v>201486</v>
      </c>
      <c r="EQ40" s="358">
        <f t="shared" si="212"/>
        <v>193029</v>
      </c>
      <c r="ER40" s="358">
        <f t="shared" si="212"/>
        <v>198917</v>
      </c>
      <c r="ES40" s="358">
        <f t="shared" si="212"/>
        <v>193261</v>
      </c>
      <c r="ET40" s="358">
        <f t="shared" si="212"/>
        <v>202953</v>
      </c>
      <c r="EU40" s="358">
        <f t="shared" si="212"/>
        <v>203629</v>
      </c>
      <c r="EV40" s="358">
        <f t="shared" si="212"/>
        <v>203194</v>
      </c>
      <c r="EW40" s="358">
        <f t="shared" si="212"/>
        <v>203905</v>
      </c>
      <c r="EX40" s="358">
        <f t="shared" si="212"/>
        <v>203293</v>
      </c>
      <c r="EY40" s="358">
        <f t="shared" si="212"/>
        <v>201104</v>
      </c>
      <c r="EZ40" s="358">
        <f t="shared" si="212"/>
        <v>204192</v>
      </c>
      <c r="FA40" s="358">
        <f t="shared" si="212"/>
        <v>204268</v>
      </c>
      <c r="FB40" s="358">
        <f t="shared" si="212"/>
        <v>203694</v>
      </c>
      <c r="FC40" s="358">
        <f t="shared" si="212"/>
        <v>203323</v>
      </c>
      <c r="FD40" s="358">
        <f t="shared" si="212"/>
        <v>203749</v>
      </c>
      <c r="FE40" s="358">
        <f t="shared" si="212"/>
        <v>202834</v>
      </c>
      <c r="FF40" s="358">
        <f t="shared" si="212"/>
        <v>203625</v>
      </c>
      <c r="FG40" s="358">
        <f t="shared" si="212"/>
        <v>203624</v>
      </c>
      <c r="FH40" s="358">
        <f t="shared" si="212"/>
        <v>203844</v>
      </c>
      <c r="FI40" s="358">
        <f t="shared" si="212"/>
        <v>203747</v>
      </c>
      <c r="FJ40" s="358">
        <f t="shared" si="212"/>
        <v>204606</v>
      </c>
      <c r="FK40" s="358">
        <f t="shared" si="212"/>
        <v>203194</v>
      </c>
      <c r="FL40" s="358">
        <f t="shared" ref="FL40:FQ40" si="213">SUM(FL38:FL39)</f>
        <v>203993</v>
      </c>
      <c r="FM40" s="358">
        <f t="shared" si="213"/>
        <v>203376</v>
      </c>
      <c r="FN40" s="358">
        <f t="shared" si="213"/>
        <v>202195</v>
      </c>
      <c r="FO40" s="358">
        <f t="shared" si="213"/>
        <v>202730</v>
      </c>
      <c r="FP40" s="358">
        <f t="shared" si="213"/>
        <v>203897</v>
      </c>
      <c r="FQ40" s="358">
        <f t="shared" si="213"/>
        <v>202905</v>
      </c>
      <c r="FR40" s="358">
        <f t="shared" ref="FR40:FT40" si="214">SUM(FR38:FR39)</f>
        <v>203148</v>
      </c>
      <c r="FS40" s="358">
        <f t="shared" si="214"/>
        <v>204106</v>
      </c>
      <c r="FT40" s="358">
        <f t="shared" si="214"/>
        <v>202989</v>
      </c>
    </row>
    <row r="41" spans="2:182" x14ac:dyDescent="0.25">
      <c r="B41" s="3" t="s">
        <v>10</v>
      </c>
      <c r="C41" s="177">
        <f t="shared" ref="C41:Q41" si="215">SUM(C38)/C40</f>
        <v>0.98947790457750262</v>
      </c>
      <c r="D41" s="14">
        <f t="shared" si="215"/>
        <v>0.98445396351735093</v>
      </c>
      <c r="E41" s="14">
        <f t="shared" si="215"/>
        <v>0.97914130346562778</v>
      </c>
      <c r="F41" s="14">
        <f t="shared" si="215"/>
        <v>0.97595756768498498</v>
      </c>
      <c r="G41" s="14">
        <f t="shared" si="215"/>
        <v>0.97387229949477871</v>
      </c>
      <c r="H41" s="14">
        <f t="shared" si="215"/>
        <v>0.97171332884263262</v>
      </c>
      <c r="I41" s="14">
        <f t="shared" si="215"/>
        <v>0.96722711151976881</v>
      </c>
      <c r="J41" s="14">
        <f t="shared" si="215"/>
        <v>0.96022573825909607</v>
      </c>
      <c r="K41" s="14">
        <f t="shared" si="215"/>
        <v>0.95679227016815016</v>
      </c>
      <c r="L41" s="14">
        <f t="shared" si="215"/>
        <v>0.94488946020886233</v>
      </c>
      <c r="M41" s="14">
        <f t="shared" si="215"/>
        <v>0.94051263453189837</v>
      </c>
      <c r="N41" s="23">
        <f t="shared" si="215"/>
        <v>0.93494787489975939</v>
      </c>
      <c r="O41" s="177">
        <f t="shared" si="215"/>
        <v>0.92562646052649555</v>
      </c>
      <c r="P41" s="14">
        <f t="shared" si="215"/>
        <v>0.91999756028138091</v>
      </c>
      <c r="Q41" s="14">
        <f t="shared" si="215"/>
        <v>0.91384921222779214</v>
      </c>
      <c r="R41" s="14">
        <f t="shared" ref="R41:W41" si="216">SUM(R38)/R40</f>
        <v>0.91127385836174191</v>
      </c>
      <c r="S41" s="14">
        <f t="shared" si="216"/>
        <v>0.90345540616219688</v>
      </c>
      <c r="T41" s="14">
        <f t="shared" si="216"/>
        <v>0.89022018243139656</v>
      </c>
      <c r="U41" s="14">
        <f t="shared" si="216"/>
        <v>0.87749403439292251</v>
      </c>
      <c r="V41" s="14">
        <f t="shared" si="216"/>
        <v>0.86713021976442173</v>
      </c>
      <c r="W41" s="14">
        <f t="shared" si="216"/>
        <v>0.85665152467249639</v>
      </c>
      <c r="X41" s="14">
        <f t="shared" ref="X41:AC41" si="217">SUM(X38)/X40</f>
        <v>0.84015389215944447</v>
      </c>
      <c r="Y41" s="14">
        <f t="shared" si="217"/>
        <v>0.82080339858666806</v>
      </c>
      <c r="Z41" s="23">
        <f t="shared" si="217"/>
        <v>0.8122792759512375</v>
      </c>
      <c r="AA41" s="177">
        <f t="shared" si="217"/>
        <v>0.80707644131942446</v>
      </c>
      <c r="AB41" s="14">
        <f t="shared" si="217"/>
        <v>0.80239965647023159</v>
      </c>
      <c r="AC41" s="14">
        <f t="shared" si="217"/>
        <v>0.79545583566596945</v>
      </c>
      <c r="AD41" s="14">
        <f t="shared" ref="AD41:AI41" si="218">SUM(AD38)/AD40</f>
        <v>0.79194349323421231</v>
      </c>
      <c r="AE41" s="14">
        <f t="shared" si="218"/>
        <v>0.78503016902921852</v>
      </c>
      <c r="AF41" s="14">
        <f t="shared" si="218"/>
        <v>0.77656836785503214</v>
      </c>
      <c r="AG41" s="14">
        <f t="shared" si="218"/>
        <v>0.76801868825139863</v>
      </c>
      <c r="AH41" s="14">
        <f t="shared" si="218"/>
        <v>0.75551422967321713</v>
      </c>
      <c r="AI41" s="14">
        <f t="shared" si="218"/>
        <v>0.7443107924402369</v>
      </c>
      <c r="AJ41" s="14">
        <f t="shared" ref="AJ41:AO41" si="219">SUM(AJ38)/AJ40</f>
        <v>0.73460251335156324</v>
      </c>
      <c r="AK41" s="14">
        <f t="shared" si="219"/>
        <v>0.72925875464123391</v>
      </c>
      <c r="AL41" s="23">
        <f t="shared" si="219"/>
        <v>0.72149725812258358</v>
      </c>
      <c r="AM41" s="177">
        <f t="shared" si="219"/>
        <v>0.71704755565416756</v>
      </c>
      <c r="AN41" s="14">
        <f t="shared" si="219"/>
        <v>0.7136721350841001</v>
      </c>
      <c r="AO41" s="14">
        <f t="shared" si="219"/>
        <v>0.70833579925430545</v>
      </c>
      <c r="AP41" s="14">
        <f t="shared" ref="AP41:AU41" si="220">SUM(AP38)/AP40</f>
        <v>0.70437756711592825</v>
      </c>
      <c r="AQ41" s="14">
        <f t="shared" si="220"/>
        <v>0.70289611087938653</v>
      </c>
      <c r="AR41" s="14">
        <f t="shared" si="220"/>
        <v>0.69807114044737806</v>
      </c>
      <c r="AS41" s="14">
        <f t="shared" si="220"/>
        <v>0.68887470618452395</v>
      </c>
      <c r="AT41" s="14">
        <f t="shared" si="220"/>
        <v>0.6843878148799063</v>
      </c>
      <c r="AU41" s="14">
        <f t="shared" si="220"/>
        <v>0.67361768884679141</v>
      </c>
      <c r="AV41" s="14">
        <f t="shared" ref="AV41:BJ41" si="221">SUM(AV38)/AV40</f>
        <v>0.6660491337108253</v>
      </c>
      <c r="AW41" s="14">
        <f t="shared" si="221"/>
        <v>0.6597198798150522</v>
      </c>
      <c r="AX41" s="23">
        <f t="shared" si="221"/>
        <v>0.6536257398536226</v>
      </c>
      <c r="AY41" s="177">
        <f t="shared" si="221"/>
        <v>0.64801276872450686</v>
      </c>
      <c r="AZ41" s="14">
        <f t="shared" si="221"/>
        <v>0.64199993733223315</v>
      </c>
      <c r="BA41" s="14">
        <f t="shared" si="221"/>
        <v>0.63744317238346127</v>
      </c>
      <c r="BB41" s="14">
        <f t="shared" si="221"/>
        <v>0.62761909753157596</v>
      </c>
      <c r="BC41" s="14">
        <f t="shared" si="221"/>
        <v>0.62186632139908427</v>
      </c>
      <c r="BD41" s="14">
        <f t="shared" si="221"/>
        <v>0.60804406000301525</v>
      </c>
      <c r="BE41" s="14">
        <f t="shared" si="221"/>
        <v>0.59658442447759952</v>
      </c>
      <c r="BF41" s="14">
        <f t="shared" si="221"/>
        <v>0.58517419447383046</v>
      </c>
      <c r="BG41" s="14">
        <f t="shared" si="221"/>
        <v>0.57864761670156428</v>
      </c>
      <c r="BH41" s="14">
        <f t="shared" si="221"/>
        <v>0.56192270728093063</v>
      </c>
      <c r="BI41" s="14">
        <f t="shared" si="221"/>
        <v>0.55116422051613512</v>
      </c>
      <c r="BJ41" s="23">
        <f t="shared" si="221"/>
        <v>0.54729868216238375</v>
      </c>
      <c r="BK41" s="177">
        <f t="shared" ref="BK41:BP41" si="222">SUM(BK38)/BK40</f>
        <v>0.54636339802031131</v>
      </c>
      <c r="BL41" s="14">
        <f t="shared" si="222"/>
        <v>0.53875151178801983</v>
      </c>
      <c r="BM41" s="14">
        <f t="shared" si="222"/>
        <v>0.53843745998321069</v>
      </c>
      <c r="BN41" s="14">
        <f t="shared" si="222"/>
        <v>0.52883812664356977</v>
      </c>
      <c r="BO41" s="14">
        <f t="shared" si="222"/>
        <v>0.52177802601435141</v>
      </c>
      <c r="BP41" s="14">
        <f t="shared" si="222"/>
        <v>0.51555650012109111</v>
      </c>
      <c r="BQ41" s="14">
        <f t="shared" ref="BQ41:CB41" si="223">SUM(BQ38)/BQ40</f>
        <v>0.50306696833027209</v>
      </c>
      <c r="BR41" s="14">
        <f t="shared" si="223"/>
        <v>0.49928115733668793</v>
      </c>
      <c r="BS41" s="14">
        <f t="shared" si="223"/>
        <v>0.49169411427753112</v>
      </c>
      <c r="BT41" s="14">
        <f t="shared" si="223"/>
        <v>0.48352394637900831</v>
      </c>
      <c r="BU41" s="14">
        <f t="shared" si="223"/>
        <v>0.4784207003799138</v>
      </c>
      <c r="BV41" s="23">
        <f t="shared" si="223"/>
        <v>0.47206975920679889</v>
      </c>
      <c r="BW41" s="177">
        <f t="shared" si="223"/>
        <v>0.46811058545239503</v>
      </c>
      <c r="BX41" s="14">
        <f t="shared" si="223"/>
        <v>0.46456102994814769</v>
      </c>
      <c r="BY41" s="14">
        <f t="shared" si="223"/>
        <v>0.46028836514457572</v>
      </c>
      <c r="BZ41" s="14">
        <f t="shared" si="223"/>
        <v>0.45476321369669365</v>
      </c>
      <c r="CA41" s="14">
        <f t="shared" si="223"/>
        <v>0.44702224348242048</v>
      </c>
      <c r="CB41" s="14">
        <f t="shared" si="223"/>
        <v>0.4410005945390848</v>
      </c>
      <c r="CC41" s="14">
        <f t="shared" ref="CC41:DK41" si="224">SUM(CC38)/CC40</f>
        <v>0.43546861290970851</v>
      </c>
      <c r="CD41" s="14">
        <f t="shared" si="224"/>
        <v>0.43006631916403593</v>
      </c>
      <c r="CE41" s="14">
        <f t="shared" si="224"/>
        <v>0.42650250601394352</v>
      </c>
      <c r="CF41" s="14">
        <f t="shared" si="224"/>
        <v>0.42438673292317403</v>
      </c>
      <c r="CG41" s="14">
        <f t="shared" si="224"/>
        <v>0.41393593341720702</v>
      </c>
      <c r="CH41" s="23">
        <f t="shared" si="224"/>
        <v>0.41395480612354557</v>
      </c>
      <c r="CI41" s="239">
        <f t="shared" si="224"/>
        <v>0.41860891906771885</v>
      </c>
      <c r="CJ41" s="240">
        <f t="shared" si="224"/>
        <v>0.4154228855721393</v>
      </c>
      <c r="CK41" s="240">
        <f t="shared" si="224"/>
        <v>0.41396387696178211</v>
      </c>
      <c r="CL41" s="240">
        <f t="shared" si="224"/>
        <v>0.4110104011887073</v>
      </c>
      <c r="CM41" s="240">
        <f t="shared" si="224"/>
        <v>0.40818341594423269</v>
      </c>
      <c r="CN41" s="240">
        <f t="shared" si="224"/>
        <v>0.40485926043124204</v>
      </c>
      <c r="CO41" s="240">
        <f t="shared" si="224"/>
        <v>0.4015907225973564</v>
      </c>
      <c r="CP41" s="240">
        <f t="shared" si="224"/>
        <v>0.39644287223327684</v>
      </c>
      <c r="CQ41" s="240">
        <f t="shared" si="224"/>
        <v>0.39300980266340241</v>
      </c>
      <c r="CR41" s="240">
        <f t="shared" si="224"/>
        <v>0.39013761581467671</v>
      </c>
      <c r="CS41" s="240">
        <f t="shared" si="224"/>
        <v>0.38498705267230859</v>
      </c>
      <c r="CT41" s="241">
        <f t="shared" si="224"/>
        <v>0.381934817067414</v>
      </c>
      <c r="CU41" s="240">
        <f t="shared" si="224"/>
        <v>0.37715482961557234</v>
      </c>
      <c r="CV41" s="240">
        <f t="shared" si="224"/>
        <v>0.37496717290587916</v>
      </c>
      <c r="CW41" s="240">
        <f t="shared" si="224"/>
        <v>0.37176016816388047</v>
      </c>
      <c r="CX41" s="240">
        <f t="shared" si="224"/>
        <v>0.36935708583922933</v>
      </c>
      <c r="CY41" s="240">
        <f t="shared" si="224"/>
        <v>0.36810826859320106</v>
      </c>
      <c r="CZ41" s="240">
        <f t="shared" si="224"/>
        <v>0.36652368168174115</v>
      </c>
      <c r="DA41" s="240">
        <f t="shared" si="224"/>
        <v>0.36406342913776019</v>
      </c>
      <c r="DB41" s="240">
        <f t="shared" si="224"/>
        <v>0.36230708454042665</v>
      </c>
      <c r="DC41" s="240">
        <f t="shared" si="224"/>
        <v>0.35913423174714887</v>
      </c>
      <c r="DD41" s="240">
        <f t="shared" si="224"/>
        <v>0.35633719358795768</v>
      </c>
      <c r="DE41" s="240">
        <f t="shared" si="224"/>
        <v>0.35397015050517755</v>
      </c>
      <c r="DF41" s="241">
        <f t="shared" si="224"/>
        <v>0.34916747062028564</v>
      </c>
      <c r="DG41" s="240">
        <f t="shared" si="224"/>
        <v>0.35011671492379864</v>
      </c>
      <c r="DH41" s="240">
        <f t="shared" si="224"/>
        <v>0.34287579354401493</v>
      </c>
      <c r="DI41" s="240">
        <f t="shared" si="224"/>
        <v>0.34158060528729217</v>
      </c>
      <c r="DJ41" s="240">
        <f t="shared" si="224"/>
        <v>0.33948030614540337</v>
      </c>
      <c r="DK41" s="240">
        <f t="shared" si="224"/>
        <v>0.33643435588222348</v>
      </c>
      <c r="DL41" s="240">
        <f t="shared" ref="DL41:DR41" si="225">SUM(DL38)/DL40</f>
        <v>0.33625413449570313</v>
      </c>
      <c r="DM41" s="240">
        <f t="shared" si="225"/>
        <v>0.33567451641350232</v>
      </c>
      <c r="DN41" s="240">
        <f t="shared" si="225"/>
        <v>0.33360985956772493</v>
      </c>
      <c r="DO41" s="240">
        <f t="shared" si="225"/>
        <v>0.33088875790879263</v>
      </c>
      <c r="DP41" s="240">
        <f t="shared" si="225"/>
        <v>0.32932738183591681</v>
      </c>
      <c r="DQ41" s="240">
        <f t="shared" si="225"/>
        <v>0.32875783250832602</v>
      </c>
      <c r="DR41" s="240">
        <f t="shared" si="225"/>
        <v>0.32723743995111215</v>
      </c>
      <c r="DS41" s="240">
        <f t="shared" ref="DS41:FK41" si="226">SUM(DS38)/DS40</f>
        <v>0.32704230332688833</v>
      </c>
      <c r="DT41" s="240">
        <f t="shared" si="226"/>
        <v>0.32518813680587833</v>
      </c>
      <c r="DU41" s="240">
        <f t="shared" si="226"/>
        <v>0.32370902849091893</v>
      </c>
      <c r="DV41" s="356">
        <f t="shared" si="226"/>
        <v>0.32385588321399683</v>
      </c>
      <c r="DW41" s="356">
        <f t="shared" si="226"/>
        <v>0.32273065291755493</v>
      </c>
      <c r="DX41" s="356">
        <f t="shared" si="226"/>
        <v>0.32269686310027168</v>
      </c>
      <c r="DY41" s="356">
        <f t="shared" si="226"/>
        <v>0.31981247653486672</v>
      </c>
      <c r="DZ41" s="356">
        <f t="shared" si="226"/>
        <v>0.31916321957094762</v>
      </c>
      <c r="EA41" s="356">
        <f t="shared" si="226"/>
        <v>0.31760512833205456</v>
      </c>
      <c r="EB41" s="356">
        <f t="shared" si="226"/>
        <v>0.31764455592992247</v>
      </c>
      <c r="EC41" s="356">
        <f t="shared" si="226"/>
        <v>0.31518020664155638</v>
      </c>
      <c r="ED41" s="356">
        <f t="shared" si="226"/>
        <v>0.31263164676787053</v>
      </c>
      <c r="EE41" s="356">
        <f t="shared" si="226"/>
        <v>0.31183227091041471</v>
      </c>
      <c r="EF41" s="356">
        <f t="shared" si="226"/>
        <v>0.30932247367042437</v>
      </c>
      <c r="EG41" s="356">
        <f t="shared" si="226"/>
        <v>0.30651217627360455</v>
      </c>
      <c r="EH41" s="356">
        <f t="shared" si="226"/>
        <v>0.30371296633616574</v>
      </c>
      <c r="EI41" s="356">
        <f t="shared" si="226"/>
        <v>0.30443138029838951</v>
      </c>
      <c r="EJ41" s="356">
        <f t="shared" si="226"/>
        <v>0.30015617019604762</v>
      </c>
      <c r="EK41" s="356">
        <f t="shared" si="226"/>
        <v>0.29846356302141386</v>
      </c>
      <c r="EL41" s="356">
        <f t="shared" si="226"/>
        <v>0.29726126108461315</v>
      </c>
      <c r="EM41" s="356">
        <f t="shared" si="226"/>
        <v>0.29500400800617677</v>
      </c>
      <c r="EN41" s="356">
        <f t="shared" si="226"/>
        <v>0.29242842996704155</v>
      </c>
      <c r="EO41" s="356">
        <f t="shared" si="226"/>
        <v>0.29039778019822476</v>
      </c>
      <c r="EP41" s="356">
        <f t="shared" si="226"/>
        <v>0.2887644799142372</v>
      </c>
      <c r="EQ41" s="356">
        <f t="shared" si="226"/>
        <v>0.288454066487419</v>
      </c>
      <c r="ER41" s="356">
        <f t="shared" si="226"/>
        <v>0.28470165948611731</v>
      </c>
      <c r="ES41" s="356">
        <f t="shared" si="226"/>
        <v>0.28301105758533796</v>
      </c>
      <c r="ET41" s="356">
        <f t="shared" si="226"/>
        <v>0.28171054382049043</v>
      </c>
      <c r="EU41" s="356">
        <f t="shared" si="226"/>
        <v>0.27969493539721751</v>
      </c>
      <c r="EV41" s="356">
        <f t="shared" si="226"/>
        <v>0.27941277793635638</v>
      </c>
      <c r="EW41" s="356">
        <f t="shared" si="226"/>
        <v>0.27551065447144502</v>
      </c>
      <c r="EX41" s="356">
        <f t="shared" si="226"/>
        <v>0.27364936323434647</v>
      </c>
      <c r="EY41" s="282">
        <f t="shared" si="226"/>
        <v>0.27503182432970008</v>
      </c>
      <c r="EZ41" s="282">
        <f t="shared" si="226"/>
        <v>0.26902621062529386</v>
      </c>
      <c r="FA41" s="282">
        <f t="shared" si="226"/>
        <v>0.26646366538077426</v>
      </c>
      <c r="FB41" s="282">
        <f t="shared" si="226"/>
        <v>0.26570247528154978</v>
      </c>
      <c r="FC41" s="282">
        <f t="shared" si="226"/>
        <v>0.26570038805250756</v>
      </c>
      <c r="FD41" s="282">
        <f t="shared" si="226"/>
        <v>0.26292644381076719</v>
      </c>
      <c r="FE41" s="282">
        <f t="shared" si="226"/>
        <v>0.25978879280593981</v>
      </c>
      <c r="FF41" s="282">
        <f t="shared" si="226"/>
        <v>0.25692326580724373</v>
      </c>
      <c r="FG41" s="282">
        <f t="shared" si="226"/>
        <v>0.25524496130122187</v>
      </c>
      <c r="FH41" s="282">
        <f t="shared" si="226"/>
        <v>0.25274229312611607</v>
      </c>
      <c r="FI41" s="282">
        <f t="shared" si="226"/>
        <v>0.25004539944146414</v>
      </c>
      <c r="FJ41" s="282">
        <f t="shared" si="226"/>
        <v>0.24766624634663695</v>
      </c>
      <c r="FK41" s="282">
        <f t="shared" si="226"/>
        <v>0.24425918088132523</v>
      </c>
      <c r="FL41" s="282">
        <f t="shared" ref="FL41:FQ41" si="227">SUM(FL38)/FL40</f>
        <v>0.24147887427509768</v>
      </c>
      <c r="FM41" s="282">
        <f t="shared" si="227"/>
        <v>0.23890232869168437</v>
      </c>
      <c r="FN41" s="282">
        <f t="shared" si="227"/>
        <v>0.23744405153440984</v>
      </c>
      <c r="FO41" s="282">
        <f t="shared" si="227"/>
        <v>0.2355892073200809</v>
      </c>
      <c r="FP41" s="282">
        <f t="shared" si="227"/>
        <v>0.23202401212376839</v>
      </c>
      <c r="FQ41" s="282">
        <f t="shared" si="227"/>
        <v>0.23075330819841797</v>
      </c>
      <c r="FR41" s="282">
        <f t="shared" ref="FR41:FT41" si="228">SUM(FR38)/FR40</f>
        <v>0.22741055781991454</v>
      </c>
      <c r="FS41" s="282">
        <f t="shared" si="228"/>
        <v>0.22430011856584323</v>
      </c>
      <c r="FT41" s="282">
        <f t="shared" si="228"/>
        <v>0.22262782712363724</v>
      </c>
    </row>
    <row r="42" spans="2:182" ht="13.8" thickBot="1" x14ac:dyDescent="0.3">
      <c r="B42" s="4" t="s">
        <v>11</v>
      </c>
      <c r="C42" s="178">
        <f t="shared" ref="C42:Q42" si="229">SUM(C39/C40)</f>
        <v>1.0522095422497334E-2</v>
      </c>
      <c r="D42" s="15">
        <f t="shared" si="229"/>
        <v>1.5546036482649083E-2</v>
      </c>
      <c r="E42" s="15">
        <f t="shared" si="229"/>
        <v>2.0858696534372209E-2</v>
      </c>
      <c r="F42" s="15">
        <f t="shared" si="229"/>
        <v>2.4042432315015062E-2</v>
      </c>
      <c r="G42" s="15">
        <f t="shared" si="229"/>
        <v>2.6127700505221254E-2</v>
      </c>
      <c r="H42" s="15">
        <f t="shared" si="229"/>
        <v>2.8286671157367438E-2</v>
      </c>
      <c r="I42" s="15">
        <f t="shared" si="229"/>
        <v>3.2772888480231181E-2</v>
      </c>
      <c r="J42" s="15">
        <f t="shared" si="229"/>
        <v>3.9774261740903885E-2</v>
      </c>
      <c r="K42" s="15">
        <f t="shared" si="229"/>
        <v>4.3207729831849839E-2</v>
      </c>
      <c r="L42" s="15">
        <f t="shared" si="229"/>
        <v>5.5110539791137697E-2</v>
      </c>
      <c r="M42" s="15">
        <f t="shared" si="229"/>
        <v>5.9487365468101676E-2</v>
      </c>
      <c r="N42" s="24">
        <f t="shared" si="229"/>
        <v>6.5052125100240582E-2</v>
      </c>
      <c r="O42" s="178">
        <f t="shared" si="229"/>
        <v>7.4373539473504405E-2</v>
      </c>
      <c r="P42" s="15">
        <f t="shared" si="229"/>
        <v>8.0002439718619117E-2</v>
      </c>
      <c r="Q42" s="15">
        <f t="shared" si="229"/>
        <v>8.6150787772207915E-2</v>
      </c>
      <c r="R42" s="15">
        <f t="shared" ref="R42:W42" si="230">SUM(R39/R40)</f>
        <v>8.8726141638258121E-2</v>
      </c>
      <c r="S42" s="15">
        <f t="shared" si="230"/>
        <v>9.6544593837803172E-2</v>
      </c>
      <c r="T42" s="15">
        <f t="shared" si="230"/>
        <v>0.1097798175686034</v>
      </c>
      <c r="U42" s="15">
        <f t="shared" si="230"/>
        <v>0.12250596560707751</v>
      </c>
      <c r="V42" s="15">
        <f t="shared" si="230"/>
        <v>0.13286978023557827</v>
      </c>
      <c r="W42" s="15">
        <f t="shared" si="230"/>
        <v>0.14334847532750358</v>
      </c>
      <c r="X42" s="15">
        <f t="shared" ref="X42:AC42" si="231">SUM(X39/X40)</f>
        <v>0.15984610784055558</v>
      </c>
      <c r="Y42" s="15">
        <f t="shared" si="231"/>
        <v>0.17919660141333191</v>
      </c>
      <c r="Z42" s="24">
        <f t="shared" si="231"/>
        <v>0.18772072404876247</v>
      </c>
      <c r="AA42" s="178">
        <f t="shared" si="231"/>
        <v>0.19292355868057556</v>
      </c>
      <c r="AB42" s="15">
        <f t="shared" si="231"/>
        <v>0.19760034352976838</v>
      </c>
      <c r="AC42" s="15">
        <f t="shared" si="231"/>
        <v>0.20454416433403058</v>
      </c>
      <c r="AD42" s="15">
        <f t="shared" ref="AD42:AI42" si="232">SUM(AD39/AD40)</f>
        <v>0.20805650676578766</v>
      </c>
      <c r="AE42" s="15">
        <f t="shared" si="232"/>
        <v>0.21496983097078151</v>
      </c>
      <c r="AF42" s="15">
        <f t="shared" si="232"/>
        <v>0.22343163214496786</v>
      </c>
      <c r="AG42" s="15">
        <f t="shared" si="232"/>
        <v>0.23198131174860134</v>
      </c>
      <c r="AH42" s="15">
        <f t="shared" si="232"/>
        <v>0.24448577032678287</v>
      </c>
      <c r="AI42" s="15">
        <f t="shared" si="232"/>
        <v>0.25568920755976304</v>
      </c>
      <c r="AJ42" s="15">
        <f t="shared" ref="AJ42:AO42" si="233">SUM(AJ39/AJ40)</f>
        <v>0.26539748664843682</v>
      </c>
      <c r="AK42" s="15">
        <f t="shared" si="233"/>
        <v>0.27074124535876609</v>
      </c>
      <c r="AL42" s="24">
        <f t="shared" si="233"/>
        <v>0.27850274187741642</v>
      </c>
      <c r="AM42" s="178">
        <f t="shared" si="233"/>
        <v>0.28295244434583239</v>
      </c>
      <c r="AN42" s="15">
        <f t="shared" si="233"/>
        <v>0.2863278649158999</v>
      </c>
      <c r="AO42" s="15">
        <f t="shared" si="233"/>
        <v>0.29166420074569449</v>
      </c>
      <c r="AP42" s="15">
        <f t="shared" ref="AP42:AU42" si="234">SUM(AP39/AP40)</f>
        <v>0.29562243288407175</v>
      </c>
      <c r="AQ42" s="15">
        <f t="shared" si="234"/>
        <v>0.29710388912061347</v>
      </c>
      <c r="AR42" s="15">
        <f t="shared" si="234"/>
        <v>0.30192885955262194</v>
      </c>
      <c r="AS42" s="15">
        <f t="shared" si="234"/>
        <v>0.3111252938154761</v>
      </c>
      <c r="AT42" s="15">
        <f t="shared" si="234"/>
        <v>0.31561218512009376</v>
      </c>
      <c r="AU42" s="15">
        <f t="shared" si="234"/>
        <v>0.32638231115320859</v>
      </c>
      <c r="AV42" s="15">
        <f>SUM(AV39/AV40)</f>
        <v>0.33395086628917475</v>
      </c>
      <c r="AW42" s="15">
        <f>SUM(AW39/AW40)</f>
        <v>0.3402801201849478</v>
      </c>
      <c r="AX42" s="24">
        <f>SUM(AX39/AX40)</f>
        <v>0.3463742601463774</v>
      </c>
      <c r="AY42" s="178">
        <f t="shared" ref="AY42:BG42" si="235">SUM(AY39/AY40)</f>
        <v>0.35198723127549314</v>
      </c>
      <c r="AZ42" s="15">
        <f t="shared" si="235"/>
        <v>0.35800006266776685</v>
      </c>
      <c r="BA42" s="15">
        <f t="shared" si="235"/>
        <v>0.36255682761653868</v>
      </c>
      <c r="BB42" s="15">
        <f t="shared" si="235"/>
        <v>0.37238090246842409</v>
      </c>
      <c r="BC42" s="15">
        <f t="shared" si="235"/>
        <v>0.37813367860091573</v>
      </c>
      <c r="BD42" s="15">
        <f t="shared" si="235"/>
        <v>0.39195593999698475</v>
      </c>
      <c r="BE42" s="15">
        <f t="shared" si="235"/>
        <v>0.40341557552240043</v>
      </c>
      <c r="BF42" s="15">
        <f t="shared" si="235"/>
        <v>0.41482580552616949</v>
      </c>
      <c r="BG42" s="15">
        <f t="shared" si="235"/>
        <v>0.42135238329843577</v>
      </c>
      <c r="BH42" s="15">
        <f t="shared" ref="BH42:BM42" si="236">SUM(BH39/BH40)</f>
        <v>0.43807729271906942</v>
      </c>
      <c r="BI42" s="15">
        <f t="shared" si="236"/>
        <v>0.44883577948386488</v>
      </c>
      <c r="BJ42" s="24">
        <f t="shared" si="236"/>
        <v>0.45270131783761625</v>
      </c>
      <c r="BK42" s="178">
        <f t="shared" si="236"/>
        <v>0.45363660197968864</v>
      </c>
      <c r="BL42" s="15">
        <f t="shared" si="236"/>
        <v>0.46124848821198017</v>
      </c>
      <c r="BM42" s="15">
        <f t="shared" si="236"/>
        <v>0.46156254001678926</v>
      </c>
      <c r="BN42" s="15">
        <f t="shared" ref="BN42:BS42" si="237">SUM(BN39/BN40)</f>
        <v>0.47116187335643028</v>
      </c>
      <c r="BO42" s="15">
        <f t="shared" si="237"/>
        <v>0.47822197398564859</v>
      </c>
      <c r="BP42" s="15">
        <f t="shared" si="237"/>
        <v>0.48444349987890889</v>
      </c>
      <c r="BQ42" s="15">
        <f t="shared" si="237"/>
        <v>0.49693303166972785</v>
      </c>
      <c r="BR42" s="15">
        <f t="shared" si="237"/>
        <v>0.50071884266331201</v>
      </c>
      <c r="BS42" s="15">
        <f t="shared" si="237"/>
        <v>0.50830588572246882</v>
      </c>
      <c r="BT42" s="15">
        <f>SUM(BT39/BT40)</f>
        <v>0.51647605362099169</v>
      </c>
      <c r="BU42" s="15">
        <f>SUM(BU39/BU40)</f>
        <v>0.5215792996200862</v>
      </c>
      <c r="BV42" s="24">
        <f>SUM(BV39/BV40)</f>
        <v>0.52793024079320117</v>
      </c>
      <c r="BW42" s="178">
        <f t="shared" ref="BW42:CB42" si="238">SUM(BW39/BW40)</f>
        <v>0.53188941454760497</v>
      </c>
      <c r="BX42" s="15">
        <f t="shared" si="238"/>
        <v>0.53543897005185226</v>
      </c>
      <c r="BY42" s="15">
        <f t="shared" si="238"/>
        <v>0.53971163485542428</v>
      </c>
      <c r="BZ42" s="15">
        <f t="shared" si="238"/>
        <v>0.54523678630330641</v>
      </c>
      <c r="CA42" s="15">
        <f t="shared" si="238"/>
        <v>0.55297775651757952</v>
      </c>
      <c r="CB42" s="15">
        <f t="shared" si="238"/>
        <v>0.5589994054609152</v>
      </c>
      <c r="CC42" s="15">
        <f t="shared" ref="CC42:DK42" si="239">SUM(CC39/CC40)</f>
        <v>0.56453138709029149</v>
      </c>
      <c r="CD42" s="15">
        <f t="shared" si="239"/>
        <v>0.56993368083596407</v>
      </c>
      <c r="CE42" s="15">
        <f t="shared" si="239"/>
        <v>0.57349749398605643</v>
      </c>
      <c r="CF42" s="15">
        <f t="shared" si="239"/>
        <v>0.57561326707682603</v>
      </c>
      <c r="CG42" s="15">
        <f t="shared" si="239"/>
        <v>0.58606406658279298</v>
      </c>
      <c r="CH42" s="24">
        <f t="shared" si="239"/>
        <v>0.58604519387645448</v>
      </c>
      <c r="CI42" s="244">
        <f t="shared" si="239"/>
        <v>0.5813910809322812</v>
      </c>
      <c r="CJ42" s="245">
        <f t="shared" si="239"/>
        <v>0.58457711442786064</v>
      </c>
      <c r="CK42" s="245">
        <f t="shared" si="239"/>
        <v>0.58603612303821795</v>
      </c>
      <c r="CL42" s="245">
        <f t="shared" si="239"/>
        <v>0.58898959881129276</v>
      </c>
      <c r="CM42" s="245">
        <f t="shared" si="239"/>
        <v>0.59181658405576731</v>
      </c>
      <c r="CN42" s="245">
        <f t="shared" si="239"/>
        <v>0.5951407395687579</v>
      </c>
      <c r="CO42" s="245">
        <f t="shared" si="239"/>
        <v>0.5984092774026436</v>
      </c>
      <c r="CP42" s="245">
        <f t="shared" si="239"/>
        <v>0.60355712776672321</v>
      </c>
      <c r="CQ42" s="245">
        <f t="shared" si="239"/>
        <v>0.60699019733659765</v>
      </c>
      <c r="CR42" s="245">
        <f t="shared" si="239"/>
        <v>0.60986238418532324</v>
      </c>
      <c r="CS42" s="245">
        <f t="shared" si="239"/>
        <v>0.61501294732769141</v>
      </c>
      <c r="CT42" s="246">
        <f t="shared" si="239"/>
        <v>0.61806518293258605</v>
      </c>
      <c r="CU42" s="245">
        <f t="shared" si="239"/>
        <v>0.62284517038442766</v>
      </c>
      <c r="CV42" s="245">
        <f t="shared" si="239"/>
        <v>0.62503282709412089</v>
      </c>
      <c r="CW42" s="245">
        <f t="shared" si="239"/>
        <v>0.62823983183611953</v>
      </c>
      <c r="CX42" s="245">
        <f t="shared" si="239"/>
        <v>0.63064291416077067</v>
      </c>
      <c r="CY42" s="245">
        <f t="shared" si="239"/>
        <v>0.631891731406799</v>
      </c>
      <c r="CZ42" s="245">
        <f t="shared" si="239"/>
        <v>0.63347631831825879</v>
      </c>
      <c r="DA42" s="245">
        <f t="shared" si="239"/>
        <v>0.63593657086223987</v>
      </c>
      <c r="DB42" s="245">
        <f t="shared" si="239"/>
        <v>0.6376929154595733</v>
      </c>
      <c r="DC42" s="245">
        <f t="shared" si="239"/>
        <v>0.64086576825285113</v>
      </c>
      <c r="DD42" s="245">
        <f t="shared" si="239"/>
        <v>0.64366280641204232</v>
      </c>
      <c r="DE42" s="245">
        <f t="shared" si="239"/>
        <v>0.64602984949482245</v>
      </c>
      <c r="DF42" s="246">
        <f t="shared" si="239"/>
        <v>0.65083252937971436</v>
      </c>
      <c r="DG42" s="245">
        <f t="shared" si="239"/>
        <v>0.64988328507620141</v>
      </c>
      <c r="DH42" s="245">
        <f t="shared" si="239"/>
        <v>0.65712420645598513</v>
      </c>
      <c r="DI42" s="245">
        <f t="shared" si="239"/>
        <v>0.65841939471270783</v>
      </c>
      <c r="DJ42" s="245">
        <f t="shared" si="239"/>
        <v>0.66051969385459663</v>
      </c>
      <c r="DK42" s="245">
        <f t="shared" si="239"/>
        <v>0.66356564411777652</v>
      </c>
      <c r="DL42" s="245">
        <f t="shared" ref="DL42:DR42" si="240">SUM(DL39/DL40)</f>
        <v>0.66374586550429693</v>
      </c>
      <c r="DM42" s="245">
        <f t="shared" si="240"/>
        <v>0.66432548358649768</v>
      </c>
      <c r="DN42" s="245">
        <f t="shared" si="240"/>
        <v>0.66639014043227507</v>
      </c>
      <c r="DO42" s="245">
        <f t="shared" si="240"/>
        <v>0.66911124209120731</v>
      </c>
      <c r="DP42" s="245">
        <f t="shared" si="240"/>
        <v>0.67067261816408319</v>
      </c>
      <c r="DQ42" s="245">
        <f t="shared" si="240"/>
        <v>0.67124216749167398</v>
      </c>
      <c r="DR42" s="245">
        <f t="shared" si="240"/>
        <v>0.6727625600488879</v>
      </c>
      <c r="DS42" s="245">
        <f t="shared" ref="DS42:FK42" si="241">SUM(DS39/DS40)</f>
        <v>0.67295769667311167</v>
      </c>
      <c r="DT42" s="245">
        <f t="shared" si="241"/>
        <v>0.67481186319412167</v>
      </c>
      <c r="DU42" s="245">
        <f t="shared" si="241"/>
        <v>0.67629097150908113</v>
      </c>
      <c r="DV42" s="357">
        <f t="shared" si="241"/>
        <v>0.67614411678600317</v>
      </c>
      <c r="DW42" s="357">
        <f t="shared" si="241"/>
        <v>0.67726934708244513</v>
      </c>
      <c r="DX42" s="357">
        <f t="shared" si="241"/>
        <v>0.67730313689972832</v>
      </c>
      <c r="DY42" s="357">
        <f t="shared" si="241"/>
        <v>0.68018752346513334</v>
      </c>
      <c r="DZ42" s="357">
        <f t="shared" si="241"/>
        <v>0.68083678042905238</v>
      </c>
      <c r="EA42" s="357">
        <f t="shared" si="241"/>
        <v>0.68239487166794544</v>
      </c>
      <c r="EB42" s="357">
        <f t="shared" si="241"/>
        <v>0.68235544407007753</v>
      </c>
      <c r="EC42" s="357">
        <f t="shared" si="241"/>
        <v>0.68481979335844367</v>
      </c>
      <c r="ED42" s="357">
        <f t="shared" si="241"/>
        <v>0.68736835323212953</v>
      </c>
      <c r="EE42" s="357">
        <f t="shared" si="241"/>
        <v>0.68816772908958523</v>
      </c>
      <c r="EF42" s="357">
        <f t="shared" si="241"/>
        <v>0.69067752632957558</v>
      </c>
      <c r="EG42" s="357">
        <f t="shared" si="241"/>
        <v>0.6934878237263955</v>
      </c>
      <c r="EH42" s="357">
        <f t="shared" si="241"/>
        <v>0.69628703366383426</v>
      </c>
      <c r="EI42" s="357">
        <f t="shared" si="241"/>
        <v>0.69556861970161055</v>
      </c>
      <c r="EJ42" s="357">
        <f t="shared" si="241"/>
        <v>0.69984382980395243</v>
      </c>
      <c r="EK42" s="357">
        <f t="shared" si="241"/>
        <v>0.70153643697858614</v>
      </c>
      <c r="EL42" s="357">
        <f t="shared" si="241"/>
        <v>0.70273873891538685</v>
      </c>
      <c r="EM42" s="357">
        <f t="shared" si="241"/>
        <v>0.70499599199382323</v>
      </c>
      <c r="EN42" s="357">
        <f t="shared" si="241"/>
        <v>0.70757157003295845</v>
      </c>
      <c r="EO42" s="357">
        <f t="shared" si="241"/>
        <v>0.70960221980177529</v>
      </c>
      <c r="EP42" s="357">
        <f t="shared" si="241"/>
        <v>0.71123552008576274</v>
      </c>
      <c r="EQ42" s="357">
        <f t="shared" si="241"/>
        <v>0.711545933512581</v>
      </c>
      <c r="ER42" s="357">
        <f t="shared" si="241"/>
        <v>0.71529834051388264</v>
      </c>
      <c r="ES42" s="357">
        <f t="shared" si="241"/>
        <v>0.71698894241466204</v>
      </c>
      <c r="ET42" s="357">
        <f t="shared" si="241"/>
        <v>0.71828945617950957</v>
      </c>
      <c r="EU42" s="357">
        <f t="shared" si="241"/>
        <v>0.72030506460278254</v>
      </c>
      <c r="EV42" s="357">
        <f t="shared" si="241"/>
        <v>0.72058722206364356</v>
      </c>
      <c r="EW42" s="357">
        <f t="shared" si="241"/>
        <v>0.72448934552855493</v>
      </c>
      <c r="EX42" s="357">
        <f t="shared" si="241"/>
        <v>0.72635063676565348</v>
      </c>
      <c r="EY42" s="354">
        <f t="shared" si="241"/>
        <v>0.72496817567029992</v>
      </c>
      <c r="EZ42" s="354">
        <f t="shared" si="241"/>
        <v>0.73097378937470614</v>
      </c>
      <c r="FA42" s="354">
        <f t="shared" si="241"/>
        <v>0.73353633461922574</v>
      </c>
      <c r="FB42" s="354">
        <f t="shared" si="241"/>
        <v>0.73429752471845022</v>
      </c>
      <c r="FC42" s="354">
        <f t="shared" si="241"/>
        <v>0.73429961194749238</v>
      </c>
      <c r="FD42" s="354">
        <f t="shared" si="241"/>
        <v>0.73707355618923287</v>
      </c>
      <c r="FE42" s="354">
        <f t="shared" si="241"/>
        <v>0.74021120719406019</v>
      </c>
      <c r="FF42" s="354">
        <f t="shared" si="241"/>
        <v>0.74307673419275633</v>
      </c>
      <c r="FG42" s="354">
        <f t="shared" si="241"/>
        <v>0.74475503869877813</v>
      </c>
      <c r="FH42" s="354">
        <f t="shared" si="241"/>
        <v>0.74725770687388393</v>
      </c>
      <c r="FI42" s="354">
        <f t="shared" si="241"/>
        <v>0.7499546005585358</v>
      </c>
      <c r="FJ42" s="354">
        <f t="shared" si="241"/>
        <v>0.75233375365336308</v>
      </c>
      <c r="FK42" s="354">
        <f t="shared" si="241"/>
        <v>0.75574081911867474</v>
      </c>
      <c r="FL42" s="354">
        <f t="shared" ref="FL42:FQ42" si="242">SUM(FL39/FL40)</f>
        <v>0.75852112572490238</v>
      </c>
      <c r="FM42" s="354">
        <f t="shared" si="242"/>
        <v>0.76109767130831563</v>
      </c>
      <c r="FN42" s="354">
        <f t="shared" si="242"/>
        <v>0.76255594846559016</v>
      </c>
      <c r="FO42" s="354">
        <f t="shared" si="242"/>
        <v>0.76441079267991907</v>
      </c>
      <c r="FP42" s="354">
        <f t="shared" si="242"/>
        <v>0.76797598787623167</v>
      </c>
      <c r="FQ42" s="354">
        <f t="shared" si="242"/>
        <v>0.76924669180158201</v>
      </c>
      <c r="FR42" s="354">
        <f t="shared" ref="FR42:FT42" si="243">SUM(FR39/FR40)</f>
        <v>0.77258944218008541</v>
      </c>
      <c r="FS42" s="354">
        <f t="shared" si="243"/>
        <v>0.7756998814341568</v>
      </c>
      <c r="FT42" s="354">
        <f t="shared" si="243"/>
        <v>0.77737217287636273</v>
      </c>
    </row>
    <row r="43" spans="2:182" x14ac:dyDescent="0.25">
      <c r="B43" s="48"/>
      <c r="C43" s="36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36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36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36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36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18"/>
      <c r="DG43" s="18"/>
    </row>
    <row r="44" spans="2:182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2:182" x14ac:dyDescent="0.25">
      <c r="B45" s="2"/>
      <c r="C45" s="575" t="s">
        <v>79</v>
      </c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 t="s">
        <v>79</v>
      </c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 t="s">
        <v>79</v>
      </c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 t="s">
        <v>79</v>
      </c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 t="s">
        <v>79</v>
      </c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 t="s">
        <v>79</v>
      </c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 t="s">
        <v>79</v>
      </c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76" t="s">
        <v>79</v>
      </c>
      <c r="CV45" s="576"/>
      <c r="CW45" s="576"/>
      <c r="CX45" s="576"/>
      <c r="CY45" s="576"/>
      <c r="CZ45" s="576"/>
      <c r="DA45" s="576"/>
      <c r="DB45" s="576"/>
      <c r="DC45" s="576"/>
      <c r="DD45" s="576"/>
      <c r="DE45" s="576"/>
      <c r="DF45" s="576"/>
      <c r="DG45" s="576" t="s">
        <v>79</v>
      </c>
      <c r="DH45" s="576"/>
      <c r="DI45" s="576"/>
      <c r="DJ45" s="576"/>
      <c r="DK45" s="576"/>
      <c r="DL45" s="576"/>
      <c r="DM45" s="576"/>
      <c r="DN45" s="576"/>
      <c r="DO45" s="576"/>
      <c r="DP45" s="576"/>
      <c r="DQ45" s="576"/>
      <c r="DR45" s="576"/>
      <c r="DS45" s="576" t="s">
        <v>79</v>
      </c>
      <c r="DT45" s="576"/>
      <c r="DU45" s="576"/>
      <c r="DV45" s="576"/>
      <c r="DW45" s="576"/>
      <c r="DX45" s="576"/>
      <c r="DY45" s="576"/>
      <c r="DZ45" s="576"/>
      <c r="EA45" s="576"/>
      <c r="EB45" s="576"/>
      <c r="EC45" s="576"/>
      <c r="ED45" s="576"/>
      <c r="EE45" s="576" t="s">
        <v>79</v>
      </c>
      <c r="EF45" s="576"/>
      <c r="EG45" s="576"/>
      <c r="EH45" s="576"/>
      <c r="EI45" s="576"/>
      <c r="EJ45" s="576"/>
      <c r="EK45" s="576"/>
      <c r="EL45" s="576"/>
      <c r="EM45" s="576"/>
      <c r="EN45" s="576"/>
      <c r="EO45" s="576"/>
      <c r="EP45" s="576"/>
      <c r="EQ45" s="576" t="s">
        <v>79</v>
      </c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 t="s">
        <v>79</v>
      </c>
      <c r="FD45" s="576"/>
      <c r="FE45" s="576"/>
      <c r="FF45" s="576"/>
      <c r="FG45" s="576"/>
      <c r="FH45" s="576"/>
      <c r="FI45" s="576"/>
      <c r="FJ45" s="576"/>
      <c r="FK45" s="576"/>
      <c r="FL45" s="576"/>
      <c r="FM45" s="576"/>
      <c r="FN45" s="576"/>
      <c r="FO45" s="576" t="s">
        <v>79</v>
      </c>
      <c r="FP45" s="576"/>
      <c r="FQ45" s="576"/>
      <c r="FR45" s="576"/>
      <c r="FS45" s="576"/>
      <c r="FT45" s="576"/>
      <c r="FU45" s="576"/>
      <c r="FV45" s="576"/>
      <c r="FW45" s="576"/>
      <c r="FX45" s="576"/>
      <c r="FY45" s="576"/>
      <c r="FZ45" s="576"/>
    </row>
    <row r="46" spans="2:182" ht="13.8" thickBot="1" x14ac:dyDescent="0.3">
      <c r="B46" s="2"/>
      <c r="C46" s="582" t="s">
        <v>78</v>
      </c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 t="s">
        <v>78</v>
      </c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 t="s">
        <v>78</v>
      </c>
      <c r="AB46" s="582"/>
      <c r="AC46" s="582"/>
      <c r="AD46" s="582"/>
      <c r="AE46" s="582"/>
      <c r="AF46" s="582"/>
      <c r="AG46" s="582"/>
      <c r="AH46" s="582"/>
      <c r="AI46" s="582"/>
      <c r="AJ46" s="582"/>
      <c r="AK46" s="582"/>
      <c r="AL46" s="582"/>
      <c r="AM46" s="582" t="s">
        <v>78</v>
      </c>
      <c r="AN46" s="582"/>
      <c r="AO46" s="582"/>
      <c r="AP46" s="582"/>
      <c r="AQ46" s="582"/>
      <c r="AR46" s="582"/>
      <c r="AS46" s="582"/>
      <c r="AT46" s="582"/>
      <c r="AU46" s="582"/>
      <c r="AV46" s="582"/>
      <c r="AW46" s="582"/>
      <c r="AX46" s="582"/>
      <c r="AY46" s="582" t="s">
        <v>78</v>
      </c>
      <c r="AZ46" s="582"/>
      <c r="BA46" s="582"/>
      <c r="BB46" s="582"/>
      <c r="BC46" s="582"/>
      <c r="BD46" s="582"/>
      <c r="BE46" s="582"/>
      <c r="BF46" s="582"/>
      <c r="BG46" s="582"/>
      <c r="BH46" s="582"/>
      <c r="BI46" s="582"/>
      <c r="BJ46" s="582"/>
      <c r="BK46" s="582" t="s">
        <v>78</v>
      </c>
      <c r="BL46" s="582"/>
      <c r="BM46" s="582"/>
      <c r="BN46" s="582"/>
      <c r="BO46" s="582"/>
      <c r="BP46" s="582"/>
      <c r="BQ46" s="582"/>
      <c r="BR46" s="582"/>
      <c r="BS46" s="582"/>
      <c r="BT46" s="582"/>
      <c r="BU46" s="582"/>
      <c r="BV46" s="582"/>
      <c r="BW46" s="576" t="s">
        <v>91</v>
      </c>
      <c r="BX46" s="576"/>
      <c r="BY46" s="576"/>
      <c r="BZ46" s="576"/>
      <c r="CA46" s="576"/>
      <c r="CB46" s="576"/>
      <c r="CC46" s="576"/>
      <c r="CD46" s="576"/>
      <c r="CE46" s="576"/>
      <c r="CF46" s="576"/>
      <c r="CG46" s="576"/>
      <c r="CH46" s="576"/>
      <c r="CI46" s="576" t="s">
        <v>91</v>
      </c>
      <c r="CJ46" s="576"/>
      <c r="CK46" s="576"/>
      <c r="CL46" s="576"/>
      <c r="CM46" s="576"/>
      <c r="CN46" s="576"/>
      <c r="CO46" s="576"/>
      <c r="CP46" s="576"/>
      <c r="CQ46" s="576"/>
      <c r="CR46" s="576"/>
      <c r="CS46" s="576"/>
      <c r="CT46" s="576"/>
      <c r="CU46" s="576" t="s">
        <v>91</v>
      </c>
      <c r="CV46" s="576"/>
      <c r="CW46" s="576"/>
      <c r="CX46" s="576"/>
      <c r="CY46" s="576"/>
      <c r="CZ46" s="576"/>
      <c r="DA46" s="576"/>
      <c r="DB46" s="576"/>
      <c r="DC46" s="576"/>
      <c r="DD46" s="576"/>
      <c r="DE46" s="576"/>
      <c r="DF46" s="576"/>
      <c r="DG46" s="576" t="s">
        <v>91</v>
      </c>
      <c r="DH46" s="576"/>
      <c r="DI46" s="576"/>
      <c r="DJ46" s="576"/>
      <c r="DK46" s="576"/>
      <c r="DL46" s="576"/>
      <c r="DM46" s="576"/>
      <c r="DN46" s="576"/>
      <c r="DO46" s="576"/>
      <c r="DP46" s="576"/>
      <c r="DQ46" s="576"/>
      <c r="DR46" s="576"/>
      <c r="DS46" s="576" t="s">
        <v>91</v>
      </c>
      <c r="DT46" s="576"/>
      <c r="DU46" s="576"/>
      <c r="DV46" s="576"/>
      <c r="DW46" s="576"/>
      <c r="DX46" s="576"/>
      <c r="DY46" s="576"/>
      <c r="DZ46" s="576"/>
      <c r="EA46" s="576"/>
      <c r="EB46" s="576"/>
      <c r="EC46" s="576"/>
      <c r="ED46" s="576"/>
      <c r="EE46" s="576" t="s">
        <v>91</v>
      </c>
      <c r="EF46" s="576"/>
      <c r="EG46" s="576"/>
      <c r="EH46" s="576"/>
      <c r="EI46" s="576"/>
      <c r="EJ46" s="576"/>
      <c r="EK46" s="576"/>
      <c r="EL46" s="576"/>
      <c r="EM46" s="576"/>
      <c r="EN46" s="576"/>
      <c r="EO46" s="576"/>
      <c r="EP46" s="576"/>
      <c r="EQ46" s="576" t="s">
        <v>91</v>
      </c>
      <c r="ER46" s="576"/>
      <c r="ES46" s="576"/>
      <c r="ET46" s="576"/>
      <c r="EU46" s="576"/>
      <c r="EV46" s="576"/>
      <c r="EW46" s="576"/>
      <c r="EX46" s="576"/>
      <c r="EY46" s="576"/>
      <c r="EZ46" s="576"/>
      <c r="FA46" s="576"/>
      <c r="FB46" s="576"/>
      <c r="FC46" s="576" t="s">
        <v>91</v>
      </c>
      <c r="FD46" s="576"/>
      <c r="FE46" s="576"/>
      <c r="FF46" s="576"/>
      <c r="FG46" s="576"/>
      <c r="FH46" s="576"/>
      <c r="FI46" s="576"/>
      <c r="FJ46" s="576"/>
      <c r="FK46" s="576"/>
      <c r="FL46" s="576"/>
      <c r="FM46" s="576"/>
      <c r="FN46" s="576"/>
      <c r="FO46" s="576" t="s">
        <v>91</v>
      </c>
      <c r="FP46" s="576"/>
      <c r="FQ46" s="576"/>
      <c r="FR46" s="576"/>
      <c r="FS46" s="576"/>
      <c r="FT46" s="576"/>
      <c r="FU46" s="576"/>
      <c r="FV46" s="576"/>
      <c r="FW46" s="576"/>
      <c r="FX46" s="576"/>
      <c r="FY46" s="576"/>
      <c r="FZ46" s="576"/>
    </row>
    <row r="47" spans="2:182" ht="13.8" thickBot="1" x14ac:dyDescent="0.3">
      <c r="B47" s="2"/>
      <c r="C47" s="579">
        <v>2002</v>
      </c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1"/>
      <c r="O47" s="579">
        <v>2003</v>
      </c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1"/>
      <c r="AA47" s="579">
        <v>2004</v>
      </c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1"/>
      <c r="AM47" s="579">
        <v>2005</v>
      </c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1"/>
      <c r="AY47" s="579">
        <v>2006</v>
      </c>
      <c r="AZ47" s="580"/>
      <c r="BA47" s="580"/>
      <c r="BB47" s="580"/>
      <c r="BC47" s="580"/>
      <c r="BD47" s="580"/>
      <c r="BE47" s="580"/>
      <c r="BF47" s="580"/>
      <c r="BG47" s="580"/>
      <c r="BH47" s="580"/>
      <c r="BI47" s="580"/>
      <c r="BJ47" s="581"/>
      <c r="BK47" s="579">
        <v>2007</v>
      </c>
      <c r="BL47" s="580"/>
      <c r="BM47" s="580"/>
      <c r="BN47" s="580"/>
      <c r="BO47" s="580"/>
      <c r="BP47" s="580"/>
      <c r="BQ47" s="580"/>
      <c r="BR47" s="580"/>
      <c r="BS47" s="580"/>
      <c r="BT47" s="580"/>
      <c r="BU47" s="580"/>
      <c r="BV47" s="581"/>
      <c r="BW47" s="579">
        <v>2008</v>
      </c>
      <c r="BX47" s="580"/>
      <c r="BY47" s="580"/>
      <c r="BZ47" s="580"/>
      <c r="CA47" s="580"/>
      <c r="CB47" s="580"/>
      <c r="CC47" s="580"/>
      <c r="CD47" s="580"/>
      <c r="CE47" s="580"/>
      <c r="CF47" s="580"/>
      <c r="CG47" s="580"/>
      <c r="CH47" s="581"/>
      <c r="CI47" s="579">
        <v>2009</v>
      </c>
      <c r="CJ47" s="580"/>
      <c r="CK47" s="580"/>
      <c r="CL47" s="580"/>
      <c r="CM47" s="580"/>
      <c r="CN47" s="580"/>
      <c r="CO47" s="580"/>
      <c r="CP47" s="580"/>
      <c r="CQ47" s="580"/>
      <c r="CR47" s="580"/>
      <c r="CS47" s="580"/>
      <c r="CT47" s="581"/>
      <c r="CU47" s="599">
        <v>2010</v>
      </c>
      <c r="CV47" s="600"/>
      <c r="CW47" s="600"/>
      <c r="CX47" s="600"/>
      <c r="CY47" s="600"/>
      <c r="CZ47" s="600"/>
      <c r="DA47" s="600"/>
      <c r="DB47" s="600"/>
      <c r="DC47" s="600"/>
      <c r="DD47" s="600"/>
      <c r="DE47" s="600"/>
      <c r="DF47" s="601"/>
      <c r="DG47" s="599">
        <v>2011</v>
      </c>
      <c r="DH47" s="600"/>
      <c r="DI47" s="600"/>
      <c r="DJ47" s="600"/>
      <c r="DK47" s="600"/>
      <c r="DL47" s="600"/>
      <c r="DM47" s="600"/>
      <c r="DN47" s="600"/>
      <c r="DO47" s="600"/>
      <c r="DP47" s="600"/>
      <c r="DQ47" s="600"/>
      <c r="DR47" s="601"/>
      <c r="DS47" s="599">
        <v>2012</v>
      </c>
      <c r="DT47" s="600"/>
      <c r="DU47" s="600"/>
      <c r="DV47" s="600"/>
      <c r="DW47" s="600"/>
      <c r="DX47" s="600"/>
      <c r="DY47" s="600"/>
      <c r="DZ47" s="600"/>
      <c r="EA47" s="600"/>
      <c r="EB47" s="600"/>
      <c r="EC47" s="600"/>
      <c r="ED47" s="601"/>
      <c r="EE47" s="599">
        <v>2013</v>
      </c>
      <c r="EF47" s="600"/>
      <c r="EG47" s="600"/>
      <c r="EH47" s="600"/>
      <c r="EI47" s="600"/>
      <c r="EJ47" s="600"/>
      <c r="EK47" s="600"/>
      <c r="EL47" s="600"/>
      <c r="EM47" s="600"/>
      <c r="EN47" s="600"/>
      <c r="EO47" s="600"/>
      <c r="EP47" s="601"/>
      <c r="EQ47" s="599">
        <v>2014</v>
      </c>
      <c r="ER47" s="600"/>
      <c r="ES47" s="600"/>
      <c r="ET47" s="600"/>
      <c r="EU47" s="600"/>
      <c r="EV47" s="600"/>
      <c r="EW47" s="600"/>
      <c r="EX47" s="600"/>
      <c r="EY47" s="600"/>
      <c r="EZ47" s="600"/>
      <c r="FA47" s="600"/>
      <c r="FB47" s="601"/>
      <c r="FC47" s="599">
        <v>2015</v>
      </c>
      <c r="FD47" s="600"/>
      <c r="FE47" s="600"/>
      <c r="FF47" s="600"/>
      <c r="FG47" s="600"/>
      <c r="FH47" s="600"/>
      <c r="FI47" s="600"/>
      <c r="FJ47" s="600"/>
      <c r="FK47" s="600"/>
      <c r="FL47" s="600"/>
      <c r="FM47" s="600"/>
      <c r="FN47" s="601"/>
      <c r="FO47" s="599">
        <v>2016</v>
      </c>
      <c r="FP47" s="600"/>
      <c r="FQ47" s="600"/>
      <c r="FR47" s="600"/>
      <c r="FS47" s="600"/>
      <c r="FT47" s="600"/>
      <c r="FU47" s="600"/>
      <c r="FV47" s="600"/>
      <c r="FW47" s="600"/>
      <c r="FX47" s="600"/>
      <c r="FY47" s="600"/>
      <c r="FZ47" s="601"/>
    </row>
    <row r="48" spans="2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3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</row>
    <row r="49" spans="2:176" x14ac:dyDescent="0.25">
      <c r="B49" s="74"/>
      <c r="C49" s="174"/>
      <c r="D49" s="64"/>
      <c r="E49" s="64"/>
      <c r="F49" s="64"/>
      <c r="G49" s="64"/>
      <c r="H49" s="65"/>
      <c r="I49" s="64"/>
      <c r="J49" s="64"/>
      <c r="K49" s="64"/>
      <c r="L49" s="64"/>
      <c r="M49" s="64"/>
      <c r="N49" s="66"/>
      <c r="O49" s="174"/>
      <c r="P49" s="64"/>
      <c r="Q49" s="64"/>
      <c r="R49" s="64"/>
      <c r="S49" s="64"/>
      <c r="T49" s="65"/>
      <c r="U49" s="64"/>
      <c r="V49" s="64"/>
      <c r="W49" s="64"/>
      <c r="X49" s="64"/>
      <c r="Y49" s="64"/>
      <c r="Z49" s="66"/>
      <c r="AA49" s="174"/>
      <c r="AB49" s="64"/>
      <c r="AC49" s="64"/>
      <c r="AD49" s="64"/>
      <c r="AE49" s="64"/>
      <c r="AF49" s="65"/>
      <c r="AG49" s="64"/>
      <c r="AH49" s="64"/>
      <c r="AI49" s="64"/>
      <c r="AJ49" s="64"/>
      <c r="AK49" s="64"/>
      <c r="AL49" s="66"/>
      <c r="AM49" s="174"/>
      <c r="AN49" s="64"/>
      <c r="AO49" s="64"/>
      <c r="AP49" s="64"/>
      <c r="AQ49" s="64"/>
      <c r="AR49" s="65"/>
      <c r="AS49" s="64"/>
      <c r="AT49" s="64"/>
      <c r="AU49" s="64"/>
      <c r="AV49" s="64"/>
      <c r="AW49" s="64"/>
      <c r="AX49" s="66"/>
      <c r="AY49" s="174"/>
      <c r="AZ49" s="64"/>
      <c r="BA49" s="64"/>
      <c r="BB49" s="64"/>
      <c r="BC49" s="64"/>
      <c r="BD49" s="65"/>
      <c r="BE49" s="64"/>
      <c r="BF49" s="64"/>
      <c r="BG49" s="64"/>
      <c r="BH49" s="64"/>
      <c r="BI49" s="64"/>
      <c r="BJ49" s="66"/>
      <c r="BK49" s="174"/>
      <c r="BL49" s="64"/>
      <c r="BM49" s="64"/>
      <c r="BN49" s="64"/>
      <c r="BO49" s="64"/>
      <c r="BP49" s="65"/>
      <c r="BQ49" s="64"/>
      <c r="BR49" s="64"/>
      <c r="BS49" s="64"/>
      <c r="BT49" s="64"/>
      <c r="BU49" s="64"/>
      <c r="BV49" s="66"/>
      <c r="BW49" s="174"/>
      <c r="BX49" s="64"/>
      <c r="BY49" s="64"/>
      <c r="BZ49" s="64"/>
      <c r="CA49" s="64"/>
      <c r="CB49" s="65"/>
      <c r="CC49" s="64"/>
      <c r="CD49" s="64"/>
      <c r="CE49" s="64"/>
      <c r="CF49" s="64"/>
      <c r="CG49" s="64"/>
      <c r="CH49" s="66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6" x14ac:dyDescent="0.25">
      <c r="B50" s="173" t="s">
        <v>31</v>
      </c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74"/>
      <c r="P50" s="18"/>
      <c r="Q50" s="18"/>
      <c r="R50" s="18"/>
      <c r="S50" s="18"/>
      <c r="T50" s="19"/>
      <c r="U50" s="18"/>
      <c r="V50" s="18"/>
      <c r="W50" s="18"/>
      <c r="X50" s="18"/>
      <c r="Y50" s="18"/>
      <c r="Z50" s="20"/>
      <c r="AA50" s="74"/>
      <c r="AB50" s="18"/>
      <c r="AC50" s="18"/>
      <c r="AD50" s="18"/>
      <c r="AE50" s="18"/>
      <c r="AF50" s="19"/>
      <c r="AG50" s="18"/>
      <c r="AH50" s="18"/>
      <c r="AI50" s="18"/>
      <c r="AJ50" s="18"/>
      <c r="AK50" s="18"/>
      <c r="AL50" s="20"/>
      <c r="AM50" s="74"/>
      <c r="AN50" s="18"/>
      <c r="AO50" s="18"/>
      <c r="AP50" s="18"/>
      <c r="AQ50" s="18"/>
      <c r="AR50" s="19"/>
      <c r="AS50" s="18"/>
      <c r="AT50" s="18"/>
      <c r="AU50" s="18"/>
      <c r="AV50" s="18"/>
      <c r="AW50" s="18"/>
      <c r="AX50" s="20"/>
      <c r="AY50" s="74"/>
      <c r="AZ50" s="18"/>
      <c r="BA50" s="18"/>
      <c r="BB50" s="18"/>
      <c r="BC50" s="18"/>
      <c r="BD50" s="19"/>
      <c r="BE50" s="18"/>
      <c r="BF50" s="18"/>
      <c r="BG50" s="18"/>
      <c r="BH50" s="18"/>
      <c r="BI50" s="18"/>
      <c r="BJ50" s="20"/>
      <c r="BK50" s="74"/>
      <c r="BL50" s="18"/>
      <c r="BM50" s="18"/>
      <c r="BN50" s="18"/>
      <c r="BO50" s="18"/>
      <c r="BP50" s="19"/>
      <c r="BQ50" s="18"/>
      <c r="BR50" s="18"/>
      <c r="BS50" s="18"/>
      <c r="BT50" s="18"/>
      <c r="BU50" s="18"/>
      <c r="BV50" s="20"/>
      <c r="BW50" s="74"/>
      <c r="BX50" s="18"/>
      <c r="BY50" s="18"/>
      <c r="BZ50" s="18"/>
      <c r="CA50" s="18"/>
      <c r="CB50" s="19"/>
      <c r="CC50" s="18"/>
      <c r="CD50" s="18"/>
      <c r="CE50" s="18"/>
      <c r="CF50" s="18"/>
      <c r="CG50" s="18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6" s="68" customFormat="1" x14ac:dyDescent="0.25">
      <c r="B51" s="3" t="s">
        <v>1</v>
      </c>
      <c r="C51" s="121">
        <f>E51</f>
        <v>121520.446</v>
      </c>
      <c r="D51" s="16">
        <f>E51</f>
        <v>121520.446</v>
      </c>
      <c r="E51" s="16">
        <v>121520.446</v>
      </c>
      <c r="F51" s="16">
        <v>106271.99099999999</v>
      </c>
      <c r="G51" s="16">
        <v>115866.57799999999</v>
      </c>
      <c r="H51" s="16">
        <v>143754.495</v>
      </c>
      <c r="I51" s="16">
        <v>172818.36500000002</v>
      </c>
      <c r="J51" s="16">
        <v>186448.47</v>
      </c>
      <c r="K51" s="16">
        <v>191370.853</v>
      </c>
      <c r="L51" s="16">
        <v>127360.09599999999</v>
      </c>
      <c r="M51" s="16">
        <v>93778.212</v>
      </c>
      <c r="N51" s="21">
        <v>126206.62300000001</v>
      </c>
      <c r="O51" s="121">
        <v>146633</v>
      </c>
      <c r="P51" s="16">
        <v>115217</v>
      </c>
      <c r="Q51" s="16">
        <v>110272</v>
      </c>
      <c r="R51" s="16">
        <v>87864</v>
      </c>
      <c r="S51" s="16">
        <v>111401</v>
      </c>
      <c r="T51" s="16">
        <v>135284</v>
      </c>
      <c r="U51" s="16">
        <f>U53-U52</f>
        <v>161694</v>
      </c>
      <c r="V51" s="16">
        <f>V53-V52</f>
        <v>171493</v>
      </c>
      <c r="W51" s="16">
        <f>W53-W52</f>
        <v>138927</v>
      </c>
      <c r="X51" s="16">
        <v>94312</v>
      </c>
      <c r="Y51" s="16">
        <v>62959</v>
      </c>
      <c r="Z51" s="21">
        <v>95709</v>
      </c>
      <c r="AA51" s="121">
        <v>111163</v>
      </c>
      <c r="AB51" s="16">
        <v>96409</v>
      </c>
      <c r="AC51" s="16">
        <v>94455</v>
      </c>
      <c r="AD51" s="16">
        <v>71375</v>
      </c>
      <c r="AE51" s="16">
        <v>72914</v>
      </c>
      <c r="AF51" s="16">
        <v>118301</v>
      </c>
      <c r="AG51" s="16">
        <v>125630</v>
      </c>
      <c r="AH51" s="16">
        <v>126484</v>
      </c>
      <c r="AI51" s="16">
        <v>103640</v>
      </c>
      <c r="AJ51" s="16">
        <v>78465</v>
      </c>
      <c r="AK51" s="16">
        <v>64012</v>
      </c>
      <c r="AL51" s="21">
        <v>83801</v>
      </c>
      <c r="AM51" s="121">
        <v>101646</v>
      </c>
      <c r="AN51" s="16">
        <v>79062</v>
      </c>
      <c r="AO51" s="16">
        <v>71803</v>
      </c>
      <c r="AP51" s="16">
        <v>60159</v>
      </c>
      <c r="AQ51" s="16">
        <v>62481</v>
      </c>
      <c r="AR51" s="16">
        <v>95030</v>
      </c>
      <c r="AS51" s="16">
        <v>117457</v>
      </c>
      <c r="AT51" s="16">
        <v>119720</v>
      </c>
      <c r="AU51" s="16">
        <v>105871</v>
      </c>
      <c r="AV51" s="16">
        <v>82853</v>
      </c>
      <c r="AW51" s="16">
        <v>56054</v>
      </c>
      <c r="AX51" s="21">
        <v>76358</v>
      </c>
      <c r="AY51" s="121">
        <v>83298</v>
      </c>
      <c r="AZ51" s="16">
        <v>63800</v>
      </c>
      <c r="BA51" s="16">
        <v>68432</v>
      </c>
      <c r="BB51" s="16">
        <v>52732</v>
      </c>
      <c r="BC51" s="16">
        <v>67179</v>
      </c>
      <c r="BD51" s="16">
        <v>95151</v>
      </c>
      <c r="BE51" s="16">
        <v>91626</v>
      </c>
      <c r="BF51" s="16">
        <v>112786</v>
      </c>
      <c r="BG51" s="16">
        <v>74507</v>
      </c>
      <c r="BH51" s="16">
        <v>57904</v>
      </c>
      <c r="BI51" s="16">
        <v>41649</v>
      </c>
      <c r="BJ51" s="21">
        <v>54357</v>
      </c>
      <c r="BK51" s="121">
        <v>77596</v>
      </c>
      <c r="BL51" s="16">
        <v>68708</v>
      </c>
      <c r="BM51" s="16">
        <v>53280</v>
      </c>
      <c r="BN51" s="16">
        <v>41125</v>
      </c>
      <c r="BO51" s="16">
        <v>45253</v>
      </c>
      <c r="BP51" s="16">
        <v>55009</v>
      </c>
      <c r="BQ51" s="16">
        <v>65302</v>
      </c>
      <c r="BR51" s="16">
        <v>75052</v>
      </c>
      <c r="BS51" s="16">
        <v>60829</v>
      </c>
      <c r="BT51" s="16">
        <v>57313</v>
      </c>
      <c r="BU51" s="16">
        <v>41118</v>
      </c>
      <c r="BV51" s="21">
        <v>51989</v>
      </c>
      <c r="BW51" s="121">
        <v>65582</v>
      </c>
      <c r="BX51" s="16">
        <v>53507</v>
      </c>
      <c r="BY51" s="16">
        <v>43697</v>
      </c>
      <c r="BZ51" s="16">
        <v>37074</v>
      </c>
      <c r="CA51" s="16">
        <v>37837</v>
      </c>
      <c r="CB51" s="16">
        <v>60347</v>
      </c>
      <c r="CC51" s="16">
        <v>65253</v>
      </c>
      <c r="CD51" s="16">
        <v>67200</v>
      </c>
      <c r="CE51" s="16">
        <v>55291</v>
      </c>
      <c r="CF51" s="16">
        <v>40397</v>
      </c>
      <c r="CG51" s="16">
        <v>32443</v>
      </c>
      <c r="CH51" s="21">
        <v>44375</v>
      </c>
      <c r="CI51" s="201">
        <v>54253</v>
      </c>
      <c r="CJ51" s="69">
        <v>43909</v>
      </c>
      <c r="CK51" s="69">
        <v>35800</v>
      </c>
      <c r="CL51" s="69">
        <v>37226</v>
      </c>
      <c r="CM51" s="69">
        <v>36305</v>
      </c>
      <c r="CN51" s="69">
        <v>46791</v>
      </c>
      <c r="CO51" s="69">
        <v>64798</v>
      </c>
      <c r="CP51" s="69">
        <v>62545</v>
      </c>
      <c r="CQ51" s="69">
        <v>55995</v>
      </c>
      <c r="CR51" s="69">
        <v>36395</v>
      </c>
      <c r="CS51" s="69">
        <v>29619</v>
      </c>
      <c r="CT51" s="89">
        <v>43196</v>
      </c>
      <c r="CU51" s="69">
        <v>53605</v>
      </c>
      <c r="CV51" s="69">
        <v>47975</v>
      </c>
      <c r="CW51" s="69">
        <v>40258</v>
      </c>
      <c r="CX51" s="69">
        <v>31231</v>
      </c>
      <c r="CY51" s="69">
        <v>28850</v>
      </c>
      <c r="CZ51" s="69">
        <v>46959</v>
      </c>
      <c r="DA51" s="69">
        <v>55792</v>
      </c>
      <c r="DB51" s="69">
        <v>53441</v>
      </c>
      <c r="DC51" s="69">
        <v>57224</v>
      </c>
      <c r="DD51" s="69">
        <v>36540</v>
      </c>
      <c r="DE51" s="69">
        <v>26152</v>
      </c>
      <c r="DF51" s="89">
        <v>37335</v>
      </c>
      <c r="DG51" s="68">
        <v>41837</v>
      </c>
      <c r="DH51" s="68">
        <v>47159</v>
      </c>
      <c r="DI51" s="68">
        <v>30420</v>
      </c>
      <c r="DJ51" s="68">
        <v>28265</v>
      </c>
      <c r="DK51" s="68">
        <v>31688</v>
      </c>
      <c r="DL51" s="68">
        <v>53554</v>
      </c>
      <c r="DM51" s="68">
        <v>64385</v>
      </c>
      <c r="DN51" s="68">
        <v>68320</v>
      </c>
      <c r="DO51" s="68">
        <v>55697</v>
      </c>
      <c r="DP51" s="68">
        <v>35483</v>
      </c>
      <c r="DQ51" s="68">
        <v>28333</v>
      </c>
      <c r="DR51" s="68">
        <v>35971</v>
      </c>
      <c r="DS51" s="68">
        <v>42236</v>
      </c>
      <c r="DT51" s="68">
        <v>35091</v>
      </c>
      <c r="DU51" s="68">
        <v>31983</v>
      </c>
      <c r="DV51" s="362">
        <v>29498</v>
      </c>
      <c r="DW51" s="362">
        <v>34915</v>
      </c>
      <c r="DX51" s="362">
        <v>46822</v>
      </c>
      <c r="DY51" s="68">
        <v>57544</v>
      </c>
      <c r="DZ51" s="297">
        <v>60265</v>
      </c>
      <c r="EA51" s="68">
        <v>52563</v>
      </c>
      <c r="EB51" s="68">
        <v>34937</v>
      </c>
      <c r="EC51" s="68">
        <v>28744</v>
      </c>
      <c r="ED51" s="68">
        <v>33141</v>
      </c>
      <c r="EE51" s="297">
        <v>49572</v>
      </c>
      <c r="EF51" s="68">
        <v>35472</v>
      </c>
      <c r="EG51" s="68">
        <v>32597</v>
      </c>
      <c r="EH51" s="68">
        <v>29749</v>
      </c>
      <c r="EI51" s="68">
        <v>30231</v>
      </c>
      <c r="EJ51" s="68">
        <v>43839</v>
      </c>
      <c r="EK51" s="68">
        <v>51829</v>
      </c>
      <c r="EL51" s="68">
        <v>53068</v>
      </c>
      <c r="EM51" s="68">
        <v>51673</v>
      </c>
      <c r="EN51" s="68">
        <v>35328</v>
      </c>
      <c r="EO51" s="68">
        <v>25956</v>
      </c>
      <c r="EP51" s="68">
        <v>42365</v>
      </c>
      <c r="EQ51" s="68">
        <v>47546</v>
      </c>
      <c r="ER51" s="68">
        <v>42368</v>
      </c>
      <c r="ES51" s="68">
        <v>31566</v>
      </c>
      <c r="ET51" s="68">
        <v>26380</v>
      </c>
      <c r="EU51" s="68">
        <v>29984</v>
      </c>
      <c r="EV51" s="68">
        <v>39048</v>
      </c>
      <c r="EW51" s="68">
        <v>46172</v>
      </c>
      <c r="EX51" s="68">
        <v>47462</v>
      </c>
      <c r="EY51" s="68">
        <v>46665</v>
      </c>
      <c r="EZ51" s="68">
        <v>31988</v>
      </c>
      <c r="FA51" s="68">
        <v>26666</v>
      </c>
      <c r="FB51" s="68">
        <v>33784</v>
      </c>
      <c r="FC51" s="68">
        <v>45451</v>
      </c>
      <c r="FD51" s="68">
        <v>34957</v>
      </c>
      <c r="FE51" s="68">
        <v>35563</v>
      </c>
      <c r="FF51" s="68">
        <v>24252</v>
      </c>
      <c r="FG51" s="68">
        <v>23500</v>
      </c>
      <c r="FH51" s="68">
        <v>31751</v>
      </c>
      <c r="FI51" s="68">
        <v>41771</v>
      </c>
      <c r="FJ51" s="68">
        <v>47818</v>
      </c>
      <c r="FK51" s="68">
        <v>43927</v>
      </c>
      <c r="FL51" s="68">
        <v>32273</v>
      </c>
      <c r="FM51" s="68">
        <v>21644</v>
      </c>
      <c r="FN51" s="68">
        <v>29356</v>
      </c>
      <c r="FO51" s="68">
        <v>37151</v>
      </c>
      <c r="FP51" s="68">
        <v>29192</v>
      </c>
      <c r="FQ51" s="68">
        <v>21925</v>
      </c>
      <c r="FR51" s="68">
        <v>20492</v>
      </c>
      <c r="FS51" s="68">
        <v>21072</v>
      </c>
      <c r="FT51" s="68">
        <v>29251</v>
      </c>
    </row>
    <row r="52" spans="2:176" s="68" customFormat="1" ht="13.8" thickBot="1" x14ac:dyDescent="0.3">
      <c r="B52" s="5" t="s">
        <v>8</v>
      </c>
      <c r="C52" s="175">
        <v>2093.203</v>
      </c>
      <c r="D52" s="17">
        <v>1873.152</v>
      </c>
      <c r="E52" s="17">
        <v>2098.6489999999999</v>
      </c>
      <c r="F52" s="17">
        <v>2136.5949999999998</v>
      </c>
      <c r="G52" s="17">
        <v>2538.8449999999998</v>
      </c>
      <c r="H52" s="17">
        <v>3413.9490000000001</v>
      </c>
      <c r="I52" s="17">
        <v>4643.42</v>
      </c>
      <c r="J52" s="17">
        <v>6334.9289999999992</v>
      </c>
      <c r="K52" s="17">
        <v>7582.41</v>
      </c>
      <c r="L52" s="17">
        <v>6387.7280000000001</v>
      </c>
      <c r="M52" s="17">
        <v>5489.4759999999997</v>
      </c>
      <c r="N52" s="22">
        <v>7721.4530000000004</v>
      </c>
      <c r="O52" s="175">
        <v>11098</v>
      </c>
      <c r="P52" s="17">
        <v>9715</v>
      </c>
      <c r="Q52" s="17">
        <v>10003</v>
      </c>
      <c r="R52" s="17">
        <v>8461</v>
      </c>
      <c r="S52" s="17">
        <v>12384</v>
      </c>
      <c r="T52" s="17">
        <v>18215</v>
      </c>
      <c r="U52" s="17">
        <v>27045</v>
      </c>
      <c r="V52" s="17">
        <v>32312</v>
      </c>
      <c r="W52" s="17">
        <v>28942</v>
      </c>
      <c r="X52" s="17">
        <v>23202</v>
      </c>
      <c r="Y52" s="17">
        <v>18269</v>
      </c>
      <c r="Z52" s="22">
        <v>28730</v>
      </c>
      <c r="AA52" s="175">
        <v>33080</v>
      </c>
      <c r="AB52" s="17">
        <v>29633</v>
      </c>
      <c r="AC52" s="17">
        <v>30531</v>
      </c>
      <c r="AD52" s="17">
        <v>24280</v>
      </c>
      <c r="AE52" s="17">
        <v>26435</v>
      </c>
      <c r="AF52" s="17">
        <v>45442</v>
      </c>
      <c r="AG52" s="17">
        <v>51058</v>
      </c>
      <c r="AH52" s="17">
        <v>55033</v>
      </c>
      <c r="AI52" s="17">
        <v>49025</v>
      </c>
      <c r="AJ52" s="17">
        <v>37988</v>
      </c>
      <c r="AK52" s="17">
        <v>30978</v>
      </c>
      <c r="AL52" s="22">
        <v>41081</v>
      </c>
      <c r="AM52" s="175">
        <v>50365</v>
      </c>
      <c r="AN52" s="17">
        <v>40614</v>
      </c>
      <c r="AO52" s="17">
        <v>37037</v>
      </c>
      <c r="AP52" s="17">
        <v>32662</v>
      </c>
      <c r="AQ52" s="17">
        <v>34965</v>
      </c>
      <c r="AR52" s="17">
        <v>55388</v>
      </c>
      <c r="AS52" s="17">
        <v>70625</v>
      </c>
      <c r="AT52" s="17">
        <v>72142</v>
      </c>
      <c r="AU52" s="17">
        <v>68580</v>
      </c>
      <c r="AV52" s="17">
        <v>55915</v>
      </c>
      <c r="AW52" s="17">
        <v>38004</v>
      </c>
      <c r="AX52" s="22">
        <v>51749</v>
      </c>
      <c r="AY52" s="175">
        <v>57302</v>
      </c>
      <c r="AZ52" s="17">
        <v>45678</v>
      </c>
      <c r="BA52" s="17">
        <v>50318</v>
      </c>
      <c r="BB52" s="17">
        <v>41852</v>
      </c>
      <c r="BC52" s="17">
        <v>56229</v>
      </c>
      <c r="BD52" s="17">
        <v>84904</v>
      </c>
      <c r="BE52" s="17">
        <v>86446</v>
      </c>
      <c r="BF52" s="17">
        <f>226110-112786</f>
        <v>113324</v>
      </c>
      <c r="BG52" s="17">
        <v>79703</v>
      </c>
      <c r="BH52" s="17">
        <v>63854</v>
      </c>
      <c r="BI52" s="17">
        <v>46224</v>
      </c>
      <c r="BJ52" s="22">
        <v>60843</v>
      </c>
      <c r="BK52" s="175">
        <v>84695</v>
      </c>
      <c r="BL52" s="17">
        <v>77444</v>
      </c>
      <c r="BM52" s="17">
        <v>60767</v>
      </c>
      <c r="BN52" s="17">
        <v>49970</v>
      </c>
      <c r="BO52" s="17">
        <v>57605</v>
      </c>
      <c r="BP52" s="17">
        <v>73639</v>
      </c>
      <c r="BQ52" s="17">
        <v>89422</v>
      </c>
      <c r="BR52" s="17">
        <v>103779</v>
      </c>
      <c r="BS52" s="17">
        <v>87982</v>
      </c>
      <c r="BT52" s="17">
        <v>84652</v>
      </c>
      <c r="BU52" s="17">
        <v>60612</v>
      </c>
      <c r="BV52" s="22">
        <v>76091</v>
      </c>
      <c r="BW52" s="175">
        <v>97330</v>
      </c>
      <c r="BX52" s="17">
        <v>81161</v>
      </c>
      <c r="BY52" s="17">
        <v>67777</v>
      </c>
      <c r="BZ52" s="17">
        <v>59904</v>
      </c>
      <c r="CA52" s="17">
        <v>64671</v>
      </c>
      <c r="CB52" s="17">
        <v>107283</v>
      </c>
      <c r="CC52" s="17">
        <v>117376</v>
      </c>
      <c r="CD52" s="17">
        <v>122637</v>
      </c>
      <c r="CE52" s="17">
        <v>102198</v>
      </c>
      <c r="CF52" s="17">
        <v>76047.97</v>
      </c>
      <c r="CG52" s="17">
        <v>60136</v>
      </c>
      <c r="CH52" s="22">
        <v>81420.429999999993</v>
      </c>
      <c r="CI52" s="210">
        <v>100667</v>
      </c>
      <c r="CJ52" s="92">
        <v>82403</v>
      </c>
      <c r="CK52" s="92">
        <v>68005</v>
      </c>
      <c r="CL52" s="92">
        <v>65377</v>
      </c>
      <c r="CM52" s="92">
        <v>72536</v>
      </c>
      <c r="CN52" s="92">
        <v>96030</v>
      </c>
      <c r="CO52" s="92">
        <v>132833</v>
      </c>
      <c r="CP52" s="92">
        <v>130935</v>
      </c>
      <c r="CQ52" s="92">
        <v>120213</v>
      </c>
      <c r="CR52" s="92">
        <v>79041</v>
      </c>
      <c r="CS52" s="92">
        <v>63648</v>
      </c>
      <c r="CT52" s="93">
        <v>92764</v>
      </c>
      <c r="CU52" s="91">
        <v>117084</v>
      </c>
      <c r="CV52" s="92">
        <v>106354</v>
      </c>
      <c r="CW52" s="92">
        <v>88932</v>
      </c>
      <c r="CX52" s="92">
        <v>71018</v>
      </c>
      <c r="CY52" s="92">
        <v>67475</v>
      </c>
      <c r="CZ52" s="92">
        <v>110767</v>
      </c>
      <c r="DA52" s="92">
        <v>131953</v>
      </c>
      <c r="DB52" s="92">
        <v>125713</v>
      </c>
      <c r="DC52" s="92">
        <v>137839</v>
      </c>
      <c r="DD52" s="92">
        <v>89110</v>
      </c>
      <c r="DE52" s="92">
        <v>63447</v>
      </c>
      <c r="DF52" s="93">
        <v>88728</v>
      </c>
      <c r="DG52" s="68">
        <v>99399</v>
      </c>
      <c r="DH52" s="68">
        <v>116302</v>
      </c>
      <c r="DI52" s="68">
        <v>75220</v>
      </c>
      <c r="DJ52" s="68">
        <v>72426</v>
      </c>
      <c r="DK52" s="68">
        <v>81791</v>
      </c>
      <c r="DL52" s="68">
        <v>137639</v>
      </c>
      <c r="DM52" s="68">
        <v>163621</v>
      </c>
      <c r="DN52" s="68">
        <v>173435</v>
      </c>
      <c r="DO52" s="68">
        <v>142347</v>
      </c>
      <c r="DP52" s="92">
        <v>91766</v>
      </c>
      <c r="DQ52" s="92">
        <v>72317</v>
      </c>
      <c r="DR52" s="92">
        <v>90048</v>
      </c>
      <c r="DS52" s="68">
        <v>104806</v>
      </c>
      <c r="DT52" s="68">
        <v>87693</v>
      </c>
      <c r="DU52" s="68">
        <v>80412</v>
      </c>
      <c r="DV52" s="362">
        <v>76749</v>
      </c>
      <c r="DW52" s="362">
        <v>91542</v>
      </c>
      <c r="DX52" s="362">
        <v>120975</v>
      </c>
      <c r="DY52" s="68">
        <v>148657</v>
      </c>
      <c r="DZ52" s="297">
        <v>154861</v>
      </c>
      <c r="EA52" s="68">
        <v>136385</v>
      </c>
      <c r="EB52" s="68">
        <v>91639</v>
      </c>
      <c r="EC52" s="68">
        <v>74928</v>
      </c>
      <c r="ED52" s="68">
        <v>85816</v>
      </c>
      <c r="EE52" s="68">
        <v>127698</v>
      </c>
      <c r="EF52" s="68">
        <v>92148</v>
      </c>
      <c r="EG52" s="68">
        <v>85847</v>
      </c>
      <c r="EH52" s="68">
        <v>80447</v>
      </c>
      <c r="EI52" s="68">
        <v>82957</v>
      </c>
      <c r="EJ52" s="68">
        <v>120025</v>
      </c>
      <c r="EK52" s="68">
        <v>141855</v>
      </c>
      <c r="EL52" s="68">
        <v>145650</v>
      </c>
      <c r="EM52" s="68">
        <v>144115</v>
      </c>
      <c r="EN52" s="68">
        <v>101033</v>
      </c>
      <c r="EO52" s="68">
        <v>74250</v>
      </c>
      <c r="EP52" s="68">
        <v>120281</v>
      </c>
      <c r="EQ52" s="68">
        <v>134087</v>
      </c>
      <c r="ER52" s="68">
        <v>123672</v>
      </c>
      <c r="ES52" s="68">
        <v>93069</v>
      </c>
      <c r="ET52" s="68">
        <v>78276</v>
      </c>
      <c r="EU52" s="68">
        <v>90934</v>
      </c>
      <c r="EV52" s="68">
        <v>117889</v>
      </c>
      <c r="EW52" s="68">
        <v>140240</v>
      </c>
      <c r="EX52" s="68">
        <v>145906</v>
      </c>
      <c r="EY52" s="68">
        <v>142168</v>
      </c>
      <c r="EZ52" s="68">
        <v>104210</v>
      </c>
      <c r="FA52" s="68">
        <v>86405</v>
      </c>
      <c r="FB52" s="68">
        <v>106959</v>
      </c>
      <c r="FC52" s="68">
        <v>144036</v>
      </c>
      <c r="FD52" s="68">
        <v>112511</v>
      </c>
      <c r="FE52" s="68">
        <v>116726</v>
      </c>
      <c r="FF52" s="92">
        <v>81350</v>
      </c>
      <c r="FG52" s="92">
        <v>80959</v>
      </c>
      <c r="FH52" s="92">
        <v>109890</v>
      </c>
      <c r="FI52" s="68">
        <v>143852</v>
      </c>
      <c r="FJ52" s="68">
        <v>165106</v>
      </c>
      <c r="FK52" s="68">
        <v>154661</v>
      </c>
      <c r="FL52" s="68">
        <v>116533</v>
      </c>
      <c r="FM52" s="68">
        <v>79155</v>
      </c>
      <c r="FN52" s="68">
        <v>105778</v>
      </c>
      <c r="FO52" s="68">
        <v>134827</v>
      </c>
      <c r="FP52" s="68">
        <v>107124</v>
      </c>
      <c r="FQ52" s="68">
        <v>81610</v>
      </c>
      <c r="FR52" s="68">
        <v>78547</v>
      </c>
      <c r="FS52" s="68">
        <v>83214</v>
      </c>
      <c r="FT52" s="68">
        <v>116024</v>
      </c>
    </row>
    <row r="53" spans="2:176" s="68" customFormat="1" ht="13.8" thickTop="1" x14ac:dyDescent="0.25">
      <c r="B53" s="3" t="s">
        <v>9</v>
      </c>
      <c r="C53" s="176">
        <f t="shared" ref="C53:Q53" si="244">SUM(C51:C52)</f>
        <v>123613.64899999999</v>
      </c>
      <c r="D53" s="8">
        <f t="shared" si="244"/>
        <v>123393.598</v>
      </c>
      <c r="E53" s="8">
        <f t="shared" si="244"/>
        <v>123619.095</v>
      </c>
      <c r="F53" s="8">
        <f t="shared" si="244"/>
        <v>108408.586</v>
      </c>
      <c r="G53" s="8">
        <f t="shared" si="244"/>
        <v>118405.423</v>
      </c>
      <c r="H53" s="8">
        <f t="shared" si="244"/>
        <v>147168.44399999999</v>
      </c>
      <c r="I53" s="8">
        <f t="shared" si="244"/>
        <v>177461.78500000003</v>
      </c>
      <c r="J53" s="8">
        <f t="shared" si="244"/>
        <v>192783.399</v>
      </c>
      <c r="K53" s="8">
        <f t="shared" si="244"/>
        <v>198953.26300000001</v>
      </c>
      <c r="L53" s="8">
        <f t="shared" si="244"/>
        <v>133747.82399999999</v>
      </c>
      <c r="M53" s="8">
        <f t="shared" si="244"/>
        <v>99267.687999999995</v>
      </c>
      <c r="N53" s="10">
        <f t="shared" si="244"/>
        <v>133928.076</v>
      </c>
      <c r="O53" s="176">
        <f t="shared" si="244"/>
        <v>157731</v>
      </c>
      <c r="P53" s="8">
        <f t="shared" si="244"/>
        <v>124932</v>
      </c>
      <c r="Q53" s="8">
        <f t="shared" si="244"/>
        <v>120275</v>
      </c>
      <c r="R53" s="8">
        <f>SUM(R51:R52)</f>
        <v>96325</v>
      </c>
      <c r="S53" s="8">
        <f>SUM(S51:S52)</f>
        <v>123785</v>
      </c>
      <c r="T53" s="8">
        <f>SUM(T51:T52)</f>
        <v>153499</v>
      </c>
      <c r="U53" s="8">
        <v>188739</v>
      </c>
      <c r="V53" s="8">
        <v>203805</v>
      </c>
      <c r="W53" s="8">
        <v>167869</v>
      </c>
      <c r="X53" s="8">
        <f t="shared" ref="X53:AC53" si="245">SUM(X51:X52)</f>
        <v>117514</v>
      </c>
      <c r="Y53" s="8">
        <f t="shared" si="245"/>
        <v>81228</v>
      </c>
      <c r="Z53" s="10">
        <f t="shared" si="245"/>
        <v>124439</v>
      </c>
      <c r="AA53" s="176">
        <f t="shared" si="245"/>
        <v>144243</v>
      </c>
      <c r="AB53" s="8">
        <f t="shared" si="245"/>
        <v>126042</v>
      </c>
      <c r="AC53" s="8">
        <f t="shared" si="245"/>
        <v>124986</v>
      </c>
      <c r="AD53" s="8">
        <f t="shared" ref="AD53:AI53" si="246">SUM(AD51:AD52)</f>
        <v>95655</v>
      </c>
      <c r="AE53" s="8">
        <f t="shared" si="246"/>
        <v>99349</v>
      </c>
      <c r="AF53" s="8">
        <f t="shared" si="246"/>
        <v>163743</v>
      </c>
      <c r="AG53" s="8">
        <f t="shared" si="246"/>
        <v>176688</v>
      </c>
      <c r="AH53" s="8">
        <f t="shared" si="246"/>
        <v>181517</v>
      </c>
      <c r="AI53" s="8">
        <f t="shared" si="246"/>
        <v>152665</v>
      </c>
      <c r="AJ53" s="8">
        <f t="shared" ref="AJ53:AO53" si="247">SUM(AJ51:AJ52)</f>
        <v>116453</v>
      </c>
      <c r="AK53" s="8">
        <f t="shared" si="247"/>
        <v>94990</v>
      </c>
      <c r="AL53" s="10">
        <f t="shared" si="247"/>
        <v>124882</v>
      </c>
      <c r="AM53" s="176">
        <f t="shared" si="247"/>
        <v>152011</v>
      </c>
      <c r="AN53" s="8">
        <f t="shared" si="247"/>
        <v>119676</v>
      </c>
      <c r="AO53" s="8">
        <f t="shared" si="247"/>
        <v>108840</v>
      </c>
      <c r="AP53" s="8">
        <f t="shared" ref="AP53:AU53" si="248">SUM(AP51:AP52)</f>
        <v>92821</v>
      </c>
      <c r="AQ53" s="8">
        <f t="shared" si="248"/>
        <v>97446</v>
      </c>
      <c r="AR53" s="8">
        <f t="shared" si="248"/>
        <v>150418</v>
      </c>
      <c r="AS53" s="8">
        <f t="shared" si="248"/>
        <v>188082</v>
      </c>
      <c r="AT53" s="8">
        <f t="shared" si="248"/>
        <v>191862</v>
      </c>
      <c r="AU53" s="8">
        <f t="shared" si="248"/>
        <v>174451</v>
      </c>
      <c r="AV53" s="8">
        <f t="shared" ref="AV53:BJ53" si="249">SUM(AV51:AV52)</f>
        <v>138768</v>
      </c>
      <c r="AW53" s="8">
        <f t="shared" si="249"/>
        <v>94058</v>
      </c>
      <c r="AX53" s="10">
        <f t="shared" si="249"/>
        <v>128107</v>
      </c>
      <c r="AY53" s="176">
        <f t="shared" si="249"/>
        <v>140600</v>
      </c>
      <c r="AZ53" s="8">
        <f t="shared" si="249"/>
        <v>109478</v>
      </c>
      <c r="BA53" s="8">
        <f t="shared" si="249"/>
        <v>118750</v>
      </c>
      <c r="BB53" s="8">
        <f t="shared" si="249"/>
        <v>94584</v>
      </c>
      <c r="BC53" s="8">
        <f t="shared" si="249"/>
        <v>123408</v>
      </c>
      <c r="BD53" s="8">
        <f t="shared" si="249"/>
        <v>180055</v>
      </c>
      <c r="BE53" s="8">
        <f t="shared" si="249"/>
        <v>178072</v>
      </c>
      <c r="BF53" s="8">
        <f t="shared" si="249"/>
        <v>226110</v>
      </c>
      <c r="BG53" s="8">
        <f t="shared" si="249"/>
        <v>154210</v>
      </c>
      <c r="BH53" s="8">
        <f t="shared" si="249"/>
        <v>121758</v>
      </c>
      <c r="BI53" s="8">
        <f t="shared" si="249"/>
        <v>87873</v>
      </c>
      <c r="BJ53" s="10">
        <f t="shared" si="249"/>
        <v>115200</v>
      </c>
      <c r="BK53" s="176">
        <f t="shared" ref="BK53:BP53" si="250">SUM(BK51:BK52)</f>
        <v>162291</v>
      </c>
      <c r="BL53" s="8">
        <f t="shared" si="250"/>
        <v>146152</v>
      </c>
      <c r="BM53" s="8">
        <f t="shared" si="250"/>
        <v>114047</v>
      </c>
      <c r="BN53" s="8">
        <f t="shared" si="250"/>
        <v>91095</v>
      </c>
      <c r="BO53" s="8">
        <f t="shared" si="250"/>
        <v>102858</v>
      </c>
      <c r="BP53" s="8">
        <f t="shared" si="250"/>
        <v>128648</v>
      </c>
      <c r="BQ53" s="8">
        <f t="shared" ref="BQ53:CB53" si="251">SUM(BQ51:BQ52)</f>
        <v>154724</v>
      </c>
      <c r="BR53" s="8">
        <f t="shared" si="251"/>
        <v>178831</v>
      </c>
      <c r="BS53" s="8">
        <f t="shared" si="251"/>
        <v>148811</v>
      </c>
      <c r="BT53" s="8">
        <f t="shared" si="251"/>
        <v>141965</v>
      </c>
      <c r="BU53" s="8">
        <f t="shared" si="251"/>
        <v>101730</v>
      </c>
      <c r="BV53" s="10">
        <f t="shared" si="251"/>
        <v>128080</v>
      </c>
      <c r="BW53" s="176">
        <f t="shared" si="251"/>
        <v>162912</v>
      </c>
      <c r="BX53" s="8">
        <f t="shared" si="251"/>
        <v>134668</v>
      </c>
      <c r="BY53" s="8">
        <f t="shared" si="251"/>
        <v>111474</v>
      </c>
      <c r="BZ53" s="8">
        <f t="shared" si="251"/>
        <v>96978</v>
      </c>
      <c r="CA53" s="8">
        <f t="shared" si="251"/>
        <v>102508</v>
      </c>
      <c r="CB53" s="8">
        <f t="shared" si="251"/>
        <v>167630</v>
      </c>
      <c r="CC53" s="8">
        <f t="shared" ref="CC53:DR53" si="252">SUM(CC51:CC52)</f>
        <v>182629</v>
      </c>
      <c r="CD53" s="8">
        <f t="shared" si="252"/>
        <v>189837</v>
      </c>
      <c r="CE53" s="8">
        <f t="shared" si="252"/>
        <v>157489</v>
      </c>
      <c r="CF53" s="8">
        <f t="shared" si="252"/>
        <v>116444.97</v>
      </c>
      <c r="CG53" s="8">
        <f t="shared" si="252"/>
        <v>92579</v>
      </c>
      <c r="CH53" s="8">
        <f t="shared" si="252"/>
        <v>125795.43</v>
      </c>
      <c r="CI53" s="115">
        <f t="shared" si="252"/>
        <v>154920</v>
      </c>
      <c r="CJ53" s="94">
        <f t="shared" si="252"/>
        <v>126312</v>
      </c>
      <c r="CK53" s="94">
        <f t="shared" si="252"/>
        <v>103805</v>
      </c>
      <c r="CL53" s="94">
        <f t="shared" si="252"/>
        <v>102603</v>
      </c>
      <c r="CM53" s="94">
        <f t="shared" si="252"/>
        <v>108841</v>
      </c>
      <c r="CN53" s="94">
        <f t="shared" si="252"/>
        <v>142821</v>
      </c>
      <c r="CO53" s="94">
        <f t="shared" si="252"/>
        <v>197631</v>
      </c>
      <c r="CP53" s="94">
        <f t="shared" si="252"/>
        <v>193480</v>
      </c>
      <c r="CQ53" s="94">
        <f t="shared" si="252"/>
        <v>176208</v>
      </c>
      <c r="CR53" s="94">
        <f t="shared" si="252"/>
        <v>115436</v>
      </c>
      <c r="CS53" s="94">
        <f t="shared" si="252"/>
        <v>93267</v>
      </c>
      <c r="CT53" s="107">
        <f t="shared" si="252"/>
        <v>135960</v>
      </c>
      <c r="CU53" s="95">
        <f t="shared" si="252"/>
        <v>170689</v>
      </c>
      <c r="CV53" s="95">
        <f t="shared" si="252"/>
        <v>154329</v>
      </c>
      <c r="CW53" s="95">
        <f t="shared" si="252"/>
        <v>129190</v>
      </c>
      <c r="CX53" s="95">
        <f t="shared" si="252"/>
        <v>102249</v>
      </c>
      <c r="CY53" s="95">
        <f t="shared" si="252"/>
        <v>96325</v>
      </c>
      <c r="CZ53" s="95">
        <f t="shared" si="252"/>
        <v>157726</v>
      </c>
      <c r="DA53" s="95">
        <f t="shared" si="252"/>
        <v>187745</v>
      </c>
      <c r="DB53" s="95">
        <f t="shared" si="252"/>
        <v>179154</v>
      </c>
      <c r="DC53" s="95">
        <f t="shared" si="252"/>
        <v>195063</v>
      </c>
      <c r="DD53" s="95">
        <f t="shared" si="252"/>
        <v>125650</v>
      </c>
      <c r="DE53" s="95">
        <f t="shared" si="252"/>
        <v>89599</v>
      </c>
      <c r="DF53" s="107">
        <f t="shared" si="252"/>
        <v>126063</v>
      </c>
      <c r="DG53" s="95">
        <f t="shared" si="252"/>
        <v>141236</v>
      </c>
      <c r="DH53" s="95">
        <f t="shared" si="252"/>
        <v>163461</v>
      </c>
      <c r="DI53" s="95">
        <f t="shared" si="252"/>
        <v>105640</v>
      </c>
      <c r="DJ53" s="95">
        <f t="shared" si="252"/>
        <v>100691</v>
      </c>
      <c r="DK53" s="95">
        <f t="shared" si="252"/>
        <v>113479</v>
      </c>
      <c r="DL53" s="95">
        <f t="shared" si="252"/>
        <v>191193</v>
      </c>
      <c r="DM53" s="95">
        <f t="shared" si="252"/>
        <v>228006</v>
      </c>
      <c r="DN53" s="95">
        <f t="shared" si="252"/>
        <v>241755</v>
      </c>
      <c r="DO53" s="95">
        <f t="shared" si="252"/>
        <v>198044</v>
      </c>
      <c r="DP53" s="95">
        <f t="shared" si="252"/>
        <v>127249</v>
      </c>
      <c r="DQ53" s="95">
        <f t="shared" si="252"/>
        <v>100650</v>
      </c>
      <c r="DR53" s="95">
        <f t="shared" si="252"/>
        <v>126019</v>
      </c>
      <c r="DS53" s="95">
        <f>SUM(DS51:DS52)</f>
        <v>147042</v>
      </c>
      <c r="DT53" s="95">
        <f>SUM(DT51:DT52)</f>
        <v>122784</v>
      </c>
      <c r="DU53" s="95">
        <f>SUM(DU51:DU52)</f>
        <v>112395</v>
      </c>
      <c r="DV53" s="355">
        <f t="shared" ref="DV53:FK53" si="253">SUM(DV51:DV52)</f>
        <v>106247</v>
      </c>
      <c r="DW53" s="355">
        <f t="shared" si="253"/>
        <v>126457</v>
      </c>
      <c r="DX53" s="355">
        <f t="shared" si="253"/>
        <v>167797</v>
      </c>
      <c r="DY53" s="355">
        <f t="shared" si="253"/>
        <v>206201</v>
      </c>
      <c r="DZ53" s="355">
        <f t="shared" si="253"/>
        <v>215126</v>
      </c>
      <c r="EA53" s="355">
        <f t="shared" si="253"/>
        <v>188948</v>
      </c>
      <c r="EB53" s="355">
        <f t="shared" si="253"/>
        <v>126576</v>
      </c>
      <c r="EC53" s="355">
        <f t="shared" si="253"/>
        <v>103672</v>
      </c>
      <c r="ED53" s="355">
        <f t="shared" si="253"/>
        <v>118957</v>
      </c>
      <c r="EE53" s="355">
        <f t="shared" si="253"/>
        <v>177270</v>
      </c>
      <c r="EF53" s="355">
        <f t="shared" si="253"/>
        <v>127620</v>
      </c>
      <c r="EG53" s="355">
        <f t="shared" si="253"/>
        <v>118444</v>
      </c>
      <c r="EH53" s="355">
        <f t="shared" si="253"/>
        <v>110196</v>
      </c>
      <c r="EI53" s="355">
        <f t="shared" si="253"/>
        <v>113188</v>
      </c>
      <c r="EJ53" s="355">
        <f t="shared" si="253"/>
        <v>163864</v>
      </c>
      <c r="EK53" s="355">
        <f t="shared" si="253"/>
        <v>193684</v>
      </c>
      <c r="EL53" s="355">
        <f t="shared" si="253"/>
        <v>198718</v>
      </c>
      <c r="EM53" s="355">
        <f t="shared" si="253"/>
        <v>195788</v>
      </c>
      <c r="EN53" s="355">
        <f t="shared" si="253"/>
        <v>136361</v>
      </c>
      <c r="EO53" s="355">
        <f t="shared" si="253"/>
        <v>100206</v>
      </c>
      <c r="EP53" s="355">
        <f t="shared" si="253"/>
        <v>162646</v>
      </c>
      <c r="EQ53" s="355">
        <f t="shared" si="253"/>
        <v>181633</v>
      </c>
      <c r="ER53" s="355">
        <f t="shared" si="253"/>
        <v>166040</v>
      </c>
      <c r="ES53" s="355">
        <f t="shared" si="253"/>
        <v>124635</v>
      </c>
      <c r="ET53" s="355">
        <f t="shared" si="253"/>
        <v>104656</v>
      </c>
      <c r="EU53" s="355">
        <f t="shared" si="253"/>
        <v>120918</v>
      </c>
      <c r="EV53" s="355">
        <f t="shared" si="253"/>
        <v>156937</v>
      </c>
      <c r="EW53" s="355">
        <f t="shared" si="253"/>
        <v>186412</v>
      </c>
      <c r="EX53" s="355">
        <f t="shared" si="253"/>
        <v>193368</v>
      </c>
      <c r="EY53" s="355">
        <f t="shared" si="253"/>
        <v>188833</v>
      </c>
      <c r="EZ53" s="355">
        <f t="shared" si="253"/>
        <v>136198</v>
      </c>
      <c r="FA53" s="355">
        <f t="shared" si="253"/>
        <v>113071</v>
      </c>
      <c r="FB53" s="355">
        <f t="shared" si="253"/>
        <v>140743</v>
      </c>
      <c r="FC53" s="355">
        <f t="shared" si="253"/>
        <v>189487</v>
      </c>
      <c r="FD53" s="355">
        <f t="shared" si="253"/>
        <v>147468</v>
      </c>
      <c r="FE53" s="355">
        <f t="shared" si="253"/>
        <v>152289</v>
      </c>
      <c r="FF53" s="355">
        <f t="shared" si="253"/>
        <v>105602</v>
      </c>
      <c r="FG53" s="355">
        <f t="shared" si="253"/>
        <v>104459</v>
      </c>
      <c r="FH53" s="355">
        <f t="shared" si="253"/>
        <v>141641</v>
      </c>
      <c r="FI53" s="355">
        <f t="shared" si="253"/>
        <v>185623</v>
      </c>
      <c r="FJ53" s="355">
        <f t="shared" si="253"/>
        <v>212924</v>
      </c>
      <c r="FK53" s="355">
        <f t="shared" si="253"/>
        <v>198588</v>
      </c>
      <c r="FL53" s="355">
        <f t="shared" ref="FL53:FQ53" si="254">SUM(FL51:FL52)</f>
        <v>148806</v>
      </c>
      <c r="FM53" s="355">
        <f t="shared" si="254"/>
        <v>100799</v>
      </c>
      <c r="FN53" s="355">
        <f t="shared" si="254"/>
        <v>135134</v>
      </c>
      <c r="FO53" s="355">
        <f t="shared" si="254"/>
        <v>171978</v>
      </c>
      <c r="FP53" s="355">
        <f t="shared" si="254"/>
        <v>136316</v>
      </c>
      <c r="FQ53" s="355">
        <f t="shared" si="254"/>
        <v>103535</v>
      </c>
      <c r="FR53" s="355">
        <f t="shared" ref="FR53:FT53" si="255">SUM(FR51:FR52)</f>
        <v>99039</v>
      </c>
      <c r="FS53" s="355">
        <f t="shared" si="255"/>
        <v>104286</v>
      </c>
      <c r="FT53" s="355">
        <f t="shared" si="255"/>
        <v>145275</v>
      </c>
    </row>
    <row r="54" spans="2:176" x14ac:dyDescent="0.25">
      <c r="B54" s="3" t="s">
        <v>10</v>
      </c>
      <c r="C54" s="177">
        <f t="shared" ref="C54:H54" si="256">SUM(C51)/C53</f>
        <v>0.98306657058558322</v>
      </c>
      <c r="D54" s="14">
        <f t="shared" si="256"/>
        <v>0.98481969866864572</v>
      </c>
      <c r="E54" s="14">
        <f t="shared" si="256"/>
        <v>0.98302326189978984</v>
      </c>
      <c r="F54" s="14">
        <f t="shared" si="256"/>
        <v>0.98029127508406022</v>
      </c>
      <c r="G54" s="14">
        <f t="shared" si="256"/>
        <v>0.97855803445759404</v>
      </c>
      <c r="H54" s="14">
        <f t="shared" si="256"/>
        <v>0.97680243870758054</v>
      </c>
      <c r="I54" s="14">
        <f t="shared" ref="I54:Q54" si="257">SUM(I51)/I53</f>
        <v>0.97383425394937839</v>
      </c>
      <c r="J54" s="14">
        <f t="shared" si="257"/>
        <v>0.96713965500732768</v>
      </c>
      <c r="K54" s="14">
        <f t="shared" si="257"/>
        <v>0.96188848634264423</v>
      </c>
      <c r="L54" s="14">
        <f t="shared" si="257"/>
        <v>0.95224050897456092</v>
      </c>
      <c r="M54" s="14">
        <f t="shared" si="257"/>
        <v>0.94470027346662899</v>
      </c>
      <c r="N54" s="23">
        <f t="shared" si="257"/>
        <v>0.94234627099399237</v>
      </c>
      <c r="O54" s="177">
        <f t="shared" si="257"/>
        <v>0.92963970303871779</v>
      </c>
      <c r="P54" s="14">
        <f t="shared" si="257"/>
        <v>0.92223769730733518</v>
      </c>
      <c r="Q54" s="14">
        <f t="shared" si="257"/>
        <v>0.91683225940552904</v>
      </c>
      <c r="R54" s="14">
        <f t="shared" ref="R54:W54" si="258">SUM(R51)/R53</f>
        <v>0.91216195172592784</v>
      </c>
      <c r="S54" s="14">
        <f t="shared" si="258"/>
        <v>0.89995556812214728</v>
      </c>
      <c r="T54" s="14">
        <f t="shared" si="258"/>
        <v>0.88133473182235711</v>
      </c>
      <c r="U54" s="14">
        <f t="shared" si="258"/>
        <v>0.85670688093080927</v>
      </c>
      <c r="V54" s="14">
        <f t="shared" si="258"/>
        <v>0.84145629400652588</v>
      </c>
      <c r="W54" s="14">
        <f t="shared" si="258"/>
        <v>0.82759175309318578</v>
      </c>
      <c r="X54" s="14">
        <f t="shared" ref="X54:AC54" si="259">SUM(X51)/X53</f>
        <v>0.80255969501506208</v>
      </c>
      <c r="Y54" s="14">
        <f t="shared" si="259"/>
        <v>0.77508987048800904</v>
      </c>
      <c r="Z54" s="23">
        <f t="shared" si="259"/>
        <v>0.7691238277388921</v>
      </c>
      <c r="AA54" s="177">
        <f t="shared" si="259"/>
        <v>0.77066478095990798</v>
      </c>
      <c r="AB54" s="14">
        <f t="shared" si="259"/>
        <v>0.76489582837466874</v>
      </c>
      <c r="AC54" s="14">
        <f t="shared" si="259"/>
        <v>0.75572464115980986</v>
      </c>
      <c r="AD54" s="14">
        <f t="shared" ref="AD54:AI54" si="260">SUM(AD51)/AD53</f>
        <v>0.74617113585280437</v>
      </c>
      <c r="AE54" s="14">
        <f t="shared" si="260"/>
        <v>0.73391780490996383</v>
      </c>
      <c r="AF54" s="14">
        <f t="shared" si="260"/>
        <v>0.72247973959192147</v>
      </c>
      <c r="AG54" s="14">
        <f t="shared" si="260"/>
        <v>0.71102734764103959</v>
      </c>
      <c r="AH54" s="14">
        <f t="shared" si="260"/>
        <v>0.69681627616146147</v>
      </c>
      <c r="AI54" s="14">
        <f t="shared" si="260"/>
        <v>0.67887204008777391</v>
      </c>
      <c r="AJ54" s="14">
        <f t="shared" ref="AJ54:AO54" si="261">SUM(AJ51)/AJ53</f>
        <v>0.6737911432079895</v>
      </c>
      <c r="AK54" s="14">
        <f t="shared" si="261"/>
        <v>0.67388146120644277</v>
      </c>
      <c r="AL54" s="23">
        <f t="shared" si="261"/>
        <v>0.67104146314120527</v>
      </c>
      <c r="AM54" s="177">
        <f t="shared" si="261"/>
        <v>0.66867529323535801</v>
      </c>
      <c r="AN54" s="14">
        <f t="shared" si="261"/>
        <v>0.66063371101975332</v>
      </c>
      <c r="AO54" s="14">
        <f t="shared" si="261"/>
        <v>0.65971150312385152</v>
      </c>
      <c r="AP54" s="14">
        <f t="shared" ref="AP54:AU54" si="262">SUM(AP51)/AP53</f>
        <v>0.64811842147789833</v>
      </c>
      <c r="AQ54" s="14">
        <f t="shared" si="262"/>
        <v>0.64118588756849948</v>
      </c>
      <c r="AR54" s="14">
        <f t="shared" si="262"/>
        <v>0.63177279314975598</v>
      </c>
      <c r="AS54" s="14">
        <f t="shared" si="262"/>
        <v>0.62449888878255233</v>
      </c>
      <c r="AT54" s="14">
        <f t="shared" si="262"/>
        <v>0.62399015959387472</v>
      </c>
      <c r="AU54" s="14">
        <f t="shared" si="262"/>
        <v>0.60688101529942506</v>
      </c>
      <c r="AV54" s="14">
        <f t="shared" ref="AV54:BJ54" si="263">SUM(AV51)/AV53</f>
        <v>0.59706128213997467</v>
      </c>
      <c r="AW54" s="14">
        <f t="shared" si="263"/>
        <v>0.59595143422143781</v>
      </c>
      <c r="AX54" s="23">
        <f t="shared" si="263"/>
        <v>0.59604861561038824</v>
      </c>
      <c r="AY54" s="177">
        <f t="shared" si="263"/>
        <v>0.59244665718349931</v>
      </c>
      <c r="AZ54" s="14">
        <f t="shared" si="263"/>
        <v>0.58276548712983434</v>
      </c>
      <c r="BA54" s="14">
        <f t="shared" si="263"/>
        <v>0.57626947368421055</v>
      </c>
      <c r="BB54" s="14">
        <f t="shared" si="263"/>
        <v>0.5575150131100397</v>
      </c>
      <c r="BC54" s="14">
        <f t="shared" si="263"/>
        <v>0.54436503306106576</v>
      </c>
      <c r="BD54" s="14">
        <f t="shared" si="263"/>
        <v>0.52845519424620258</v>
      </c>
      <c r="BE54" s="14">
        <f t="shared" si="263"/>
        <v>0.51454467855698816</v>
      </c>
      <c r="BF54" s="14">
        <f t="shared" si="263"/>
        <v>0.49881031356419442</v>
      </c>
      <c r="BG54" s="14">
        <f t="shared" si="263"/>
        <v>0.48315284352506321</v>
      </c>
      <c r="BH54" s="14">
        <f t="shared" si="263"/>
        <v>0.47556628722548006</v>
      </c>
      <c r="BI54" s="14">
        <f t="shared" si="263"/>
        <v>0.47396811307227477</v>
      </c>
      <c r="BJ54" s="23">
        <f t="shared" si="263"/>
        <v>0.47184895833333335</v>
      </c>
      <c r="BK54" s="177">
        <f t="shared" ref="BK54:BP54" si="264">SUM(BK51)/BK53</f>
        <v>0.47812879334035774</v>
      </c>
      <c r="BL54" s="14">
        <f t="shared" si="264"/>
        <v>0.47011330669440032</v>
      </c>
      <c r="BM54" s="14">
        <f t="shared" si="264"/>
        <v>0.46717581348040721</v>
      </c>
      <c r="BN54" s="14">
        <f t="shared" si="264"/>
        <v>0.4514517811076349</v>
      </c>
      <c r="BO54" s="14">
        <f t="shared" si="264"/>
        <v>0.43995605592175618</v>
      </c>
      <c r="BP54" s="14">
        <f t="shared" si="264"/>
        <v>0.4275931223182638</v>
      </c>
      <c r="BQ54" s="14">
        <f t="shared" ref="BQ54:CB54" si="265">SUM(BQ51)/BQ53</f>
        <v>0.42205475556474753</v>
      </c>
      <c r="BR54" s="14">
        <f t="shared" si="265"/>
        <v>0.41968115147821128</v>
      </c>
      <c r="BS54" s="14">
        <f t="shared" si="265"/>
        <v>0.40876682503309569</v>
      </c>
      <c r="BT54" s="14">
        <f t="shared" si="265"/>
        <v>0.40371218258021341</v>
      </c>
      <c r="BU54" s="14">
        <f t="shared" si="265"/>
        <v>0.40418755529342376</v>
      </c>
      <c r="BV54" s="23">
        <f t="shared" si="265"/>
        <v>0.40591036851967521</v>
      </c>
      <c r="BW54" s="177">
        <f t="shared" si="265"/>
        <v>0.40256089176978982</v>
      </c>
      <c r="BX54" s="14">
        <f t="shared" si="265"/>
        <v>0.39732527400718803</v>
      </c>
      <c r="BY54" s="14">
        <f t="shared" si="265"/>
        <v>0.39199275167303588</v>
      </c>
      <c r="BZ54" s="14">
        <f t="shared" si="265"/>
        <v>0.38229289117119347</v>
      </c>
      <c r="CA54" s="14">
        <f t="shared" si="265"/>
        <v>0.36911265462207826</v>
      </c>
      <c r="CB54" s="14">
        <f t="shared" si="265"/>
        <v>0.3600011931038597</v>
      </c>
      <c r="CC54" s="14">
        <f t="shared" ref="CC54:DR54" si="266">SUM(CC51)/CC53</f>
        <v>0.35729812899375235</v>
      </c>
      <c r="CD54" s="14">
        <f t="shared" si="266"/>
        <v>0.35398789487823762</v>
      </c>
      <c r="CE54" s="14">
        <f t="shared" si="266"/>
        <v>0.35107848802138564</v>
      </c>
      <c r="CF54" s="14">
        <f t="shared" si="266"/>
        <v>0.34691923575573941</v>
      </c>
      <c r="CG54" s="14">
        <f t="shared" si="266"/>
        <v>0.35043584398189653</v>
      </c>
      <c r="CH54" s="14">
        <f t="shared" si="266"/>
        <v>0.35275526304890409</v>
      </c>
      <c r="CI54" s="248">
        <f t="shared" si="266"/>
        <v>0.35020010327911177</v>
      </c>
      <c r="CJ54" s="240">
        <f t="shared" si="266"/>
        <v>0.34762334536702766</v>
      </c>
      <c r="CK54" s="240">
        <f t="shared" si="266"/>
        <v>0.34487741438273684</v>
      </c>
      <c r="CL54" s="240">
        <f t="shared" si="266"/>
        <v>0.36281590206914027</v>
      </c>
      <c r="CM54" s="240">
        <f t="shared" si="266"/>
        <v>0.3335599636166518</v>
      </c>
      <c r="CN54" s="240">
        <f t="shared" si="266"/>
        <v>0.32761988783162138</v>
      </c>
      <c r="CO54" s="240">
        <f t="shared" si="266"/>
        <v>0.32787366354468683</v>
      </c>
      <c r="CP54" s="240">
        <f t="shared" si="266"/>
        <v>0.3232633863965268</v>
      </c>
      <c r="CQ54" s="240">
        <f t="shared" si="266"/>
        <v>0.31777785344592752</v>
      </c>
      <c r="CR54" s="240">
        <f t="shared" si="266"/>
        <v>0.31528292733635954</v>
      </c>
      <c r="CS54" s="240">
        <f t="shared" si="266"/>
        <v>0.31757213162211717</v>
      </c>
      <c r="CT54" s="241">
        <f t="shared" si="266"/>
        <v>0.31771109149749927</v>
      </c>
      <c r="CU54" s="240">
        <f t="shared" si="266"/>
        <v>0.3140507003966278</v>
      </c>
      <c r="CV54" s="240">
        <f t="shared" si="266"/>
        <v>0.3108618600522261</v>
      </c>
      <c r="CW54" s="240">
        <f t="shared" si="266"/>
        <v>0.31161854632711511</v>
      </c>
      <c r="CX54" s="240">
        <f t="shared" si="266"/>
        <v>0.30544064000625926</v>
      </c>
      <c r="CY54" s="240">
        <f t="shared" si="266"/>
        <v>0.29950687775759149</v>
      </c>
      <c r="CZ54" s="240">
        <f t="shared" si="266"/>
        <v>0.29772516896389944</v>
      </c>
      <c r="DA54" s="240">
        <f t="shared" si="266"/>
        <v>0.2971690324642467</v>
      </c>
      <c r="DB54" s="240">
        <f t="shared" si="266"/>
        <v>0.29829643770164216</v>
      </c>
      <c r="DC54" s="240">
        <f t="shared" si="266"/>
        <v>0.29336163188303266</v>
      </c>
      <c r="DD54" s="240">
        <f t="shared" si="266"/>
        <v>0.29080779944289692</v>
      </c>
      <c r="DE54" s="240">
        <f t="shared" si="266"/>
        <v>0.29187825756983893</v>
      </c>
      <c r="DF54" s="241">
        <f t="shared" si="266"/>
        <v>0.29616144308797981</v>
      </c>
      <c r="DG54" s="240">
        <f t="shared" si="266"/>
        <v>0.29622051035146846</v>
      </c>
      <c r="DH54" s="240">
        <f t="shared" si="266"/>
        <v>0.28850306801010639</v>
      </c>
      <c r="DI54" s="240">
        <f t="shared" si="266"/>
        <v>0.28795910639909128</v>
      </c>
      <c r="DJ54" s="240">
        <f t="shared" si="266"/>
        <v>0.28071029188308788</v>
      </c>
      <c r="DK54" s="240">
        <f t="shared" si="266"/>
        <v>0.27924109306567735</v>
      </c>
      <c r="DL54" s="240">
        <f t="shared" si="266"/>
        <v>0.2801043971275099</v>
      </c>
      <c r="DM54" s="240">
        <f t="shared" si="266"/>
        <v>0.28238291974772595</v>
      </c>
      <c r="DN54" s="240">
        <f t="shared" si="266"/>
        <v>0.2826001530475068</v>
      </c>
      <c r="DO54" s="240">
        <f t="shared" si="266"/>
        <v>0.2812354830239745</v>
      </c>
      <c r="DP54" s="240">
        <f t="shared" si="266"/>
        <v>0.27884698504506911</v>
      </c>
      <c r="DQ54" s="240">
        <f t="shared" si="266"/>
        <v>0.28150024838549431</v>
      </c>
      <c r="DR54" s="240">
        <f t="shared" si="266"/>
        <v>0.28544108428094178</v>
      </c>
      <c r="DS54" s="240">
        <f t="shared" ref="DS54:FK54" si="267">SUM(DS51)/DS53</f>
        <v>0.28723765998830264</v>
      </c>
      <c r="DT54" s="240">
        <f t="shared" si="267"/>
        <v>0.28579456606724002</v>
      </c>
      <c r="DU54" s="240">
        <f t="shared" si="267"/>
        <v>0.28455892166021618</v>
      </c>
      <c r="DV54" s="282">
        <f t="shared" si="267"/>
        <v>0.27763607443033683</v>
      </c>
      <c r="DW54" s="282">
        <f t="shared" si="267"/>
        <v>0.27610175790980335</v>
      </c>
      <c r="DX54" s="282">
        <f t="shared" si="267"/>
        <v>0.27903955374649131</v>
      </c>
      <c r="DY54" s="282">
        <f t="shared" si="267"/>
        <v>0.279067511796742</v>
      </c>
      <c r="DZ54" s="282">
        <f t="shared" si="267"/>
        <v>0.28013815159487926</v>
      </c>
      <c r="EA54" s="282">
        <f t="shared" si="267"/>
        <v>0.27818764951203506</v>
      </c>
      <c r="EB54" s="282">
        <f t="shared" si="267"/>
        <v>0.27601599039312352</v>
      </c>
      <c r="EC54" s="282">
        <f t="shared" si="267"/>
        <v>0.27725904776603133</v>
      </c>
      <c r="ED54" s="282">
        <f t="shared" si="267"/>
        <v>0.27859646763116086</v>
      </c>
      <c r="EE54" s="282">
        <f t="shared" si="267"/>
        <v>0.27964122524961921</v>
      </c>
      <c r="EF54" s="282">
        <f t="shared" si="267"/>
        <v>0.27795016455101079</v>
      </c>
      <c r="EG54" s="282">
        <f t="shared" si="267"/>
        <v>0.27521022592955319</v>
      </c>
      <c r="EH54" s="282">
        <f t="shared" si="267"/>
        <v>0.26996442702094448</v>
      </c>
      <c r="EI54" s="282">
        <f t="shared" si="267"/>
        <v>0.26708661695586106</v>
      </c>
      <c r="EJ54" s="282">
        <f t="shared" si="267"/>
        <v>0.26753283210467216</v>
      </c>
      <c r="EK54" s="282">
        <f t="shared" si="267"/>
        <v>0.26759567129964273</v>
      </c>
      <c r="EL54" s="282">
        <f t="shared" si="267"/>
        <v>0.26705180205114787</v>
      </c>
      <c r="EM54" s="282">
        <f t="shared" si="267"/>
        <v>0.26392322307802318</v>
      </c>
      <c r="EN54" s="282">
        <f t="shared" si="267"/>
        <v>0.25907700882217055</v>
      </c>
      <c r="EO54" s="282">
        <f t="shared" si="267"/>
        <v>0.25902640560445483</v>
      </c>
      <c r="EP54" s="282">
        <f t="shared" si="267"/>
        <v>0.26047366673634764</v>
      </c>
      <c r="EQ54" s="282">
        <f t="shared" si="267"/>
        <v>0.26176961235017865</v>
      </c>
      <c r="ER54" s="282">
        <f t="shared" si="267"/>
        <v>0.25516742953505178</v>
      </c>
      <c r="ES54" s="282">
        <f t="shared" si="267"/>
        <v>0.25326754122036343</v>
      </c>
      <c r="ET54" s="282">
        <f t="shared" si="267"/>
        <v>0.25206390460174283</v>
      </c>
      <c r="EU54" s="282">
        <f t="shared" si="267"/>
        <v>0.24796969847334557</v>
      </c>
      <c r="EV54" s="282">
        <f t="shared" si="267"/>
        <v>0.24881321804290893</v>
      </c>
      <c r="EW54" s="282">
        <f t="shared" si="267"/>
        <v>0.24768791708688281</v>
      </c>
      <c r="EX54" s="282">
        <f t="shared" si="267"/>
        <v>0.245449091886972</v>
      </c>
      <c r="EY54" s="282">
        <f t="shared" si="267"/>
        <v>0.24712311937002537</v>
      </c>
      <c r="EZ54" s="282">
        <f t="shared" si="267"/>
        <v>0.23486394807559582</v>
      </c>
      <c r="FA54" s="282">
        <f t="shared" si="267"/>
        <v>0.23583412192339326</v>
      </c>
      <c r="FB54" s="282">
        <f t="shared" si="267"/>
        <v>0.24004035724689682</v>
      </c>
      <c r="FC54" s="282">
        <f t="shared" si="267"/>
        <v>0.23986342070960012</v>
      </c>
      <c r="FD54" s="282">
        <f t="shared" si="267"/>
        <v>0.23704803754034773</v>
      </c>
      <c r="FE54" s="282">
        <f t="shared" si="267"/>
        <v>0.23352310409812921</v>
      </c>
      <c r="FF54" s="282">
        <f t="shared" si="267"/>
        <v>0.22965474138747372</v>
      </c>
      <c r="FG54" s="282">
        <f t="shared" si="267"/>
        <v>0.22496864798629126</v>
      </c>
      <c r="FH54" s="282">
        <f t="shared" si="267"/>
        <v>0.22416531936374354</v>
      </c>
      <c r="FI54" s="282">
        <f t="shared" si="267"/>
        <v>0.2250313808094902</v>
      </c>
      <c r="FJ54" s="282">
        <f t="shared" si="267"/>
        <v>0.22457778362232533</v>
      </c>
      <c r="FK54" s="282">
        <f t="shared" si="267"/>
        <v>0.22119664833726108</v>
      </c>
      <c r="FL54" s="282">
        <f t="shared" ref="FL54:FQ54" si="268">SUM(FL51)/FL53</f>
        <v>0.21687969571119445</v>
      </c>
      <c r="FM54" s="282">
        <f t="shared" si="268"/>
        <v>0.21472435242413118</v>
      </c>
      <c r="FN54" s="282">
        <f t="shared" si="268"/>
        <v>0.2172362247842882</v>
      </c>
      <c r="FO54" s="282">
        <f t="shared" si="268"/>
        <v>0.21602181674400214</v>
      </c>
      <c r="FP54" s="282">
        <f t="shared" si="268"/>
        <v>0.21414947621702515</v>
      </c>
      <c r="FQ54" s="282">
        <f t="shared" si="268"/>
        <v>0.21176413773120201</v>
      </c>
      <c r="FR54" s="282">
        <f t="shared" ref="FR54:FT54" si="269">SUM(FR51)/FR53</f>
        <v>0.20690838962428942</v>
      </c>
      <c r="FS54" s="282">
        <f t="shared" si="269"/>
        <v>0.20205972038432771</v>
      </c>
      <c r="FT54" s="282">
        <f t="shared" si="269"/>
        <v>0.20134916537601102</v>
      </c>
    </row>
    <row r="55" spans="2:176" ht="13.8" thickBot="1" x14ac:dyDescent="0.3">
      <c r="B55" s="4" t="s">
        <v>11</v>
      </c>
      <c r="C55" s="178">
        <f t="shared" ref="C55:H55" si="270">SUM(C52/C53)</f>
        <v>1.6933429414416851E-2</v>
      </c>
      <c r="D55" s="15">
        <f t="shared" si="270"/>
        <v>1.5180301331354323E-2</v>
      </c>
      <c r="E55" s="15">
        <f t="shared" si="270"/>
        <v>1.6976738100210165E-2</v>
      </c>
      <c r="F55" s="15">
        <f t="shared" si="270"/>
        <v>1.9708724915939776E-2</v>
      </c>
      <c r="G55" s="15">
        <f t="shared" si="270"/>
        <v>2.144196554240594E-2</v>
      </c>
      <c r="H55" s="15">
        <f t="shared" si="270"/>
        <v>2.3197561292419455E-2</v>
      </c>
      <c r="I55" s="15">
        <f t="shared" ref="I55:Q55" si="271">SUM(I52/I53)</f>
        <v>2.6165746050621542E-2</v>
      </c>
      <c r="J55" s="15">
        <f t="shared" si="271"/>
        <v>3.2860344992672312E-2</v>
      </c>
      <c r="K55" s="15">
        <f t="shared" si="271"/>
        <v>3.8111513657355794E-2</v>
      </c>
      <c r="L55" s="15">
        <f t="shared" si="271"/>
        <v>4.7759491025439041E-2</v>
      </c>
      <c r="M55" s="15">
        <f t="shared" si="271"/>
        <v>5.5299726533371063E-2</v>
      </c>
      <c r="N55" s="24">
        <f t="shared" si="271"/>
        <v>5.7653729006007674E-2</v>
      </c>
      <c r="O55" s="178">
        <f t="shared" si="271"/>
        <v>7.0360296961282182E-2</v>
      </c>
      <c r="P55" s="15">
        <f t="shared" si="271"/>
        <v>7.7762302692664806E-2</v>
      </c>
      <c r="Q55" s="15">
        <f t="shared" si="271"/>
        <v>8.3167740594471004E-2</v>
      </c>
      <c r="R55" s="15">
        <f t="shared" ref="R55:W55" si="272">SUM(R52/R53)</f>
        <v>8.7838048274072156E-2</v>
      </c>
      <c r="S55" s="15">
        <f t="shared" si="272"/>
        <v>0.10004443187785272</v>
      </c>
      <c r="T55" s="15">
        <f t="shared" si="272"/>
        <v>0.11866526817764285</v>
      </c>
      <c r="U55" s="15">
        <f t="shared" si="272"/>
        <v>0.14329311906919079</v>
      </c>
      <c r="V55" s="15">
        <f t="shared" si="272"/>
        <v>0.15854370599347414</v>
      </c>
      <c r="W55" s="15">
        <f t="shared" si="272"/>
        <v>0.17240824690681425</v>
      </c>
      <c r="X55" s="15">
        <f t="shared" ref="X55:AC55" si="273">SUM(X52/X53)</f>
        <v>0.19744030498493798</v>
      </c>
      <c r="Y55" s="15">
        <f t="shared" si="273"/>
        <v>0.22491012951199094</v>
      </c>
      <c r="Z55" s="24">
        <f t="shared" si="273"/>
        <v>0.23087617226110785</v>
      </c>
      <c r="AA55" s="178">
        <f t="shared" si="273"/>
        <v>0.22933521904009208</v>
      </c>
      <c r="AB55" s="15">
        <f t="shared" si="273"/>
        <v>0.23510417162533123</v>
      </c>
      <c r="AC55" s="15">
        <f t="shared" si="273"/>
        <v>0.24427535884019011</v>
      </c>
      <c r="AD55" s="15">
        <f t="shared" ref="AD55:AI55" si="274">SUM(AD52/AD53)</f>
        <v>0.25382886414719563</v>
      </c>
      <c r="AE55" s="15">
        <f t="shared" si="274"/>
        <v>0.26608219509003611</v>
      </c>
      <c r="AF55" s="15">
        <f t="shared" si="274"/>
        <v>0.27752026040807853</v>
      </c>
      <c r="AG55" s="15">
        <f t="shared" si="274"/>
        <v>0.28897265235896041</v>
      </c>
      <c r="AH55" s="15">
        <f t="shared" si="274"/>
        <v>0.30318372383853853</v>
      </c>
      <c r="AI55" s="15">
        <f t="shared" si="274"/>
        <v>0.32112795991222609</v>
      </c>
      <c r="AJ55" s="15">
        <f t="shared" ref="AJ55:AO55" si="275">SUM(AJ52/AJ53)</f>
        <v>0.3262088567920105</v>
      </c>
      <c r="AK55" s="15">
        <f t="shared" si="275"/>
        <v>0.32611853879355723</v>
      </c>
      <c r="AL55" s="24">
        <f t="shared" si="275"/>
        <v>0.32895853685879473</v>
      </c>
      <c r="AM55" s="178">
        <f t="shared" si="275"/>
        <v>0.33132470676464204</v>
      </c>
      <c r="AN55" s="15">
        <f t="shared" si="275"/>
        <v>0.33936628898024668</v>
      </c>
      <c r="AO55" s="15">
        <f t="shared" si="275"/>
        <v>0.34028849687614848</v>
      </c>
      <c r="AP55" s="15">
        <f t="shared" ref="AP55:AU55" si="276">SUM(AP52/AP53)</f>
        <v>0.35188157852210167</v>
      </c>
      <c r="AQ55" s="15">
        <f t="shared" si="276"/>
        <v>0.35881411243150052</v>
      </c>
      <c r="AR55" s="15">
        <f t="shared" si="276"/>
        <v>0.36822720685024396</v>
      </c>
      <c r="AS55" s="15">
        <f t="shared" si="276"/>
        <v>0.37550111121744773</v>
      </c>
      <c r="AT55" s="15">
        <f t="shared" si="276"/>
        <v>0.37600984040612523</v>
      </c>
      <c r="AU55" s="15">
        <f t="shared" si="276"/>
        <v>0.39311898470057494</v>
      </c>
      <c r="AV55" s="15">
        <f>SUM(AV52/AV53)</f>
        <v>0.40293871786002539</v>
      </c>
      <c r="AW55" s="15">
        <f>SUM(AW52/AW53)</f>
        <v>0.40404856577856219</v>
      </c>
      <c r="AX55" s="24">
        <f>SUM(AX52/AX53)</f>
        <v>0.40395138438961181</v>
      </c>
      <c r="AY55" s="178">
        <f t="shared" ref="AY55:BG55" si="277">SUM(AY52/AY53)</f>
        <v>0.40755334281650069</v>
      </c>
      <c r="AZ55" s="15">
        <f t="shared" si="277"/>
        <v>0.41723451287016572</v>
      </c>
      <c r="BA55" s="15">
        <f t="shared" si="277"/>
        <v>0.42373052631578945</v>
      </c>
      <c r="BB55" s="15">
        <f t="shared" si="277"/>
        <v>0.44248498688996024</v>
      </c>
      <c r="BC55" s="15">
        <f t="shared" si="277"/>
        <v>0.45563496693893429</v>
      </c>
      <c r="BD55" s="15">
        <f t="shared" si="277"/>
        <v>0.47154480575379742</v>
      </c>
      <c r="BE55" s="15">
        <f t="shared" si="277"/>
        <v>0.48545532144301179</v>
      </c>
      <c r="BF55" s="15">
        <f t="shared" si="277"/>
        <v>0.50118968643580553</v>
      </c>
      <c r="BG55" s="15">
        <f t="shared" si="277"/>
        <v>0.51684715647493673</v>
      </c>
      <c r="BH55" s="15">
        <f t="shared" ref="BH55:BM55" si="278">SUM(BH52/BH53)</f>
        <v>0.52443371277452</v>
      </c>
      <c r="BI55" s="15">
        <f t="shared" si="278"/>
        <v>0.52603188692772529</v>
      </c>
      <c r="BJ55" s="24">
        <f t="shared" si="278"/>
        <v>0.52815104166666671</v>
      </c>
      <c r="BK55" s="178">
        <f t="shared" si="278"/>
        <v>0.52187120665964226</v>
      </c>
      <c r="BL55" s="15">
        <f t="shared" si="278"/>
        <v>0.52988669330559968</v>
      </c>
      <c r="BM55" s="15">
        <f t="shared" si="278"/>
        <v>0.53282418651959285</v>
      </c>
      <c r="BN55" s="15">
        <f t="shared" ref="BN55:BS55" si="279">SUM(BN52/BN53)</f>
        <v>0.54854821889236516</v>
      </c>
      <c r="BO55" s="15">
        <f t="shared" si="279"/>
        <v>0.56004394407824376</v>
      </c>
      <c r="BP55" s="15">
        <f t="shared" si="279"/>
        <v>0.57240687768173626</v>
      </c>
      <c r="BQ55" s="15">
        <f t="shared" si="279"/>
        <v>0.57794524443525241</v>
      </c>
      <c r="BR55" s="15">
        <f t="shared" si="279"/>
        <v>0.58031884852178872</v>
      </c>
      <c r="BS55" s="15">
        <f t="shared" si="279"/>
        <v>0.59123317496690431</v>
      </c>
      <c r="BT55" s="15">
        <f>SUM(BT52/BT53)</f>
        <v>0.59628781741978654</v>
      </c>
      <c r="BU55" s="15">
        <f>SUM(BU52/BU53)</f>
        <v>0.59581244470657624</v>
      </c>
      <c r="BV55" s="24">
        <f>SUM(BV52/BV53)</f>
        <v>0.59408963148032479</v>
      </c>
      <c r="BW55" s="178">
        <f t="shared" ref="BW55:CB55" si="280">SUM(BW52/BW53)</f>
        <v>0.59743910823021018</v>
      </c>
      <c r="BX55" s="15">
        <f t="shared" si="280"/>
        <v>0.60267472599281191</v>
      </c>
      <c r="BY55" s="15">
        <f t="shared" si="280"/>
        <v>0.60800724832696418</v>
      </c>
      <c r="BZ55" s="15">
        <f t="shared" si="280"/>
        <v>0.61770710882880653</v>
      </c>
      <c r="CA55" s="15">
        <f t="shared" si="280"/>
        <v>0.63088734537792168</v>
      </c>
      <c r="CB55" s="15">
        <f t="shared" si="280"/>
        <v>0.6399988068961403</v>
      </c>
      <c r="CC55" s="15">
        <f t="shared" ref="CC55:DR55" si="281">SUM(CC52/CC53)</f>
        <v>0.64270187100624765</v>
      </c>
      <c r="CD55" s="15">
        <f t="shared" si="281"/>
        <v>0.64601210512176233</v>
      </c>
      <c r="CE55" s="15">
        <f t="shared" si="281"/>
        <v>0.64892151197861436</v>
      </c>
      <c r="CF55" s="15">
        <f t="shared" si="281"/>
        <v>0.65308076424426065</v>
      </c>
      <c r="CG55" s="15">
        <f t="shared" si="281"/>
        <v>0.64956415601810347</v>
      </c>
      <c r="CH55" s="15">
        <f t="shared" si="281"/>
        <v>0.64724473695109586</v>
      </c>
      <c r="CI55" s="250">
        <f t="shared" si="281"/>
        <v>0.64979989672088823</v>
      </c>
      <c r="CJ55" s="245">
        <f t="shared" si="281"/>
        <v>0.65237665463297234</v>
      </c>
      <c r="CK55" s="245">
        <f t="shared" si="281"/>
        <v>0.65512258561726311</v>
      </c>
      <c r="CL55" s="245">
        <f t="shared" si="281"/>
        <v>0.63718409793085973</v>
      </c>
      <c r="CM55" s="245">
        <f t="shared" si="281"/>
        <v>0.66644003638334814</v>
      </c>
      <c r="CN55" s="245">
        <f t="shared" si="281"/>
        <v>0.67238011216837856</v>
      </c>
      <c r="CO55" s="245">
        <f t="shared" si="281"/>
        <v>0.67212633645531317</v>
      </c>
      <c r="CP55" s="245">
        <f t="shared" si="281"/>
        <v>0.67673661360347326</v>
      </c>
      <c r="CQ55" s="245">
        <f t="shared" si="281"/>
        <v>0.68222214655407243</v>
      </c>
      <c r="CR55" s="245">
        <f t="shared" si="281"/>
        <v>0.68471707266364046</v>
      </c>
      <c r="CS55" s="245">
        <f t="shared" si="281"/>
        <v>0.68242786837788283</v>
      </c>
      <c r="CT55" s="246">
        <f t="shared" si="281"/>
        <v>0.68228890850250079</v>
      </c>
      <c r="CU55" s="245">
        <f t="shared" si="281"/>
        <v>0.68594929960337225</v>
      </c>
      <c r="CV55" s="245">
        <f t="shared" si="281"/>
        <v>0.68913813994777395</v>
      </c>
      <c r="CW55" s="245">
        <f t="shared" si="281"/>
        <v>0.68838145367288495</v>
      </c>
      <c r="CX55" s="245">
        <f t="shared" si="281"/>
        <v>0.69455935999374074</v>
      </c>
      <c r="CY55" s="245">
        <f t="shared" si="281"/>
        <v>0.70049312224240856</v>
      </c>
      <c r="CZ55" s="245">
        <f t="shared" si="281"/>
        <v>0.70227483103610056</v>
      </c>
      <c r="DA55" s="245">
        <f t="shared" si="281"/>
        <v>0.70283096753575325</v>
      </c>
      <c r="DB55" s="245">
        <f t="shared" si="281"/>
        <v>0.70170356229835784</v>
      </c>
      <c r="DC55" s="245">
        <f t="shared" si="281"/>
        <v>0.70663836811696734</v>
      </c>
      <c r="DD55" s="245">
        <f t="shared" si="281"/>
        <v>0.70919220055710308</v>
      </c>
      <c r="DE55" s="245">
        <f t="shared" si="281"/>
        <v>0.70812174243016102</v>
      </c>
      <c r="DF55" s="246">
        <f t="shared" si="281"/>
        <v>0.70383855691202013</v>
      </c>
      <c r="DG55" s="245">
        <f t="shared" si="281"/>
        <v>0.70377948964853154</v>
      </c>
      <c r="DH55" s="245">
        <f t="shared" si="281"/>
        <v>0.71149693198989361</v>
      </c>
      <c r="DI55" s="245">
        <f t="shared" si="281"/>
        <v>0.71204089360090872</v>
      </c>
      <c r="DJ55" s="245">
        <f t="shared" si="281"/>
        <v>0.71928970811691217</v>
      </c>
      <c r="DK55" s="245">
        <f t="shared" si="281"/>
        <v>0.72075890693432265</v>
      </c>
      <c r="DL55" s="245">
        <f t="shared" si="281"/>
        <v>0.7198956028724901</v>
      </c>
      <c r="DM55" s="245">
        <f t="shared" si="281"/>
        <v>0.71761708025227411</v>
      </c>
      <c r="DN55" s="245">
        <f t="shared" si="281"/>
        <v>0.71739984695249326</v>
      </c>
      <c r="DO55" s="245">
        <f t="shared" si="281"/>
        <v>0.7187645169760255</v>
      </c>
      <c r="DP55" s="245">
        <f t="shared" si="281"/>
        <v>0.72115301495493089</v>
      </c>
      <c r="DQ55" s="245">
        <f t="shared" si="281"/>
        <v>0.71849975161450574</v>
      </c>
      <c r="DR55" s="245">
        <f t="shared" si="281"/>
        <v>0.71455891571905827</v>
      </c>
      <c r="DS55" s="245">
        <f t="shared" ref="DS55:FK55" si="282">SUM(DS52/DS53)</f>
        <v>0.71276234001169736</v>
      </c>
      <c r="DT55" s="245">
        <f t="shared" si="282"/>
        <v>0.71420543393275993</v>
      </c>
      <c r="DU55" s="245">
        <f t="shared" si="282"/>
        <v>0.71544107833978376</v>
      </c>
      <c r="DV55" s="354">
        <f t="shared" si="282"/>
        <v>0.72236392556966311</v>
      </c>
      <c r="DW55" s="354">
        <f t="shared" si="282"/>
        <v>0.72389824209019671</v>
      </c>
      <c r="DX55" s="354">
        <f t="shared" si="282"/>
        <v>0.72096044625350875</v>
      </c>
      <c r="DY55" s="354">
        <f t="shared" si="282"/>
        <v>0.72093248820325795</v>
      </c>
      <c r="DZ55" s="354">
        <f t="shared" si="282"/>
        <v>0.71986184840512069</v>
      </c>
      <c r="EA55" s="354">
        <f t="shared" si="282"/>
        <v>0.72181235048796499</v>
      </c>
      <c r="EB55" s="354">
        <f t="shared" si="282"/>
        <v>0.72398400960687648</v>
      </c>
      <c r="EC55" s="354">
        <f t="shared" si="282"/>
        <v>0.72274095223396873</v>
      </c>
      <c r="ED55" s="354">
        <f t="shared" si="282"/>
        <v>0.72140353236883914</v>
      </c>
      <c r="EE55" s="354">
        <f t="shared" si="282"/>
        <v>0.72035877475038079</v>
      </c>
      <c r="EF55" s="354">
        <f t="shared" si="282"/>
        <v>0.72204983544898915</v>
      </c>
      <c r="EG55" s="354">
        <f t="shared" si="282"/>
        <v>0.72478977407044676</v>
      </c>
      <c r="EH55" s="354">
        <f t="shared" si="282"/>
        <v>0.73003557297905552</v>
      </c>
      <c r="EI55" s="354">
        <f t="shared" si="282"/>
        <v>0.732913383044139</v>
      </c>
      <c r="EJ55" s="354">
        <f t="shared" si="282"/>
        <v>0.73246716789532784</v>
      </c>
      <c r="EK55" s="354">
        <f t="shared" si="282"/>
        <v>0.73240432870035732</v>
      </c>
      <c r="EL55" s="354">
        <f t="shared" si="282"/>
        <v>0.73294819794885213</v>
      </c>
      <c r="EM55" s="354">
        <f t="shared" si="282"/>
        <v>0.73607677692197682</v>
      </c>
      <c r="EN55" s="354">
        <f t="shared" si="282"/>
        <v>0.74092299117782945</v>
      </c>
      <c r="EO55" s="354">
        <f t="shared" si="282"/>
        <v>0.74097359439554522</v>
      </c>
      <c r="EP55" s="354">
        <f t="shared" si="282"/>
        <v>0.73952633326365236</v>
      </c>
      <c r="EQ55" s="354">
        <f t="shared" si="282"/>
        <v>0.7382303876498213</v>
      </c>
      <c r="ER55" s="354">
        <f t="shared" si="282"/>
        <v>0.74483257046494822</v>
      </c>
      <c r="ES55" s="354">
        <f t="shared" si="282"/>
        <v>0.74673245877963657</v>
      </c>
      <c r="ET55" s="354">
        <f t="shared" si="282"/>
        <v>0.74793609539825712</v>
      </c>
      <c r="EU55" s="354">
        <f t="shared" si="282"/>
        <v>0.7520303015266544</v>
      </c>
      <c r="EV55" s="354">
        <f t="shared" si="282"/>
        <v>0.7511867819570911</v>
      </c>
      <c r="EW55" s="354">
        <f t="shared" si="282"/>
        <v>0.75231208291311713</v>
      </c>
      <c r="EX55" s="354">
        <f t="shared" si="282"/>
        <v>0.75455090811302805</v>
      </c>
      <c r="EY55" s="354">
        <f t="shared" si="282"/>
        <v>0.7528768806299746</v>
      </c>
      <c r="EZ55" s="354">
        <f t="shared" si="282"/>
        <v>0.76513605192440415</v>
      </c>
      <c r="FA55" s="354">
        <f t="shared" si="282"/>
        <v>0.76416587807660674</v>
      </c>
      <c r="FB55" s="354">
        <f t="shared" si="282"/>
        <v>0.75995964275310313</v>
      </c>
      <c r="FC55" s="354">
        <f t="shared" si="282"/>
        <v>0.76013657929039991</v>
      </c>
      <c r="FD55" s="354">
        <f t="shared" si="282"/>
        <v>0.76295196245965224</v>
      </c>
      <c r="FE55" s="354">
        <f t="shared" si="282"/>
        <v>0.76647689590187074</v>
      </c>
      <c r="FF55" s="354">
        <f t="shared" si="282"/>
        <v>0.77034525861252623</v>
      </c>
      <c r="FG55" s="354">
        <f t="shared" si="282"/>
        <v>0.77503135201370876</v>
      </c>
      <c r="FH55" s="354">
        <f t="shared" si="282"/>
        <v>0.77583468063625649</v>
      </c>
      <c r="FI55" s="354">
        <f t="shared" si="282"/>
        <v>0.77496861919050974</v>
      </c>
      <c r="FJ55" s="354">
        <f t="shared" si="282"/>
        <v>0.77542221637767461</v>
      </c>
      <c r="FK55" s="354">
        <f t="shared" si="282"/>
        <v>0.77880335166273895</v>
      </c>
      <c r="FL55" s="354">
        <f t="shared" ref="FL55:FQ55" si="283">SUM(FL52/FL53)</f>
        <v>0.78312030428880552</v>
      </c>
      <c r="FM55" s="354">
        <f t="shared" si="283"/>
        <v>0.78527564757586876</v>
      </c>
      <c r="FN55" s="354">
        <f t="shared" si="283"/>
        <v>0.78276377521571183</v>
      </c>
      <c r="FO55" s="354">
        <f t="shared" si="283"/>
        <v>0.78397818325599788</v>
      </c>
      <c r="FP55" s="354">
        <f t="shared" si="283"/>
        <v>0.78585052378297482</v>
      </c>
      <c r="FQ55" s="354">
        <f t="shared" si="283"/>
        <v>0.78823586226879794</v>
      </c>
      <c r="FR55" s="354">
        <f t="shared" ref="FR55:FT55" si="284">SUM(FR52/FR53)</f>
        <v>0.79309161037571063</v>
      </c>
      <c r="FS55" s="354">
        <f t="shared" si="284"/>
        <v>0.79794027961567227</v>
      </c>
      <c r="FT55" s="354">
        <f t="shared" si="284"/>
        <v>0.798650834623989</v>
      </c>
    </row>
    <row r="56" spans="2:176" x14ac:dyDescent="0.25">
      <c r="B56" s="3"/>
      <c r="C56" s="81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81"/>
      <c r="P56" s="18"/>
      <c r="Q56" s="18"/>
      <c r="R56" s="18"/>
      <c r="S56" s="18"/>
      <c r="T56" s="19"/>
      <c r="U56" s="18"/>
      <c r="V56" s="18"/>
      <c r="W56" s="18"/>
      <c r="X56" s="18"/>
      <c r="Y56" s="18"/>
      <c r="Z56" s="20"/>
      <c r="AA56" s="81"/>
      <c r="AB56" s="18"/>
      <c r="AC56" s="18"/>
      <c r="AD56" s="18"/>
      <c r="AE56" s="18"/>
      <c r="AF56" s="19"/>
      <c r="AG56" s="18"/>
      <c r="AH56" s="18"/>
      <c r="AI56" s="18"/>
      <c r="AJ56" s="18"/>
      <c r="AK56" s="18"/>
      <c r="AL56" s="20"/>
      <c r="AM56" s="81"/>
      <c r="AN56" s="18"/>
      <c r="AO56" s="18"/>
      <c r="AP56" s="18"/>
      <c r="AQ56" s="18"/>
      <c r="AR56" s="19"/>
      <c r="AS56" s="18"/>
      <c r="AT56" s="18"/>
      <c r="AU56" s="18"/>
      <c r="AV56" s="18"/>
      <c r="AW56" s="18"/>
      <c r="AX56" s="20"/>
      <c r="AY56" s="81"/>
      <c r="AZ56" s="18"/>
      <c r="BA56" s="18"/>
      <c r="BB56" s="18"/>
      <c r="BC56" s="18"/>
      <c r="BD56" s="19"/>
      <c r="BE56" s="18"/>
      <c r="BF56" s="18"/>
      <c r="BG56" s="18"/>
      <c r="BH56" s="18"/>
      <c r="BI56" s="18"/>
      <c r="BJ56" s="20"/>
      <c r="BK56" s="81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81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</row>
    <row r="57" spans="2:176" x14ac:dyDescent="0.25">
      <c r="B57" s="3" t="s">
        <v>21</v>
      </c>
      <c r="C57" s="115">
        <f t="shared" ref="C57:AX57" si="285">SUM(1000*(C53))/C10</f>
        <v>873.47740586069699</v>
      </c>
      <c r="D57" s="94">
        <f t="shared" si="285"/>
        <v>860.26937449454806</v>
      </c>
      <c r="E57" s="94">
        <f t="shared" si="285"/>
        <v>854.49018455795954</v>
      </c>
      <c r="F57" s="94">
        <f t="shared" si="285"/>
        <v>748.31632498101749</v>
      </c>
      <c r="G57" s="94">
        <f t="shared" si="285"/>
        <v>814.37066611644138</v>
      </c>
      <c r="H57" s="94">
        <f t="shared" si="285"/>
        <v>1007.7407524069077</v>
      </c>
      <c r="I57" s="94">
        <f t="shared" si="285"/>
        <v>1200.1040426855661</v>
      </c>
      <c r="J57" s="94">
        <f t="shared" si="285"/>
        <v>1292.3997868161189</v>
      </c>
      <c r="K57" s="94">
        <f t="shared" si="285"/>
        <v>1349.8515018081403</v>
      </c>
      <c r="L57" s="94">
        <f t="shared" si="285"/>
        <v>909.48411181906579</v>
      </c>
      <c r="M57" s="94">
        <f t="shared" si="285"/>
        <v>676.89283473801925</v>
      </c>
      <c r="N57" s="96">
        <f t="shared" si="285"/>
        <v>907.05837413901702</v>
      </c>
      <c r="O57" s="115">
        <f t="shared" si="285"/>
        <v>1028.7900232850891</v>
      </c>
      <c r="P57" s="94">
        <f t="shared" si="285"/>
        <v>906.49329918226078</v>
      </c>
      <c r="Q57" s="94">
        <f t="shared" si="285"/>
        <v>820.23950789039372</v>
      </c>
      <c r="R57" s="94">
        <f t="shared" si="285"/>
        <v>662.11395302479366</v>
      </c>
      <c r="S57" s="94">
        <f t="shared" si="285"/>
        <v>843.24504754897953</v>
      </c>
      <c r="T57" s="94">
        <f t="shared" si="285"/>
        <v>1045.5979019788153</v>
      </c>
      <c r="U57" s="94">
        <f t="shared" si="285"/>
        <v>1220.1664048408682</v>
      </c>
      <c r="V57" s="94">
        <f t="shared" si="285"/>
        <v>1383.6612489307099</v>
      </c>
      <c r="W57" s="94">
        <f t="shared" si="285"/>
        <v>1141.5854579085883</v>
      </c>
      <c r="X57" s="94">
        <f t="shared" si="285"/>
        <v>748.92613600152958</v>
      </c>
      <c r="Y57" s="94">
        <f t="shared" si="285"/>
        <v>689.57671867837075</v>
      </c>
      <c r="Z57" s="96">
        <f t="shared" si="285"/>
        <v>876.25076577496429</v>
      </c>
      <c r="AA57" s="115">
        <f t="shared" si="285"/>
        <v>979.06032797567332</v>
      </c>
      <c r="AB57" s="94">
        <f t="shared" si="285"/>
        <v>893.99097795557066</v>
      </c>
      <c r="AC57" s="94">
        <f t="shared" si="285"/>
        <v>772.21923597338321</v>
      </c>
      <c r="AD57" s="94">
        <f t="shared" si="285"/>
        <v>656.47068512329201</v>
      </c>
      <c r="AE57" s="94">
        <f t="shared" si="285"/>
        <v>723.32199983982639</v>
      </c>
      <c r="AF57" s="94">
        <f t="shared" si="285"/>
        <v>1071.0697418856867</v>
      </c>
      <c r="AG57" s="94">
        <f t="shared" si="285"/>
        <v>1232.0307924023095</v>
      </c>
      <c r="AH57" s="94">
        <f t="shared" si="285"/>
        <v>1176.2529322567684</v>
      </c>
      <c r="AI57" s="94">
        <f t="shared" si="285"/>
        <v>1047.2933573893299</v>
      </c>
      <c r="AJ57" s="94">
        <f t="shared" si="285"/>
        <v>805.29565932964067</v>
      </c>
      <c r="AK57" s="94">
        <f t="shared" si="285"/>
        <v>693.01874265869981</v>
      </c>
      <c r="AL57" s="96">
        <f t="shared" si="285"/>
        <v>913.97581896425538</v>
      </c>
      <c r="AM57" s="115">
        <f t="shared" si="285"/>
        <v>1048.9521588219463</v>
      </c>
      <c r="AN57" s="94">
        <f t="shared" si="285"/>
        <v>904.80618748440656</v>
      </c>
      <c r="AO57" s="94">
        <f t="shared" si="285"/>
        <v>755.87007701763275</v>
      </c>
      <c r="AP57" s="94">
        <f t="shared" si="285"/>
        <v>676.59707846167305</v>
      </c>
      <c r="AQ57" s="94">
        <f t="shared" si="285"/>
        <v>683.91796858550549</v>
      </c>
      <c r="AR57" s="94">
        <f t="shared" si="285"/>
        <v>1023.7949388110699</v>
      </c>
      <c r="AS57" s="94">
        <f t="shared" si="285"/>
        <v>1360.9308181561639</v>
      </c>
      <c r="AT57" s="94">
        <f t="shared" si="285"/>
        <v>1179.2451090664356</v>
      </c>
      <c r="AU57" s="94">
        <f t="shared" si="285"/>
        <v>1196.976870244197</v>
      </c>
      <c r="AV57" s="94">
        <f t="shared" si="285"/>
        <v>961.76984281001353</v>
      </c>
      <c r="AW57" s="94">
        <f t="shared" si="285"/>
        <v>679.63437985476355</v>
      </c>
      <c r="AX57" s="96">
        <f t="shared" si="285"/>
        <v>932.54860853297225</v>
      </c>
      <c r="AY57" s="115">
        <f t="shared" ref="AY57:BJ57" si="286">SUM(1000*(AY53))/AY10</f>
        <v>961.25578565226601</v>
      </c>
      <c r="AZ57" s="94">
        <f t="shared" si="286"/>
        <v>789.81617753152682</v>
      </c>
      <c r="BA57" s="94">
        <f t="shared" si="286"/>
        <v>743.03269969590406</v>
      </c>
      <c r="BB57" s="94">
        <f t="shared" si="286"/>
        <v>689.3224402935582</v>
      </c>
      <c r="BC57" s="94">
        <f t="shared" si="286"/>
        <v>800.76307644390806</v>
      </c>
      <c r="BD57" s="94">
        <f t="shared" si="286"/>
        <v>1171.3256006089032</v>
      </c>
      <c r="BE57" s="94">
        <f t="shared" si="286"/>
        <v>1278.8486397977651</v>
      </c>
      <c r="BF57" s="94">
        <f t="shared" si="286"/>
        <v>1393.1264787066245</v>
      </c>
      <c r="BG57" s="94">
        <f t="shared" si="286"/>
        <v>1112.9715568322063</v>
      </c>
      <c r="BH57" s="94">
        <f t="shared" si="286"/>
        <v>794.86359274322535</v>
      </c>
      <c r="BI57" s="94">
        <f t="shared" si="286"/>
        <v>640.77266363318165</v>
      </c>
      <c r="BJ57" s="96">
        <f t="shared" si="286"/>
        <v>883.59820825918882</v>
      </c>
      <c r="BK57" s="115">
        <f t="shared" ref="BK57:BP57" si="287">SUM(1000*(BK53))/BK10</f>
        <v>1109.6213540455906</v>
      </c>
      <c r="BL57" s="94">
        <f t="shared" si="287"/>
        <v>1057.9302057922966</v>
      </c>
      <c r="BM57" s="94">
        <f t="shared" si="287"/>
        <v>746.37112079684823</v>
      </c>
      <c r="BN57" s="94">
        <f t="shared" si="287"/>
        <v>656.32294878814946</v>
      </c>
      <c r="BO57" s="94">
        <f t="shared" si="287"/>
        <v>671.52398299939284</v>
      </c>
      <c r="BP57" s="94">
        <f t="shared" si="287"/>
        <v>877.27505199631764</v>
      </c>
      <c r="BQ57" s="94">
        <f t="shared" ref="BQ57:CE57" si="288">SUM(1000*(BQ53))/BQ10</f>
        <v>1057.3923977967006</v>
      </c>
      <c r="BR57" s="94">
        <f t="shared" si="288"/>
        <v>1102.9350996971771</v>
      </c>
      <c r="BS57" s="94">
        <f t="shared" si="288"/>
        <v>1135.3898036103947</v>
      </c>
      <c r="BT57" s="94">
        <f t="shared" si="288"/>
        <v>962.81400900656502</v>
      </c>
      <c r="BU57" s="94">
        <f t="shared" si="288"/>
        <v>690.02238350403582</v>
      </c>
      <c r="BV57" s="96">
        <f t="shared" si="288"/>
        <v>867.03989277083144</v>
      </c>
      <c r="BW57" s="115">
        <f t="shared" si="288"/>
        <v>1107.0474792571301</v>
      </c>
      <c r="BX57" s="94">
        <f t="shared" si="288"/>
        <v>913.09005600531577</v>
      </c>
      <c r="BY57" s="94">
        <f t="shared" si="288"/>
        <v>752.58233078138289</v>
      </c>
      <c r="BZ57" s="94">
        <f t="shared" si="288"/>
        <v>654.30182976196897</v>
      </c>
      <c r="CA57" s="94">
        <f t="shared" si="288"/>
        <v>688.04703860817267</v>
      </c>
      <c r="CB57" s="94">
        <f t="shared" si="288"/>
        <v>1133.3243188425395</v>
      </c>
      <c r="CC57" s="94">
        <f t="shared" si="288"/>
        <v>1229.2041056705368</v>
      </c>
      <c r="CD57" s="94">
        <f t="shared" si="288"/>
        <v>1273.9028318346532</v>
      </c>
      <c r="CE57" s="94">
        <f t="shared" si="288"/>
        <v>1056.9731543624162</v>
      </c>
      <c r="CF57" s="94">
        <f t="shared" ref="CF57:CK57" si="289">SUM(1000*(CF53))/CF10</f>
        <v>788.51121027648173</v>
      </c>
      <c r="CG57" s="94">
        <f t="shared" si="289"/>
        <v>613.7888511721651</v>
      </c>
      <c r="CH57" s="94">
        <f t="shared" si="289"/>
        <v>847.71808643264842</v>
      </c>
      <c r="CI57" s="201">
        <f t="shared" si="289"/>
        <v>1053.0465754914489</v>
      </c>
      <c r="CJ57" s="69">
        <f t="shared" si="289"/>
        <v>857.65501507373915</v>
      </c>
      <c r="CK57" s="69">
        <f t="shared" si="289"/>
        <v>703.68160957720124</v>
      </c>
      <c r="CL57" s="69">
        <f t="shared" ref="CL57:DC57" si="290">SUM(1000*(CL53))/CL10</f>
        <v>695.28830580948568</v>
      </c>
      <c r="CM57" s="69">
        <f t="shared" si="290"/>
        <v>734.46926243336259</v>
      </c>
      <c r="CN57" s="69">
        <f t="shared" si="290"/>
        <v>965.10457140926451</v>
      </c>
      <c r="CO57" s="69">
        <f t="shared" si="290"/>
        <v>1334.0375982989638</v>
      </c>
      <c r="CP57" s="69">
        <f t="shared" si="290"/>
        <v>1295.376334007311</v>
      </c>
      <c r="CQ57" s="69">
        <f t="shared" si="290"/>
        <v>1186.825621337644</v>
      </c>
      <c r="CR57" s="69">
        <f t="shared" si="290"/>
        <v>780.6798046880283</v>
      </c>
      <c r="CS57" s="69">
        <f t="shared" si="290"/>
        <v>632.03155176970461</v>
      </c>
      <c r="CT57" s="89">
        <f t="shared" si="290"/>
        <v>923.01425661914459</v>
      </c>
      <c r="CU57" s="69">
        <f t="shared" si="290"/>
        <v>1270.4233528833845</v>
      </c>
      <c r="CV57" s="69">
        <f t="shared" si="290"/>
        <v>1042.89035152924</v>
      </c>
      <c r="CW57" s="69">
        <f t="shared" si="290"/>
        <v>872.12756190424761</v>
      </c>
      <c r="CX57" s="69">
        <f t="shared" si="290"/>
        <v>690.12553995680344</v>
      </c>
      <c r="CY57" s="69">
        <f t="shared" si="290"/>
        <v>648.27340211458602</v>
      </c>
      <c r="CZ57" s="69">
        <f t="shared" si="290"/>
        <v>1063.0299109008317</v>
      </c>
      <c r="DA57" s="69">
        <f t="shared" si="290"/>
        <v>1265.7336057008406</v>
      </c>
      <c r="DB57" s="69">
        <f t="shared" si="290"/>
        <v>1290.3351267258702</v>
      </c>
      <c r="DC57" s="69">
        <f t="shared" si="290"/>
        <v>1314.7330605862489</v>
      </c>
      <c r="DD57" s="69">
        <f t="shared" ref="DD57:DI57" si="291">SUM(1000*(DD53))/DD10</f>
        <v>886.58237136970445</v>
      </c>
      <c r="DE57" s="69">
        <f t="shared" si="291"/>
        <v>641.16527364323338</v>
      </c>
      <c r="DF57" s="89">
        <f t="shared" si="291"/>
        <v>860.99784858108796</v>
      </c>
      <c r="DG57" s="69">
        <f t="shared" si="291"/>
        <v>1074.3321365544939</v>
      </c>
      <c r="DH57" s="69">
        <f t="shared" si="291"/>
        <v>1105.3549813701557</v>
      </c>
      <c r="DI57" s="69">
        <f t="shared" si="291"/>
        <v>713.94779881864747</v>
      </c>
      <c r="DJ57" s="69">
        <f t="shared" ref="DJ57:FQ57" si="292">SUM(1000*(DJ53))/DJ10</f>
        <v>709.81135799684182</v>
      </c>
      <c r="DK57" s="69">
        <f t="shared" si="292"/>
        <v>839.73922566895567</v>
      </c>
      <c r="DL57" s="69">
        <f t="shared" si="292"/>
        <v>1284.7783138683189</v>
      </c>
      <c r="DM57" s="69">
        <f t="shared" si="292"/>
        <v>1602.651334101836</v>
      </c>
      <c r="DN57" s="69">
        <f t="shared" si="292"/>
        <v>1625.8448501967114</v>
      </c>
      <c r="DO57" s="69">
        <f t="shared" si="292"/>
        <v>1394.3716512592321</v>
      </c>
      <c r="DP57" s="69">
        <f t="shared" si="292"/>
        <v>910.74291440022898</v>
      </c>
      <c r="DQ57" s="69">
        <f t="shared" si="292"/>
        <v>690.34342270417085</v>
      </c>
      <c r="DR57" s="69">
        <f t="shared" si="292"/>
        <v>959.15089887811484</v>
      </c>
      <c r="DS57" s="69">
        <f t="shared" si="292"/>
        <v>1131.9543344547001</v>
      </c>
      <c r="DT57" s="69">
        <f t="shared" si="292"/>
        <v>869.25494860249762</v>
      </c>
      <c r="DU57" s="69">
        <f t="shared" si="292"/>
        <v>754.32379648458732</v>
      </c>
      <c r="DV57" s="359">
        <f t="shared" si="292"/>
        <v>713.6035140508302</v>
      </c>
      <c r="DW57" s="359">
        <f t="shared" si="292"/>
        <v>847.52726078535193</v>
      </c>
      <c r="DX57" s="359">
        <f t="shared" si="292"/>
        <v>1138.5484943478673</v>
      </c>
      <c r="DY57" s="359">
        <f t="shared" si="292"/>
        <v>1377.8331640562355</v>
      </c>
      <c r="DZ57" s="359">
        <f t="shared" si="292"/>
        <v>1435.5514627375615</v>
      </c>
      <c r="EA57" s="359">
        <f t="shared" si="292"/>
        <v>1264.5344362572864</v>
      </c>
      <c r="EB57" s="359">
        <f t="shared" si="292"/>
        <v>846.39045657581516</v>
      </c>
      <c r="EC57" s="359">
        <f t="shared" si="292"/>
        <v>691.21578824549124</v>
      </c>
      <c r="ED57" s="359">
        <f t="shared" si="292"/>
        <v>796.66885439129908</v>
      </c>
      <c r="EE57" s="359">
        <f t="shared" si="292"/>
        <v>1184.358213741682</v>
      </c>
      <c r="EF57" s="359">
        <f t="shared" si="292"/>
        <v>852.71576809231408</v>
      </c>
      <c r="EG57" s="359">
        <f t="shared" si="292"/>
        <v>792.4955003780351</v>
      </c>
      <c r="EH57" s="359">
        <f t="shared" si="292"/>
        <v>730.6748710331932</v>
      </c>
      <c r="EI57" s="359">
        <f t="shared" si="292"/>
        <v>751.0168333189572</v>
      </c>
      <c r="EJ57" s="359">
        <f t="shared" si="292"/>
        <v>1089.7313976764137</v>
      </c>
      <c r="EK57" s="359">
        <f t="shared" si="292"/>
        <v>1282.0726678184431</v>
      </c>
      <c r="EL57" s="359">
        <f t="shared" si="292"/>
        <v>1313.3864720889346</v>
      </c>
      <c r="EM57" s="359">
        <f t="shared" si="292"/>
        <v>1298.7423052430481</v>
      </c>
      <c r="EN57" s="359">
        <f t="shared" si="292"/>
        <v>906.90884422511601</v>
      </c>
      <c r="EO57" s="359">
        <f t="shared" si="292"/>
        <v>666.53363398718898</v>
      </c>
      <c r="EP57" s="359">
        <f t="shared" si="292"/>
        <v>1089.3685994253296</v>
      </c>
      <c r="EQ57" s="359">
        <f t="shared" si="292"/>
        <v>1262.6028806584361</v>
      </c>
      <c r="ER57" s="359">
        <f t="shared" si="292"/>
        <v>1128.3417372276663</v>
      </c>
      <c r="ES57" s="359">
        <f t="shared" si="292"/>
        <v>870.57500488949734</v>
      </c>
      <c r="ET57" s="359">
        <f t="shared" si="292"/>
        <v>694.34142522573927</v>
      </c>
      <c r="EU57" s="359">
        <f t="shared" si="292"/>
        <v>799.35743609067288</v>
      </c>
      <c r="EV57" s="359">
        <f t="shared" si="292"/>
        <v>1040.1238045372904</v>
      </c>
      <c r="EW57" s="359">
        <f t="shared" si="292"/>
        <v>1233.2832730183723</v>
      </c>
      <c r="EX57" s="359">
        <f t="shared" si="292"/>
        <v>1281.8391536075094</v>
      </c>
      <c r="EY57" s="359">
        <f t="shared" si="292"/>
        <v>1269.3290133498247</v>
      </c>
      <c r="EZ57" s="359">
        <f t="shared" si="292"/>
        <v>895.23258641881989</v>
      </c>
      <c r="FA57" s="359">
        <f t="shared" si="292"/>
        <v>744.79955735307681</v>
      </c>
      <c r="FB57" s="359">
        <f t="shared" si="292"/>
        <v>931.48064806480647</v>
      </c>
      <c r="FC57" s="359">
        <f t="shared" si="292"/>
        <v>1253.1048712420807</v>
      </c>
      <c r="FD57" s="359">
        <f t="shared" si="292"/>
        <v>974.57621518025314</v>
      </c>
      <c r="FE57" s="359">
        <f t="shared" si="292"/>
        <v>1011.443486577315</v>
      </c>
      <c r="FF57" s="359">
        <f t="shared" si="292"/>
        <v>697.4802681549487</v>
      </c>
      <c r="FG57" s="359">
        <f t="shared" si="292"/>
        <v>689.85352194529196</v>
      </c>
      <c r="FH57" s="359">
        <f t="shared" si="292"/>
        <v>934.46765276366659</v>
      </c>
      <c r="FI57" s="359">
        <f t="shared" si="292"/>
        <v>1223.4254303867549</v>
      </c>
      <c r="FJ57" s="359">
        <f t="shared" si="292"/>
        <v>1403.7063162960569</v>
      </c>
      <c r="FK57" s="359">
        <f t="shared" si="292"/>
        <v>1316.4600596619159</v>
      </c>
      <c r="FL57" s="359">
        <f t="shared" si="292"/>
        <v>980.84528580468259</v>
      </c>
      <c r="FM57" s="359">
        <f t="shared" si="292"/>
        <v>667.23373270669231</v>
      </c>
      <c r="FN57" s="359">
        <f t="shared" si="292"/>
        <v>900.72519796304687</v>
      </c>
      <c r="FO57" s="359">
        <f t="shared" si="292"/>
        <v>1138.2487259249453</v>
      </c>
      <c r="FP57" s="359">
        <f t="shared" si="292"/>
        <v>901.04834551776105</v>
      </c>
      <c r="FQ57" s="359">
        <f t="shared" si="292"/>
        <v>686.82667303507935</v>
      </c>
      <c r="FR57" s="359">
        <f t="shared" ref="FR57:FT57" si="293">SUM(1000*(FR53))/FR10</f>
        <v>654.8855724024836</v>
      </c>
      <c r="FS57" s="359">
        <f t="shared" si="293"/>
        <v>686.31335101447178</v>
      </c>
      <c r="FT57" s="359">
        <f t="shared" si="293"/>
        <v>962.20079214740827</v>
      </c>
    </row>
    <row r="58" spans="2:176" x14ac:dyDescent="0.25">
      <c r="B58" s="57"/>
      <c r="C58" s="180"/>
      <c r="D58" s="58"/>
      <c r="E58" s="58"/>
      <c r="F58" s="58"/>
      <c r="G58" s="58"/>
      <c r="H58" s="59"/>
      <c r="I58" s="58"/>
      <c r="J58" s="58"/>
      <c r="K58" s="58"/>
      <c r="L58" s="58"/>
      <c r="M58" s="58"/>
      <c r="N58" s="60"/>
      <c r="O58" s="180"/>
      <c r="P58" s="58"/>
      <c r="Q58" s="58"/>
      <c r="R58" s="58"/>
      <c r="S58" s="58"/>
      <c r="T58" s="59"/>
      <c r="U58" s="58"/>
      <c r="V58" s="58"/>
      <c r="W58" s="58"/>
      <c r="X58" s="58"/>
      <c r="Y58" s="58"/>
      <c r="Z58" s="60"/>
      <c r="AA58" s="180"/>
      <c r="AB58" s="58"/>
      <c r="AC58" s="58"/>
      <c r="AD58" s="58"/>
      <c r="AE58" s="58"/>
      <c r="AF58" s="59"/>
      <c r="AG58" s="58"/>
      <c r="AH58" s="58"/>
      <c r="AI58" s="58"/>
      <c r="AJ58" s="58"/>
      <c r="AK58" s="58"/>
      <c r="AL58" s="60"/>
      <c r="AM58" s="180"/>
      <c r="AN58" s="58"/>
      <c r="AO58" s="58"/>
      <c r="AP58" s="58"/>
      <c r="AQ58" s="58"/>
      <c r="AR58" s="59"/>
      <c r="AS58" s="58"/>
      <c r="AT58" s="58"/>
      <c r="AU58" s="58"/>
      <c r="AV58" s="58"/>
      <c r="AW58" s="58"/>
      <c r="AX58" s="60"/>
      <c r="AY58" s="180"/>
      <c r="AZ58" s="58"/>
      <c r="BA58" s="58"/>
      <c r="BB58" s="58"/>
      <c r="BC58" s="58"/>
      <c r="BD58" s="59"/>
      <c r="BE58" s="58"/>
      <c r="BF58" s="58"/>
      <c r="BG58" s="58"/>
      <c r="BH58" s="58"/>
      <c r="BI58" s="58"/>
      <c r="BJ58" s="60"/>
      <c r="BK58" s="180"/>
      <c r="BL58" s="58"/>
      <c r="BM58" s="58"/>
      <c r="BN58" s="58"/>
      <c r="BO58" s="58"/>
      <c r="BP58" s="59"/>
      <c r="BQ58" s="58"/>
      <c r="BR58" s="58"/>
      <c r="BS58" s="58"/>
      <c r="BT58" s="58"/>
      <c r="BU58" s="58"/>
      <c r="BV58" s="60"/>
      <c r="BW58" s="180"/>
      <c r="BX58" s="58"/>
      <c r="BY58" s="58"/>
      <c r="BZ58" s="58"/>
      <c r="CA58" s="58"/>
      <c r="CB58" s="59"/>
      <c r="CC58" s="58"/>
      <c r="CD58" s="58"/>
      <c r="CE58" s="58"/>
      <c r="CF58" s="58"/>
      <c r="CG58" s="58"/>
      <c r="CH58" s="60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</row>
    <row r="59" spans="2:176" x14ac:dyDescent="0.25">
      <c r="B59" s="181" t="s">
        <v>32</v>
      </c>
      <c r="C59" s="182"/>
      <c r="D59" s="61"/>
      <c r="E59" s="61"/>
      <c r="F59" s="61"/>
      <c r="G59" s="61"/>
      <c r="H59" s="62"/>
      <c r="I59" s="61"/>
      <c r="J59" s="61"/>
      <c r="K59" s="61"/>
      <c r="L59" s="61"/>
      <c r="M59" s="61"/>
      <c r="N59" s="63"/>
      <c r="O59" s="182"/>
      <c r="P59" s="61"/>
      <c r="Q59" s="61"/>
      <c r="R59" s="61"/>
      <c r="S59" s="61"/>
      <c r="T59" s="62"/>
      <c r="U59" s="61"/>
      <c r="V59" s="61"/>
      <c r="W59" s="61"/>
      <c r="X59" s="61"/>
      <c r="Y59" s="61"/>
      <c r="Z59" s="63"/>
      <c r="AA59" s="182"/>
      <c r="AB59" s="61"/>
      <c r="AC59" s="61"/>
      <c r="AD59" s="61"/>
      <c r="AE59" s="61"/>
      <c r="AF59" s="62"/>
      <c r="AG59" s="61"/>
      <c r="AH59" s="61"/>
      <c r="AI59" s="61"/>
      <c r="AJ59" s="61"/>
      <c r="AK59" s="61"/>
      <c r="AL59" s="63"/>
      <c r="AM59" s="182"/>
      <c r="AN59" s="61"/>
      <c r="AO59" s="61"/>
      <c r="AP59" s="61"/>
      <c r="AQ59" s="61"/>
      <c r="AR59" s="62"/>
      <c r="AS59" s="61"/>
      <c r="AT59" s="61"/>
      <c r="AU59" s="61"/>
      <c r="AV59" s="61"/>
      <c r="AW59" s="61"/>
      <c r="AX59" s="63"/>
      <c r="AY59" s="182"/>
      <c r="AZ59" s="61"/>
      <c r="BA59" s="61"/>
      <c r="BB59" s="61"/>
      <c r="BC59" s="61"/>
      <c r="BD59" s="62"/>
      <c r="BE59" s="61"/>
      <c r="BF59" s="61"/>
      <c r="BG59" s="61"/>
      <c r="BH59" s="61"/>
      <c r="BI59" s="61"/>
      <c r="BJ59" s="63"/>
      <c r="BK59" s="182"/>
      <c r="BL59" s="61"/>
      <c r="BM59" s="61"/>
      <c r="BN59" s="61"/>
      <c r="BO59" s="61"/>
      <c r="BP59" s="62"/>
      <c r="BQ59" s="61"/>
      <c r="BR59" s="61"/>
      <c r="BS59" s="61"/>
      <c r="BT59" s="61"/>
      <c r="BU59" s="61"/>
      <c r="BV59" s="63"/>
      <c r="BW59" s="182"/>
      <c r="BX59" s="61"/>
      <c r="BY59" s="61"/>
      <c r="BZ59" s="61"/>
      <c r="CA59" s="61"/>
      <c r="CB59" s="62"/>
      <c r="CC59" s="61"/>
      <c r="CD59" s="61"/>
      <c r="CE59" s="61"/>
      <c r="CF59" s="61"/>
      <c r="CG59" s="61"/>
      <c r="CH59" s="63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59"/>
      <c r="DW59" s="359"/>
      <c r="DX59" s="359"/>
    </row>
    <row r="60" spans="2:176" x14ac:dyDescent="0.25">
      <c r="B60" s="173"/>
      <c r="C60" s="81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81"/>
      <c r="P60" s="18"/>
      <c r="Q60" s="18"/>
      <c r="R60" s="18"/>
      <c r="S60" s="18"/>
      <c r="T60" s="19"/>
      <c r="U60" s="18"/>
      <c r="V60" s="18"/>
      <c r="W60" s="18"/>
      <c r="X60" s="18"/>
      <c r="Y60" s="18"/>
      <c r="Z60" s="20"/>
      <c r="AA60" s="81"/>
      <c r="AB60" s="18"/>
      <c r="AC60" s="18"/>
      <c r="AD60" s="18"/>
      <c r="AE60" s="18"/>
      <c r="AF60" s="19"/>
      <c r="AG60" s="18"/>
      <c r="AH60" s="18"/>
      <c r="AI60" s="18"/>
      <c r="AJ60" s="18"/>
      <c r="AK60" s="18"/>
      <c r="AL60" s="20"/>
      <c r="AM60" s="81"/>
      <c r="AN60" s="18"/>
      <c r="AO60" s="18"/>
      <c r="AP60" s="18"/>
      <c r="AQ60" s="18"/>
      <c r="AR60" s="19"/>
      <c r="AS60" s="18"/>
      <c r="AT60" s="18"/>
      <c r="AU60" s="18"/>
      <c r="AV60" s="18"/>
      <c r="AW60" s="18"/>
      <c r="AX60" s="20"/>
      <c r="AY60" s="81"/>
      <c r="AZ60" s="18"/>
      <c r="BA60" s="18"/>
      <c r="BB60" s="18"/>
      <c r="BC60" s="18"/>
      <c r="BD60" s="19"/>
      <c r="BE60" s="18"/>
      <c r="BF60" s="18"/>
      <c r="BG60" s="18"/>
      <c r="BH60" s="18"/>
      <c r="BI60" s="18"/>
      <c r="BJ60" s="20"/>
      <c r="BK60" s="81"/>
      <c r="BL60" s="18"/>
      <c r="BM60" s="18"/>
      <c r="BN60" s="18"/>
      <c r="BO60" s="18"/>
      <c r="BP60" s="19"/>
      <c r="BQ60" s="18"/>
      <c r="BR60" s="18"/>
      <c r="BS60" s="18"/>
      <c r="BT60" s="18"/>
      <c r="BU60" s="18"/>
      <c r="BV60" s="20"/>
      <c r="BW60" s="81"/>
      <c r="BX60" s="18"/>
      <c r="BY60" s="18"/>
      <c r="BZ60" s="18"/>
      <c r="CA60" s="18"/>
      <c r="CB60" s="19"/>
      <c r="CC60" s="18"/>
      <c r="CD60" s="18"/>
      <c r="CE60" s="18"/>
      <c r="CF60" s="18"/>
      <c r="CG60" s="18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59"/>
      <c r="DW60" s="359"/>
      <c r="DX60" s="359"/>
    </row>
    <row r="61" spans="2:176" s="68" customFormat="1" x14ac:dyDescent="0.25">
      <c r="B61" s="3" t="s">
        <v>1</v>
      </c>
      <c r="C61" s="121">
        <f>D61</f>
        <v>105430.91499999999</v>
      </c>
      <c r="D61" s="16">
        <v>105430.91499999999</v>
      </c>
      <c r="E61" s="16">
        <v>109030.75800000002</v>
      </c>
      <c r="F61" s="16">
        <v>114522.49100000001</v>
      </c>
      <c r="G61" s="16">
        <v>106895.38100000001</v>
      </c>
      <c r="H61" s="16">
        <v>113094.463</v>
      </c>
      <c r="I61" s="16">
        <v>106980.03199999999</v>
      </c>
      <c r="J61" s="16">
        <v>122063.587</v>
      </c>
      <c r="K61" s="16">
        <v>114261.38800000001</v>
      </c>
      <c r="L61" s="16">
        <v>81929.521999999983</v>
      </c>
      <c r="M61" s="16">
        <v>74659.324999999997</v>
      </c>
      <c r="N61" s="21">
        <v>87613.736999999994</v>
      </c>
      <c r="O61" s="121">
        <f>7992+80912</f>
        <v>88904</v>
      </c>
      <c r="P61" s="16">
        <f>6464+60350</f>
        <v>66814</v>
      </c>
      <c r="Q61" s="16">
        <f>62064+6573</f>
        <v>68637</v>
      </c>
      <c r="R61" s="16">
        <f>6032+62472</f>
        <v>68504</v>
      </c>
      <c r="S61" s="16">
        <f>6903+72856</f>
        <v>79759</v>
      </c>
      <c r="T61" s="16">
        <f>7328+76016</f>
        <v>83344</v>
      </c>
      <c r="U61" s="16">
        <f>8617+82910</f>
        <v>91527</v>
      </c>
      <c r="V61" s="16">
        <f>8884+81891</f>
        <v>90775</v>
      </c>
      <c r="W61" s="16">
        <f>8425+70093</f>
        <v>78518</v>
      </c>
      <c r="X61" s="16">
        <f>6854+57858</f>
        <v>64712</v>
      </c>
      <c r="Y61" s="16">
        <f>5480+44275</f>
        <v>49755</v>
      </c>
      <c r="Z61" s="21">
        <f>7423+54142</f>
        <v>61565</v>
      </c>
      <c r="AA61" s="121">
        <f>8039+54318</f>
        <v>62357</v>
      </c>
      <c r="AB61" s="16">
        <f>6674+42363</f>
        <v>49037</v>
      </c>
      <c r="AC61" s="16">
        <f>7330+44776</f>
        <v>52106</v>
      </c>
      <c r="AD61" s="16">
        <f>6310+40043</f>
        <v>46353</v>
      </c>
      <c r="AE61" s="16">
        <f>6169+37502</f>
        <v>43671</v>
      </c>
      <c r="AF61" s="16">
        <f>8004+49447</f>
        <v>57451</v>
      </c>
      <c r="AG61" s="16">
        <f>7847+47456</f>
        <v>55303</v>
      </c>
      <c r="AH61" s="16">
        <f>7820+45537</f>
        <v>53357</v>
      </c>
      <c r="AI61" s="16">
        <f>6743+39958</f>
        <v>46701</v>
      </c>
      <c r="AJ61" s="16">
        <f>6032+31288</f>
        <v>37320</v>
      </c>
      <c r="AK61" s="16">
        <f>5339+26388</f>
        <v>31727</v>
      </c>
      <c r="AL61" s="21">
        <f>6147+28790</f>
        <v>34937</v>
      </c>
      <c r="AM61" s="121">
        <f>36688+7085</f>
        <v>43773</v>
      </c>
      <c r="AN61" s="16">
        <f>25020+5419</f>
        <v>30439</v>
      </c>
      <c r="AO61" s="16">
        <f>5691+25008</f>
        <v>30699</v>
      </c>
      <c r="AP61" s="16">
        <f>5168+21411</f>
        <v>26579</v>
      </c>
      <c r="AQ61" s="16">
        <f>5291+22500</f>
        <v>27791</v>
      </c>
      <c r="AR61" s="16">
        <f>6484+27629</f>
        <v>34113</v>
      </c>
      <c r="AS61" s="16">
        <f>7483+29683</f>
        <v>37166</v>
      </c>
      <c r="AT61" s="16">
        <f>8158+28578</f>
        <v>36736</v>
      </c>
      <c r="AU61" s="16">
        <f>8329+24679</f>
        <v>33008</v>
      </c>
      <c r="AV61" s="16">
        <f>7519+20455</f>
        <v>27974</v>
      </c>
      <c r="AW61" s="16">
        <f>6153+18363</f>
        <v>24516</v>
      </c>
      <c r="AX61" s="21">
        <f>7277+21651</f>
        <v>28928</v>
      </c>
      <c r="AY61" s="121">
        <f>7757+24846</f>
        <v>32603</v>
      </c>
      <c r="AZ61" s="16">
        <f>5979+17618</f>
        <v>23597</v>
      </c>
      <c r="BA61" s="16">
        <f>6794+19360</f>
        <v>26154</v>
      </c>
      <c r="BB61" s="16">
        <f>5519+15647</f>
        <v>21166</v>
      </c>
      <c r="BC61" s="16">
        <f>6367+19341</f>
        <v>25708</v>
      </c>
      <c r="BD61" s="16">
        <f>7792+22976</f>
        <v>30768</v>
      </c>
      <c r="BE61" s="16">
        <f>7687+21527</f>
        <v>29214</v>
      </c>
      <c r="BF61" s="16">
        <f>8745+25396</f>
        <v>34141</v>
      </c>
      <c r="BG61" s="16">
        <f>9352+28450</f>
        <v>37802</v>
      </c>
      <c r="BH61" s="16">
        <f>5767+16037</f>
        <v>21804</v>
      </c>
      <c r="BI61" s="16">
        <f>4824+12095</f>
        <v>16919</v>
      </c>
      <c r="BJ61" s="21">
        <f>5474+13288</f>
        <v>18762</v>
      </c>
      <c r="BK61" s="121">
        <f>6481+15773</f>
        <v>22254</v>
      </c>
      <c r="BL61" s="16">
        <f>5586+12441</f>
        <v>18027</v>
      </c>
      <c r="BM61" s="16">
        <f>5166+12414</f>
        <v>17580</v>
      </c>
      <c r="BN61" s="16">
        <f>4493+10966</f>
        <v>15459</v>
      </c>
      <c r="BO61" s="16">
        <f>4868+12582</f>
        <v>17450</v>
      </c>
      <c r="BP61" s="16">
        <f>5339+13466</f>
        <v>18805</v>
      </c>
      <c r="BQ61" s="16">
        <f>5436+14846</f>
        <v>20282</v>
      </c>
      <c r="BR61" s="16">
        <f>6099+16165</f>
        <v>22264</v>
      </c>
      <c r="BS61" s="16">
        <f>5219+13811</f>
        <v>19030</v>
      </c>
      <c r="BT61" s="16">
        <f>5109+13431</f>
        <v>18540</v>
      </c>
      <c r="BU61" s="16">
        <f>4285+11026</f>
        <v>15311</v>
      </c>
      <c r="BV61" s="21">
        <f>4711+11246</f>
        <v>15957</v>
      </c>
      <c r="BW61" s="121">
        <f>5287+12786</f>
        <v>18073</v>
      </c>
      <c r="BX61" s="16">
        <f>4568+11363</f>
        <v>15931</v>
      </c>
      <c r="BY61" s="16">
        <f>10011+4121</f>
        <v>14132</v>
      </c>
      <c r="BZ61" s="16">
        <f>4055+9790</f>
        <v>13845</v>
      </c>
      <c r="CA61" s="16">
        <f>4052+10483</f>
        <v>14535</v>
      </c>
      <c r="CB61" s="16">
        <f>5011+13346</f>
        <v>18357</v>
      </c>
      <c r="CC61" s="16">
        <f>5407+13999</f>
        <v>19406</v>
      </c>
      <c r="CD61" s="16">
        <f>5543+14412</f>
        <v>19955</v>
      </c>
      <c r="CE61" s="16">
        <f>4591+12070</f>
        <v>16661</v>
      </c>
      <c r="CF61" s="16">
        <f>3891+9939</f>
        <v>13830</v>
      </c>
      <c r="CG61" s="16">
        <f>3451+8400</f>
        <v>11851</v>
      </c>
      <c r="CH61" s="21">
        <f>4005+9133</f>
        <v>13138</v>
      </c>
      <c r="CI61" s="201">
        <f>4579+10230</f>
        <v>14809</v>
      </c>
      <c r="CJ61" s="69">
        <f>3783+8820</f>
        <v>12603</v>
      </c>
      <c r="CK61" s="69">
        <f>3477+8142</f>
        <v>11619</v>
      </c>
      <c r="CL61" s="69">
        <f>3550+8318</f>
        <v>11868</v>
      </c>
      <c r="CM61" s="69">
        <f>3539+8585</f>
        <v>12124</v>
      </c>
      <c r="CN61" s="69">
        <f>3921+9082</f>
        <v>13003</v>
      </c>
      <c r="CO61" s="69">
        <f>4635+10712</f>
        <v>15347</v>
      </c>
      <c r="CP61" s="69">
        <f>4521+10275</f>
        <v>14796</v>
      </c>
      <c r="CQ61" s="69">
        <f>4392+10013</f>
        <v>14405</v>
      </c>
      <c r="CR61" s="69">
        <f>3419+6398</f>
        <v>9817</v>
      </c>
      <c r="CS61" s="69">
        <f>2990+5536</f>
        <v>8526</v>
      </c>
      <c r="CT61" s="89">
        <f>3527+6228</f>
        <v>9755</v>
      </c>
      <c r="CU61" s="69">
        <f>3730+6380</f>
        <v>10110</v>
      </c>
      <c r="CV61" s="69">
        <f>3644+6472</f>
        <v>10116</v>
      </c>
      <c r="CW61" s="69">
        <f>3186+5743</f>
        <v>8929</v>
      </c>
      <c r="CX61" s="69">
        <f>3070+5154</f>
        <v>8224</v>
      </c>
      <c r="CY61" s="69">
        <f>2882+4826</f>
        <v>7708</v>
      </c>
      <c r="CZ61" s="69">
        <f>3508+6238</f>
        <v>9746</v>
      </c>
      <c r="DA61" s="69">
        <f>3866+6939</f>
        <v>10805</v>
      </c>
      <c r="DB61" s="69">
        <f>3793+6958</f>
        <v>10751</v>
      </c>
      <c r="DC61" s="69">
        <f>4196+7553</f>
        <v>11749</v>
      </c>
      <c r="DD61" s="69">
        <f>3050+5354</f>
        <v>8404</v>
      </c>
      <c r="DE61" s="69">
        <f>2621+4281</f>
        <v>6902</v>
      </c>
      <c r="DF61" s="89">
        <f>3199+5041</f>
        <v>8240</v>
      </c>
      <c r="DG61" s="68">
        <f>3091+4767</f>
        <v>7858</v>
      </c>
      <c r="DH61" s="297">
        <f>3206+5258</f>
        <v>8464</v>
      </c>
      <c r="DI61" s="68">
        <f>2697+4467</f>
        <v>7164</v>
      </c>
      <c r="DJ61" s="68">
        <f>2572+4228</f>
        <v>6800</v>
      </c>
      <c r="DK61" s="68">
        <f>2724+4672</f>
        <v>7396</v>
      </c>
      <c r="DL61" s="68">
        <f>3573+6231</f>
        <v>9804</v>
      </c>
      <c r="DM61" s="68">
        <f>4018+6898</f>
        <v>10916</v>
      </c>
      <c r="DN61" s="68">
        <f>4086+7421</f>
        <v>11507</v>
      </c>
      <c r="DO61" s="68">
        <f>3494+6440</f>
        <v>9934</v>
      </c>
      <c r="DP61" s="68">
        <f>2555+4387</f>
        <v>6942</v>
      </c>
      <c r="DQ61" s="68">
        <f>2423+3938</f>
        <v>6361</v>
      </c>
      <c r="DR61" s="68">
        <f>2511+4145</f>
        <v>6656</v>
      </c>
      <c r="DS61" s="68">
        <f>2732+4275</f>
        <v>7007</v>
      </c>
      <c r="DT61" s="68">
        <f>2555+4216</f>
        <v>6771</v>
      </c>
      <c r="DU61" s="68">
        <f>2561+4034</f>
        <v>6595</v>
      </c>
      <c r="DV61" s="351">
        <f>2644+4014</f>
        <v>6658</v>
      </c>
      <c r="DW61" s="351">
        <f>2783+4506</f>
        <v>7289</v>
      </c>
      <c r="DX61" s="351">
        <f>2851+4909</f>
        <v>7760</v>
      </c>
      <c r="DY61" s="351">
        <f>3443+5655</f>
        <v>9098</v>
      </c>
      <c r="DZ61" s="351">
        <f>3549+6109</f>
        <v>9658</v>
      </c>
      <c r="EA61" s="351">
        <f>3132+5475</f>
        <v>8607</v>
      </c>
      <c r="EB61" s="351">
        <f>2403+3845</f>
        <v>6248</v>
      </c>
      <c r="EC61" s="351">
        <f>2204+3367</f>
        <v>5571</v>
      </c>
      <c r="ED61" s="351">
        <f>2437+3596</f>
        <v>6033</v>
      </c>
      <c r="EE61" s="351">
        <f>2964+4090</f>
        <v>7054</v>
      </c>
      <c r="EF61" s="351">
        <f>2331+3422</f>
        <v>5753</v>
      </c>
      <c r="EG61" s="351">
        <f>2235+3180</f>
        <v>5415</v>
      </c>
      <c r="EH61" s="351">
        <f>2184+3087</f>
        <v>5271</v>
      </c>
      <c r="EI61" s="351">
        <f>2149+3283</f>
        <v>5432</v>
      </c>
      <c r="EJ61" s="351">
        <f>2431+3882</f>
        <v>6313</v>
      </c>
      <c r="EK61" s="351">
        <f>2594+4060</f>
        <v>6654</v>
      </c>
      <c r="EL61" s="351">
        <f>2760+4367</f>
        <v>7127</v>
      </c>
      <c r="EM61" s="351">
        <f>2779+4385</f>
        <v>7164</v>
      </c>
      <c r="EN61" s="351">
        <f>2099+3158</f>
        <v>5257</v>
      </c>
      <c r="EO61" s="351">
        <f>1855+2673</f>
        <v>4528</v>
      </c>
      <c r="EP61" s="351">
        <f>2335+3267</f>
        <v>5602</v>
      </c>
      <c r="EQ61" s="351">
        <f>2334+3315</f>
        <v>5649</v>
      </c>
      <c r="ER61" s="351">
        <f>2190+3204</f>
        <v>5394</v>
      </c>
      <c r="ES61" s="351">
        <f>1878+2962</f>
        <v>4840</v>
      </c>
      <c r="ET61" s="351">
        <f>1939+2847</f>
        <v>4786</v>
      </c>
      <c r="EU61" s="351">
        <f>1967+3027</f>
        <v>4994</v>
      </c>
      <c r="EV61" s="351">
        <f>2088+3132</f>
        <v>5220</v>
      </c>
      <c r="EW61" s="351">
        <f>2169+3313</f>
        <v>5482</v>
      </c>
      <c r="EX61" s="351">
        <f>2466+3851</f>
        <v>6317</v>
      </c>
      <c r="EY61" s="351">
        <f>2387+3808</f>
        <v>6195</v>
      </c>
      <c r="EZ61" s="351">
        <f>1845+2801</f>
        <v>4646</v>
      </c>
      <c r="FA61" s="351">
        <f>1663+2430</f>
        <v>4093</v>
      </c>
      <c r="FB61" s="351">
        <f>1889+2559</f>
        <v>4448</v>
      </c>
      <c r="FC61" s="351">
        <f>2139+3014</f>
        <v>5153</v>
      </c>
      <c r="FD61" s="68">
        <f>1810+2498</f>
        <v>4308</v>
      </c>
      <c r="FE61" s="68">
        <f>1767+2503</f>
        <v>4270</v>
      </c>
      <c r="FF61" s="68">
        <f>1666+2342</f>
        <v>4008</v>
      </c>
      <c r="FG61" s="68">
        <f>1441+2188</f>
        <v>3629</v>
      </c>
      <c r="FH61" s="68">
        <f>1589+2360</f>
        <v>3949</v>
      </c>
      <c r="FI61" s="68">
        <f>1866+2779</f>
        <v>4645</v>
      </c>
      <c r="FJ61" s="68">
        <f>2242+3557</f>
        <v>5799</v>
      </c>
      <c r="FK61" s="68">
        <f>2136+3352</f>
        <v>5488</v>
      </c>
      <c r="FL61" s="68">
        <f>1693+2480</f>
        <v>4173</v>
      </c>
      <c r="FM61" s="68">
        <f>1267+1895</f>
        <v>3162</v>
      </c>
      <c r="FN61" s="68">
        <f>1460+2118</f>
        <v>3578</v>
      </c>
      <c r="FO61" s="68">
        <f>1617+2332</f>
        <v>3949</v>
      </c>
      <c r="FP61" s="68">
        <f>1306+1910</f>
        <v>3216</v>
      </c>
      <c r="FQ61" s="68">
        <f>1146+1630</f>
        <v>2776</v>
      </c>
      <c r="FR61" s="68">
        <f>1140+1641</f>
        <v>2781</v>
      </c>
      <c r="FS61" s="68">
        <f>1087+1605</f>
        <v>2692</v>
      </c>
      <c r="FT61" s="68">
        <f>1219+1717</f>
        <v>2936</v>
      </c>
    </row>
    <row r="62" spans="2:176" s="68" customFormat="1" ht="13.8" thickBot="1" x14ac:dyDescent="0.3">
      <c r="B62" s="5" t="s">
        <v>8</v>
      </c>
      <c r="C62" s="175">
        <v>5868.55</v>
      </c>
      <c r="D62" s="17">
        <v>21448.521999999997</v>
      </c>
      <c r="E62" s="17">
        <v>28599.502999999997</v>
      </c>
      <c r="F62" s="17">
        <v>30824.667999999994</v>
      </c>
      <c r="G62" s="17">
        <v>51474.491000000002</v>
      </c>
      <c r="H62" s="17">
        <v>34476.044000000002</v>
      </c>
      <c r="I62" s="17">
        <v>67179.436999999991</v>
      </c>
      <c r="J62" s="17">
        <v>61181.765999999996</v>
      </c>
      <c r="K62" s="17">
        <v>70705.395000000004</v>
      </c>
      <c r="L62" s="17">
        <v>65506.336000000003</v>
      </c>
      <c r="M62" s="17">
        <v>53460.288</v>
      </c>
      <c r="N62" s="22">
        <v>61497.255999999994</v>
      </c>
      <c r="O62" s="175">
        <f>1133+62887</f>
        <v>64020</v>
      </c>
      <c r="P62" s="17">
        <f>940+55272</f>
        <v>56212</v>
      </c>
      <c r="Q62" s="17">
        <f>1040+59107</f>
        <v>60147</v>
      </c>
      <c r="R62" s="17">
        <f>58653+952</f>
        <v>59605</v>
      </c>
      <c r="S62" s="17">
        <f>1064+69182</f>
        <v>70246</v>
      </c>
      <c r="T62" s="17">
        <f>76370+1177</f>
        <v>77547</v>
      </c>
      <c r="U62" s="17">
        <f>U63-U61</f>
        <v>82560</v>
      </c>
      <c r="V62" s="17">
        <f>V63-V61</f>
        <v>88043</v>
      </c>
      <c r="W62" s="17">
        <f>W63-W61</f>
        <v>92858</v>
      </c>
      <c r="X62" s="17">
        <f>1424+84593</f>
        <v>86017</v>
      </c>
      <c r="Y62" s="17">
        <f>1157+65620</f>
        <v>66777</v>
      </c>
      <c r="Z62" s="22">
        <f>1642+78051</f>
        <v>79693</v>
      </c>
      <c r="AA62" s="175">
        <f>1886+83162</f>
        <v>85048</v>
      </c>
      <c r="AB62" s="17">
        <f>1775+73983</f>
        <v>75758</v>
      </c>
      <c r="AC62" s="17">
        <f>2198+85535</f>
        <v>87733</v>
      </c>
      <c r="AD62" s="17">
        <f>1938+82424</f>
        <v>84362</v>
      </c>
      <c r="AE62" s="17">
        <f>1676+85931</f>
        <v>87607</v>
      </c>
      <c r="AF62" s="17">
        <f>2461+112585</f>
        <v>115046</v>
      </c>
      <c r="AG62" s="17">
        <f>2260+112040</f>
        <v>114300</v>
      </c>
      <c r="AH62" s="17">
        <f>2491+119297</f>
        <v>121788</v>
      </c>
      <c r="AI62" s="17">
        <f>2527+116929</f>
        <v>119456</v>
      </c>
      <c r="AJ62" s="17">
        <f>2869+109990</f>
        <v>112859</v>
      </c>
      <c r="AK62" s="17">
        <f>2702+92125</f>
        <v>94827</v>
      </c>
      <c r="AL62" s="22">
        <f>3364+96608</f>
        <v>99972</v>
      </c>
      <c r="AM62" s="175">
        <f>106227+3181</f>
        <v>109408</v>
      </c>
      <c r="AN62" s="17">
        <f>2634+92196</f>
        <v>94830</v>
      </c>
      <c r="AO62" s="17">
        <f>2891+96525</f>
        <v>99416</v>
      </c>
      <c r="AP62" s="17">
        <f>2647+97622</f>
        <v>100269</v>
      </c>
      <c r="AQ62" s="17">
        <f>2813+103479</f>
        <v>106292</v>
      </c>
      <c r="AR62" s="17">
        <f>3273+124683</f>
        <v>127956</v>
      </c>
      <c r="AS62" s="17">
        <f>3619+133195</f>
        <v>136814</v>
      </c>
      <c r="AT62" s="17">
        <f>142642+4367</f>
        <v>147009</v>
      </c>
      <c r="AU62" s="17">
        <f>4869+139363</f>
        <v>144232</v>
      </c>
      <c r="AV62" s="17">
        <f>4537+124144</f>
        <v>128681</v>
      </c>
      <c r="AW62" s="17">
        <f>3916+105111</f>
        <v>109027</v>
      </c>
      <c r="AX62" s="22">
        <f>4330+111007</f>
        <v>115337</v>
      </c>
      <c r="AY62" s="175">
        <f>4917+119606</f>
        <v>124523</v>
      </c>
      <c r="AZ62" s="17">
        <f>3945+97962</f>
        <v>101907</v>
      </c>
      <c r="BA62" s="17">
        <f>116595+4719</f>
        <v>121314</v>
      </c>
      <c r="BB62" s="17">
        <f>4020+103064</f>
        <v>107084</v>
      </c>
      <c r="BC62" s="17">
        <f>4804+124305</f>
        <v>129109</v>
      </c>
      <c r="BD62" s="17">
        <f>5516+144406</f>
        <v>149922</v>
      </c>
      <c r="BE62" s="17">
        <f>5344+159032-21527</f>
        <v>142849</v>
      </c>
      <c r="BF62" s="17">
        <f>6371+183400-25396</f>
        <v>164375</v>
      </c>
      <c r="BG62" s="17">
        <f>177872-28450+5952</f>
        <v>155374</v>
      </c>
      <c r="BH62" s="17">
        <f>5286+130031</f>
        <v>135317</v>
      </c>
      <c r="BI62" s="17">
        <f>4738+108451</f>
        <v>113189</v>
      </c>
      <c r="BJ62" s="22">
        <f>5219+112797</f>
        <v>118016</v>
      </c>
      <c r="BK62" s="175">
        <f>6419+124990</f>
        <v>131409</v>
      </c>
      <c r="BL62" s="17">
        <f>5718+109888</f>
        <v>115606</v>
      </c>
      <c r="BM62" s="17">
        <f>5562+115932</f>
        <v>121494</v>
      </c>
      <c r="BN62" s="17">
        <f>111686+4877</f>
        <v>116563</v>
      </c>
      <c r="BO62" s="17">
        <f>5280+123068</f>
        <v>128348</v>
      </c>
      <c r="BP62" s="17">
        <f>5674+132901</f>
        <v>138575</v>
      </c>
      <c r="BQ62" s="17">
        <f>6301+140148</f>
        <v>146449</v>
      </c>
      <c r="BR62" s="17">
        <f>7015+148229</f>
        <v>155244</v>
      </c>
      <c r="BS62" s="17">
        <f>6176+141004</f>
        <v>147180</v>
      </c>
      <c r="BT62" s="17">
        <f>6500+140840</f>
        <v>147340</v>
      </c>
      <c r="BU62" s="17">
        <f>124423+6130</f>
        <v>130553</v>
      </c>
      <c r="BV62" s="22">
        <f>6883+133041</f>
        <v>139924</v>
      </c>
      <c r="BW62" s="175">
        <f>136133+7356</f>
        <v>143489</v>
      </c>
      <c r="BX62" s="17">
        <f>6632+122971</f>
        <v>129603</v>
      </c>
      <c r="BY62" s="17">
        <f>6212+118238</f>
        <v>124450</v>
      </c>
      <c r="BZ62" s="17">
        <f>6081+115980</f>
        <v>122061</v>
      </c>
      <c r="CA62" s="17">
        <f>123777+6087</f>
        <v>129864</v>
      </c>
      <c r="CB62" s="17">
        <f>7259+149641</f>
        <v>156900</v>
      </c>
      <c r="CC62" s="17">
        <f>150361+7498</f>
        <v>157859</v>
      </c>
      <c r="CD62" s="17">
        <f>7662+153658</f>
        <v>161320</v>
      </c>
      <c r="CE62" s="17">
        <f>7295+149905</f>
        <v>157200</v>
      </c>
      <c r="CF62" s="17">
        <f>132864.29+6608.21</f>
        <v>139472.5</v>
      </c>
      <c r="CG62" s="17">
        <f>6089.72+118228.91</f>
        <v>124318.63</v>
      </c>
      <c r="CH62" s="22">
        <f>6921.26+129314.88</f>
        <v>136236.14000000001</v>
      </c>
      <c r="CI62" s="210">
        <f>7666+136578</f>
        <v>144244</v>
      </c>
      <c r="CJ62" s="92">
        <f>6608+118150</f>
        <v>124758</v>
      </c>
      <c r="CK62" s="92">
        <f>6211+114003</f>
        <v>120214</v>
      </c>
      <c r="CL62" s="92">
        <f>6397+115959</f>
        <v>122356</v>
      </c>
      <c r="CM62" s="92">
        <f>6486+126752</f>
        <v>133238</v>
      </c>
      <c r="CN62" s="92">
        <f>7052+138698</f>
        <v>145750</v>
      </c>
      <c r="CO62" s="92">
        <f>8206+156974</f>
        <v>165180</v>
      </c>
      <c r="CP62" s="92">
        <f>8096+153299</f>
        <v>161395</v>
      </c>
      <c r="CQ62" s="92">
        <f>8085+154627</f>
        <v>162712</v>
      </c>
      <c r="CR62" s="92">
        <f>6887+130905</f>
        <v>137792</v>
      </c>
      <c r="CS62" s="92">
        <f>6526+118041</f>
        <v>124567</v>
      </c>
      <c r="CT62" s="93">
        <f>7776+131704</f>
        <v>139480</v>
      </c>
      <c r="CU62" s="91">
        <f>7817+128188</f>
        <v>136005</v>
      </c>
      <c r="CV62" s="92">
        <f>7791+126023</f>
        <v>133814</v>
      </c>
      <c r="CW62" s="92">
        <f>7137+117051</f>
        <v>124188</v>
      </c>
      <c r="CX62" s="92">
        <f>6862+119725</f>
        <v>126587</v>
      </c>
      <c r="CY62" s="92">
        <f>6538+122159</f>
        <v>128697</v>
      </c>
      <c r="CZ62" s="92">
        <f>7986+150040</f>
        <v>158026</v>
      </c>
      <c r="DA62" s="92">
        <f>8600+160457</f>
        <v>169057</v>
      </c>
      <c r="DB62" s="92">
        <f>8152+142204</f>
        <v>150356</v>
      </c>
      <c r="DC62" s="92">
        <f>8920+168696</f>
        <v>177616</v>
      </c>
      <c r="DD62" s="92">
        <f>7213+133857</f>
        <v>141070</v>
      </c>
      <c r="DE62" s="92">
        <f>6545+113941</f>
        <v>120486</v>
      </c>
      <c r="DF62" s="93">
        <f>8135+136072</f>
        <v>144207</v>
      </c>
      <c r="DG62" s="68">
        <f>7579+123318</f>
        <v>130897</v>
      </c>
      <c r="DH62" s="297">
        <f>8120+128446</f>
        <v>136566</v>
      </c>
      <c r="DI62" s="68">
        <f>7147+118399</f>
        <v>125546</v>
      </c>
      <c r="DJ62" s="68">
        <f>6661+111067</f>
        <v>117728</v>
      </c>
      <c r="DK62" s="68">
        <f>6962+123537</f>
        <v>130499</v>
      </c>
      <c r="DL62" s="68">
        <f>9273+162493</f>
        <v>171766</v>
      </c>
      <c r="DM62" s="68">
        <f>9273+162493</f>
        <v>171766</v>
      </c>
      <c r="DN62" s="68">
        <f>9273+162493</f>
        <v>171766</v>
      </c>
      <c r="DO62" s="68">
        <f>9273+162493</f>
        <v>171766</v>
      </c>
      <c r="DP62" s="68">
        <f>7703+133846</f>
        <v>141549</v>
      </c>
      <c r="DQ62" s="68">
        <f>7263+119318</f>
        <v>126581</v>
      </c>
      <c r="DR62" s="68">
        <f>7403+116723</f>
        <v>124126</v>
      </c>
      <c r="DS62" s="68">
        <f>7965+120383</f>
        <v>128348</v>
      </c>
      <c r="DT62" s="68">
        <f>7580+118833</f>
        <v>126413</v>
      </c>
      <c r="DU62" s="68">
        <f>7757+121060</f>
        <v>128817</v>
      </c>
      <c r="DV62" s="351">
        <f>7777+130141</f>
        <v>137918</v>
      </c>
      <c r="DW62" s="351">
        <f>8283+139921</f>
        <v>148204</v>
      </c>
      <c r="DX62" s="351">
        <f>9138+159022</f>
        <v>168160</v>
      </c>
      <c r="DY62" s="351">
        <f>10265+167243</f>
        <v>177508</v>
      </c>
      <c r="DZ62" s="351">
        <f>10332+172574</f>
        <v>182906</v>
      </c>
      <c r="EA62" s="351">
        <f>10004+168094</f>
        <v>178098</v>
      </c>
      <c r="EB62" s="351">
        <f>8488+143148</f>
        <v>151636</v>
      </c>
      <c r="EC62" s="351">
        <f>7764+132976</f>
        <v>140740</v>
      </c>
      <c r="ED62" s="351">
        <f>8619+138725</f>
        <v>147344</v>
      </c>
      <c r="EE62" s="351">
        <f>9893+138259</f>
        <v>148152</v>
      </c>
      <c r="EF62" s="351">
        <f>8464+126821</f>
        <v>135285</v>
      </c>
      <c r="EG62" s="351">
        <f>8100+123818</f>
        <v>131918</v>
      </c>
      <c r="EH62" s="351">
        <f>8246+129152</f>
        <v>137398</v>
      </c>
      <c r="EI62" s="351">
        <f>8028+128611</f>
        <v>136639</v>
      </c>
      <c r="EJ62" s="351">
        <f>9706+157581</f>
        <v>167287</v>
      </c>
      <c r="EK62" s="351">
        <f>10339+166418</f>
        <v>176757</v>
      </c>
      <c r="EL62" s="351">
        <f>10554+168405</f>
        <v>178959</v>
      </c>
      <c r="EM62" s="351">
        <f>11060+178095</f>
        <v>189155</v>
      </c>
      <c r="EN62" s="351">
        <f>9395+151938</f>
        <v>161333</v>
      </c>
      <c r="EO62" s="351">
        <f>8253+132120</f>
        <v>140373</v>
      </c>
      <c r="EP62" s="351">
        <f>10300+149140</f>
        <v>159440</v>
      </c>
      <c r="EQ62" s="351">
        <f>9898+143163</f>
        <v>153061</v>
      </c>
      <c r="ER62" s="351">
        <f>10200+145728</f>
        <v>155928</v>
      </c>
      <c r="ES62" s="351">
        <f>8664+131709</f>
        <v>140373</v>
      </c>
      <c r="ET62" s="351">
        <f>8607+130928</f>
        <v>139535</v>
      </c>
      <c r="EU62" s="351">
        <f>9083+148584</f>
        <v>157667</v>
      </c>
      <c r="EV62" s="351">
        <f>9777+159261</f>
        <v>169038</v>
      </c>
      <c r="EW62" s="351">
        <f>10867+173323</f>
        <v>184190</v>
      </c>
      <c r="EX62" s="351">
        <f>11127+174415</f>
        <v>185542</v>
      </c>
      <c r="EY62" s="351">
        <f>11294+179366</f>
        <v>190660</v>
      </c>
      <c r="EZ62" s="351">
        <f>9511+154472</f>
        <v>163983</v>
      </c>
      <c r="FA62" s="351">
        <f>8975+141783</f>
        <v>150758</v>
      </c>
      <c r="FB62" s="351">
        <f>10315+149771</f>
        <v>160086</v>
      </c>
      <c r="FC62" s="351">
        <f>11175+156074</f>
        <v>167249</v>
      </c>
      <c r="FD62" s="351">
        <f>9736+142055</f>
        <v>151791</v>
      </c>
      <c r="FE62" s="351">
        <f>9619+139891</f>
        <v>149510</v>
      </c>
      <c r="FF62" s="352">
        <f>9121+140078</f>
        <v>149199</v>
      </c>
      <c r="FG62" s="352">
        <f>8529+136125</f>
        <v>144654</v>
      </c>
      <c r="FH62" s="352">
        <f>9429+154771</f>
        <v>164200</v>
      </c>
      <c r="FI62" s="352">
        <f>10528+172960</f>
        <v>183488</v>
      </c>
      <c r="FJ62" s="352">
        <f>11912+177735</f>
        <v>189647</v>
      </c>
      <c r="FK62" s="352">
        <f>11794+176977</f>
        <v>188771</v>
      </c>
      <c r="FL62" s="352">
        <f>10352+155515</f>
        <v>165867</v>
      </c>
      <c r="FM62" s="352">
        <f>8654+130157</f>
        <v>138811</v>
      </c>
      <c r="FN62" s="352">
        <f>9776+137628</f>
        <v>147404</v>
      </c>
      <c r="FO62" s="352">
        <f>10674+137489</f>
        <v>148163</v>
      </c>
      <c r="FP62" s="352">
        <f>9664+132933</f>
        <v>142597</v>
      </c>
      <c r="FQ62" s="352">
        <f>8870+121343</f>
        <v>130213</v>
      </c>
      <c r="FR62" s="352">
        <f>8960+124647</f>
        <v>133607</v>
      </c>
      <c r="FS62" s="352">
        <f>8793+129923</f>
        <v>138716</v>
      </c>
      <c r="FT62" s="352">
        <f>9969+144774</f>
        <v>154743</v>
      </c>
    </row>
    <row r="63" spans="2:176" s="68" customFormat="1" ht="13.8" thickTop="1" x14ac:dyDescent="0.25">
      <c r="B63" s="3" t="s">
        <v>9</v>
      </c>
      <c r="C63" s="176">
        <f t="shared" ref="C63:H63" si="294">SUM(C61:C62)</f>
        <v>111299.465</v>
      </c>
      <c r="D63" s="8">
        <f t="shared" si="294"/>
        <v>126879.43699999999</v>
      </c>
      <c r="E63" s="8">
        <f t="shared" si="294"/>
        <v>137630.261</v>
      </c>
      <c r="F63" s="8">
        <f t="shared" si="294"/>
        <v>145347.15900000001</v>
      </c>
      <c r="G63" s="8">
        <f t="shared" si="294"/>
        <v>158369.872</v>
      </c>
      <c r="H63" s="8">
        <f t="shared" si="294"/>
        <v>147570.50700000001</v>
      </c>
      <c r="I63" s="8">
        <f t="shared" ref="I63:Q63" si="295">SUM(I61:I62)</f>
        <v>174159.46899999998</v>
      </c>
      <c r="J63" s="8">
        <f t="shared" si="295"/>
        <v>183245.353</v>
      </c>
      <c r="K63" s="8">
        <f t="shared" si="295"/>
        <v>184966.783</v>
      </c>
      <c r="L63" s="8">
        <f t="shared" si="295"/>
        <v>147435.85799999998</v>
      </c>
      <c r="M63" s="8">
        <f t="shared" si="295"/>
        <v>128119.613</v>
      </c>
      <c r="N63" s="10">
        <f t="shared" si="295"/>
        <v>149110.99299999999</v>
      </c>
      <c r="O63" s="176">
        <f t="shared" si="295"/>
        <v>152924</v>
      </c>
      <c r="P63" s="8">
        <f t="shared" si="295"/>
        <v>123026</v>
      </c>
      <c r="Q63" s="8">
        <f t="shared" si="295"/>
        <v>128784</v>
      </c>
      <c r="R63" s="8">
        <f>SUM(R61:R62)</f>
        <v>128109</v>
      </c>
      <c r="S63" s="8">
        <f>SUM(S61:S62)</f>
        <v>150005</v>
      </c>
      <c r="T63" s="8">
        <f>SUM(T61:T62)</f>
        <v>160891</v>
      </c>
      <c r="U63" s="8">
        <f>10041+164046</f>
        <v>174087</v>
      </c>
      <c r="V63" s="8">
        <f>10450+168368</f>
        <v>178818</v>
      </c>
      <c r="W63" s="8">
        <f>10157+161219</f>
        <v>171376</v>
      </c>
      <c r="X63" s="8">
        <f t="shared" ref="X63:AC63" si="296">X61+X62</f>
        <v>150729</v>
      </c>
      <c r="Y63" s="8">
        <f t="shared" si="296"/>
        <v>116532</v>
      </c>
      <c r="Z63" s="10">
        <f t="shared" si="296"/>
        <v>141258</v>
      </c>
      <c r="AA63" s="176">
        <f t="shared" si="296"/>
        <v>147405</v>
      </c>
      <c r="AB63" s="8">
        <f t="shared" si="296"/>
        <v>124795</v>
      </c>
      <c r="AC63" s="8">
        <f t="shared" si="296"/>
        <v>139839</v>
      </c>
      <c r="AD63" s="8">
        <f t="shared" ref="AD63:AI63" si="297">AD61+AD62</f>
        <v>130715</v>
      </c>
      <c r="AE63" s="8">
        <f t="shared" si="297"/>
        <v>131278</v>
      </c>
      <c r="AF63" s="8">
        <f t="shared" si="297"/>
        <v>172497</v>
      </c>
      <c r="AG63" s="8">
        <f t="shared" si="297"/>
        <v>169603</v>
      </c>
      <c r="AH63" s="8">
        <f t="shared" si="297"/>
        <v>175145</v>
      </c>
      <c r="AI63" s="8">
        <f t="shared" si="297"/>
        <v>166157</v>
      </c>
      <c r="AJ63" s="8">
        <f t="shared" ref="AJ63:AO63" si="298">AJ61+AJ62</f>
        <v>150179</v>
      </c>
      <c r="AK63" s="8">
        <f t="shared" si="298"/>
        <v>126554</v>
      </c>
      <c r="AL63" s="10">
        <f t="shared" si="298"/>
        <v>134909</v>
      </c>
      <c r="AM63" s="176">
        <f t="shared" si="298"/>
        <v>153181</v>
      </c>
      <c r="AN63" s="8">
        <f t="shared" si="298"/>
        <v>125269</v>
      </c>
      <c r="AO63" s="8">
        <f t="shared" si="298"/>
        <v>130115</v>
      </c>
      <c r="AP63" s="8">
        <f t="shared" ref="AP63:AU63" si="299">AP61+AP62</f>
        <v>126848</v>
      </c>
      <c r="AQ63" s="8">
        <f t="shared" si="299"/>
        <v>134083</v>
      </c>
      <c r="AR63" s="8">
        <f t="shared" si="299"/>
        <v>162069</v>
      </c>
      <c r="AS63" s="8">
        <f t="shared" si="299"/>
        <v>173980</v>
      </c>
      <c r="AT63" s="8">
        <f t="shared" si="299"/>
        <v>183745</v>
      </c>
      <c r="AU63" s="8">
        <f t="shared" si="299"/>
        <v>177240</v>
      </c>
      <c r="AV63" s="8">
        <f t="shared" ref="AV63:BJ63" si="300">AV61+AV62</f>
        <v>156655</v>
      </c>
      <c r="AW63" s="8">
        <f t="shared" si="300"/>
        <v>133543</v>
      </c>
      <c r="AX63" s="10">
        <f t="shared" si="300"/>
        <v>144265</v>
      </c>
      <c r="AY63" s="176">
        <f t="shared" si="300"/>
        <v>157126</v>
      </c>
      <c r="AZ63" s="8">
        <f t="shared" si="300"/>
        <v>125504</v>
      </c>
      <c r="BA63" s="8">
        <f t="shared" si="300"/>
        <v>147468</v>
      </c>
      <c r="BB63" s="8">
        <f t="shared" si="300"/>
        <v>128250</v>
      </c>
      <c r="BC63" s="8">
        <f t="shared" si="300"/>
        <v>154817</v>
      </c>
      <c r="BD63" s="8">
        <f t="shared" si="300"/>
        <v>180690</v>
      </c>
      <c r="BE63" s="8">
        <f t="shared" si="300"/>
        <v>172063</v>
      </c>
      <c r="BF63" s="8">
        <f t="shared" si="300"/>
        <v>198516</v>
      </c>
      <c r="BG63" s="8">
        <f t="shared" si="300"/>
        <v>193176</v>
      </c>
      <c r="BH63" s="8">
        <f t="shared" si="300"/>
        <v>157121</v>
      </c>
      <c r="BI63" s="8">
        <f t="shared" si="300"/>
        <v>130108</v>
      </c>
      <c r="BJ63" s="10">
        <f t="shared" si="300"/>
        <v>136778</v>
      </c>
      <c r="BK63" s="176">
        <f t="shared" ref="BK63:BP63" si="301">BK61+BK62</f>
        <v>153663</v>
      </c>
      <c r="BL63" s="8">
        <f t="shared" si="301"/>
        <v>133633</v>
      </c>
      <c r="BM63" s="8">
        <f t="shared" si="301"/>
        <v>139074</v>
      </c>
      <c r="BN63" s="8">
        <f t="shared" si="301"/>
        <v>132022</v>
      </c>
      <c r="BO63" s="8">
        <f t="shared" si="301"/>
        <v>145798</v>
      </c>
      <c r="BP63" s="8">
        <f t="shared" si="301"/>
        <v>157380</v>
      </c>
      <c r="BQ63" s="8">
        <f t="shared" ref="BQ63:CB63" si="302">BQ61+BQ62</f>
        <v>166731</v>
      </c>
      <c r="BR63" s="8">
        <f t="shared" si="302"/>
        <v>177508</v>
      </c>
      <c r="BS63" s="8">
        <f t="shared" si="302"/>
        <v>166210</v>
      </c>
      <c r="BT63" s="8">
        <f t="shared" si="302"/>
        <v>165880</v>
      </c>
      <c r="BU63" s="8">
        <f t="shared" si="302"/>
        <v>145864</v>
      </c>
      <c r="BV63" s="10">
        <f t="shared" si="302"/>
        <v>155881</v>
      </c>
      <c r="BW63" s="176">
        <f t="shared" si="302"/>
        <v>161562</v>
      </c>
      <c r="BX63" s="8">
        <f t="shared" si="302"/>
        <v>145534</v>
      </c>
      <c r="BY63" s="8">
        <f t="shared" si="302"/>
        <v>138582</v>
      </c>
      <c r="BZ63" s="8">
        <f t="shared" si="302"/>
        <v>135906</v>
      </c>
      <c r="CA63" s="8">
        <f t="shared" si="302"/>
        <v>144399</v>
      </c>
      <c r="CB63" s="8">
        <f t="shared" si="302"/>
        <v>175257</v>
      </c>
      <c r="CC63" s="8">
        <f t="shared" ref="CC63:CH63" si="303">CC61+CC62</f>
        <v>177265</v>
      </c>
      <c r="CD63" s="8">
        <f t="shared" si="303"/>
        <v>181275</v>
      </c>
      <c r="CE63" s="8">
        <f t="shared" si="303"/>
        <v>173861</v>
      </c>
      <c r="CF63" s="8">
        <f t="shared" si="303"/>
        <v>153302.5</v>
      </c>
      <c r="CG63" s="8">
        <f t="shared" si="303"/>
        <v>136169.63</v>
      </c>
      <c r="CH63" s="8">
        <f t="shared" si="303"/>
        <v>149374.14000000001</v>
      </c>
      <c r="CI63" s="115">
        <f t="shared" ref="CI63:DK63" si="304">SUM(CI61:CI62)</f>
        <v>159053</v>
      </c>
      <c r="CJ63" s="94">
        <f t="shared" si="304"/>
        <v>137361</v>
      </c>
      <c r="CK63" s="94">
        <f t="shared" si="304"/>
        <v>131833</v>
      </c>
      <c r="CL63" s="94">
        <f t="shared" si="304"/>
        <v>134224</v>
      </c>
      <c r="CM63" s="94">
        <f t="shared" si="304"/>
        <v>145362</v>
      </c>
      <c r="CN63" s="94">
        <f t="shared" si="304"/>
        <v>158753</v>
      </c>
      <c r="CO63" s="94">
        <f t="shared" si="304"/>
        <v>180527</v>
      </c>
      <c r="CP63" s="94">
        <f t="shared" si="304"/>
        <v>176191</v>
      </c>
      <c r="CQ63" s="94">
        <f t="shared" si="304"/>
        <v>177117</v>
      </c>
      <c r="CR63" s="94">
        <f t="shared" si="304"/>
        <v>147609</v>
      </c>
      <c r="CS63" s="94">
        <f t="shared" si="304"/>
        <v>133093</v>
      </c>
      <c r="CT63" s="107">
        <f t="shared" si="304"/>
        <v>149235</v>
      </c>
      <c r="CU63" s="95">
        <f t="shared" si="304"/>
        <v>146115</v>
      </c>
      <c r="CV63" s="95">
        <f t="shared" si="304"/>
        <v>143930</v>
      </c>
      <c r="CW63" s="95">
        <f t="shared" si="304"/>
        <v>133117</v>
      </c>
      <c r="CX63" s="95">
        <f t="shared" si="304"/>
        <v>134811</v>
      </c>
      <c r="CY63" s="95">
        <f t="shared" si="304"/>
        <v>136405</v>
      </c>
      <c r="CZ63" s="95">
        <f t="shared" si="304"/>
        <v>167772</v>
      </c>
      <c r="DA63" s="95">
        <f t="shared" si="304"/>
        <v>179862</v>
      </c>
      <c r="DB63" s="95">
        <f t="shared" si="304"/>
        <v>161107</v>
      </c>
      <c r="DC63" s="95">
        <f t="shared" si="304"/>
        <v>189365</v>
      </c>
      <c r="DD63" s="95">
        <f t="shared" si="304"/>
        <v>149474</v>
      </c>
      <c r="DE63" s="95">
        <f t="shared" si="304"/>
        <v>127388</v>
      </c>
      <c r="DF63" s="107">
        <f t="shared" si="304"/>
        <v>152447</v>
      </c>
      <c r="DG63" s="95">
        <f t="shared" si="304"/>
        <v>138755</v>
      </c>
      <c r="DH63" s="95">
        <f t="shared" si="304"/>
        <v>145030</v>
      </c>
      <c r="DI63" s="95">
        <f t="shared" si="304"/>
        <v>132710</v>
      </c>
      <c r="DJ63" s="95">
        <f t="shared" si="304"/>
        <v>124528</v>
      </c>
      <c r="DK63" s="95">
        <f t="shared" si="304"/>
        <v>137895</v>
      </c>
      <c r="DL63" s="95">
        <f t="shared" ref="DL63:DR63" si="305">SUM(DL61:DL62)</f>
        <v>181570</v>
      </c>
      <c r="DM63" s="95">
        <f t="shared" si="305"/>
        <v>182682</v>
      </c>
      <c r="DN63" s="95">
        <f t="shared" si="305"/>
        <v>183273</v>
      </c>
      <c r="DO63" s="95">
        <f t="shared" si="305"/>
        <v>181700</v>
      </c>
      <c r="DP63" s="95">
        <f t="shared" si="305"/>
        <v>148491</v>
      </c>
      <c r="DQ63" s="95">
        <f t="shared" si="305"/>
        <v>132942</v>
      </c>
      <c r="DR63" s="95">
        <f t="shared" si="305"/>
        <v>130782</v>
      </c>
      <c r="DS63" s="95">
        <f t="shared" ref="DS63:FK63" si="306">SUM(DS61:DS62)</f>
        <v>135355</v>
      </c>
      <c r="DT63" s="95">
        <f t="shared" si="306"/>
        <v>133184</v>
      </c>
      <c r="DU63" s="95">
        <f t="shared" si="306"/>
        <v>135412</v>
      </c>
      <c r="DV63" s="355">
        <f t="shared" si="306"/>
        <v>144576</v>
      </c>
      <c r="DW63" s="355">
        <f t="shared" si="306"/>
        <v>155493</v>
      </c>
      <c r="DX63" s="355">
        <f t="shared" si="306"/>
        <v>175920</v>
      </c>
      <c r="DY63" s="355">
        <f t="shared" si="306"/>
        <v>186606</v>
      </c>
      <c r="DZ63" s="355">
        <f t="shared" si="306"/>
        <v>192564</v>
      </c>
      <c r="EA63" s="355">
        <f t="shared" si="306"/>
        <v>186705</v>
      </c>
      <c r="EB63" s="355">
        <f t="shared" si="306"/>
        <v>157884</v>
      </c>
      <c r="EC63" s="355">
        <f t="shared" si="306"/>
        <v>146311</v>
      </c>
      <c r="ED63" s="355">
        <f t="shared" si="306"/>
        <v>153377</v>
      </c>
      <c r="EE63" s="355">
        <f t="shared" si="306"/>
        <v>155206</v>
      </c>
      <c r="EF63" s="355">
        <f t="shared" si="306"/>
        <v>141038</v>
      </c>
      <c r="EG63" s="355">
        <f t="shared" si="306"/>
        <v>137333</v>
      </c>
      <c r="EH63" s="355">
        <f t="shared" si="306"/>
        <v>142669</v>
      </c>
      <c r="EI63" s="355">
        <f t="shared" si="306"/>
        <v>142071</v>
      </c>
      <c r="EJ63" s="355">
        <f t="shared" si="306"/>
        <v>173600</v>
      </c>
      <c r="EK63" s="355">
        <f t="shared" si="306"/>
        <v>183411</v>
      </c>
      <c r="EL63" s="355">
        <f t="shared" si="306"/>
        <v>186086</v>
      </c>
      <c r="EM63" s="355">
        <f t="shared" si="306"/>
        <v>196319</v>
      </c>
      <c r="EN63" s="355">
        <f t="shared" si="306"/>
        <v>166590</v>
      </c>
      <c r="EO63" s="355">
        <f t="shared" si="306"/>
        <v>144901</v>
      </c>
      <c r="EP63" s="355">
        <f t="shared" si="306"/>
        <v>165042</v>
      </c>
      <c r="EQ63" s="355">
        <f t="shared" si="306"/>
        <v>158710</v>
      </c>
      <c r="ER63" s="355">
        <f t="shared" si="306"/>
        <v>161322</v>
      </c>
      <c r="ES63" s="355">
        <f t="shared" si="306"/>
        <v>145213</v>
      </c>
      <c r="ET63" s="355">
        <f t="shared" si="306"/>
        <v>144321</v>
      </c>
      <c r="EU63" s="355">
        <f t="shared" si="306"/>
        <v>162661</v>
      </c>
      <c r="EV63" s="355">
        <f t="shared" si="306"/>
        <v>174258</v>
      </c>
      <c r="EW63" s="355">
        <f t="shared" si="306"/>
        <v>189672</v>
      </c>
      <c r="EX63" s="355">
        <f t="shared" si="306"/>
        <v>191859</v>
      </c>
      <c r="EY63" s="355">
        <f t="shared" si="306"/>
        <v>196855</v>
      </c>
      <c r="EZ63" s="355">
        <f t="shared" si="306"/>
        <v>168629</v>
      </c>
      <c r="FA63" s="355">
        <f t="shared" si="306"/>
        <v>154851</v>
      </c>
      <c r="FB63" s="355">
        <f t="shared" si="306"/>
        <v>164534</v>
      </c>
      <c r="FC63" s="355">
        <f t="shared" si="306"/>
        <v>172402</v>
      </c>
      <c r="FD63" s="355">
        <f t="shared" si="306"/>
        <v>156099</v>
      </c>
      <c r="FE63" s="355">
        <f t="shared" si="306"/>
        <v>153780</v>
      </c>
      <c r="FF63" s="355">
        <f t="shared" si="306"/>
        <v>153207</v>
      </c>
      <c r="FG63" s="355">
        <f t="shared" si="306"/>
        <v>148283</v>
      </c>
      <c r="FH63" s="355">
        <f t="shared" si="306"/>
        <v>168149</v>
      </c>
      <c r="FI63" s="355">
        <f t="shared" si="306"/>
        <v>188133</v>
      </c>
      <c r="FJ63" s="355">
        <f t="shared" si="306"/>
        <v>195446</v>
      </c>
      <c r="FK63" s="355">
        <f t="shared" si="306"/>
        <v>194259</v>
      </c>
      <c r="FL63" s="355">
        <f t="shared" ref="FL63:FQ63" si="307">SUM(FL61:FL62)</f>
        <v>170040</v>
      </c>
      <c r="FM63" s="355">
        <f t="shared" si="307"/>
        <v>141973</v>
      </c>
      <c r="FN63" s="355">
        <f t="shared" si="307"/>
        <v>150982</v>
      </c>
      <c r="FO63" s="355">
        <f t="shared" si="307"/>
        <v>152112</v>
      </c>
      <c r="FP63" s="355">
        <f t="shared" si="307"/>
        <v>145813</v>
      </c>
      <c r="FQ63" s="355">
        <f t="shared" si="307"/>
        <v>132989</v>
      </c>
      <c r="FR63" s="355">
        <f t="shared" ref="FR63:FT63" si="308">SUM(FR61:FR62)</f>
        <v>136388</v>
      </c>
      <c r="FS63" s="355">
        <f t="shared" si="308"/>
        <v>141408</v>
      </c>
      <c r="FT63" s="355">
        <f t="shared" si="308"/>
        <v>157679</v>
      </c>
    </row>
    <row r="64" spans="2:176" x14ac:dyDescent="0.25">
      <c r="B64" s="3" t="s">
        <v>10</v>
      </c>
      <c r="C64" s="177">
        <f t="shared" ref="C64:H64" si="309">SUM(C61)/C63</f>
        <v>0.94727243298069763</v>
      </c>
      <c r="D64" s="14">
        <f t="shared" si="309"/>
        <v>0.83095352164905967</v>
      </c>
      <c r="E64" s="14">
        <f t="shared" si="309"/>
        <v>0.79220047399314319</v>
      </c>
      <c r="F64" s="14">
        <f t="shared" si="309"/>
        <v>0.78792383551163869</v>
      </c>
      <c r="G64" s="14">
        <f t="shared" si="309"/>
        <v>0.67497295824044112</v>
      </c>
      <c r="H64" s="14">
        <f t="shared" si="309"/>
        <v>0.76637578401760176</v>
      </c>
      <c r="I64" s="14">
        <f t="shared" ref="I64:Q64" si="310">SUM(I61)/I63</f>
        <v>0.61426480348306534</v>
      </c>
      <c r="J64" s="14">
        <f t="shared" si="310"/>
        <v>0.66612105028387814</v>
      </c>
      <c r="K64" s="14">
        <f t="shared" si="310"/>
        <v>0.61774004038335906</v>
      </c>
      <c r="L64" s="14">
        <f t="shared" si="310"/>
        <v>0.55569603698443559</v>
      </c>
      <c r="M64" s="14">
        <f t="shared" si="310"/>
        <v>0.58273142770108122</v>
      </c>
      <c r="N64" s="23">
        <f t="shared" si="310"/>
        <v>0.58757396243749782</v>
      </c>
      <c r="O64" s="177">
        <f t="shared" si="310"/>
        <v>0.58136067589129237</v>
      </c>
      <c r="P64" s="14">
        <f t="shared" si="310"/>
        <v>0.54308845284736562</v>
      </c>
      <c r="Q64" s="14">
        <f t="shared" si="310"/>
        <v>0.53296216921356687</v>
      </c>
      <c r="R64" s="14">
        <f t="shared" ref="R64:W64" si="311">SUM(R61)/R63</f>
        <v>0.53473214216019171</v>
      </c>
      <c r="S64" s="14">
        <f t="shared" si="311"/>
        <v>0.5317089430352322</v>
      </c>
      <c r="T64" s="14">
        <f t="shared" si="311"/>
        <v>0.51801530228539816</v>
      </c>
      <c r="U64" s="14">
        <f t="shared" si="311"/>
        <v>0.52575436419721178</v>
      </c>
      <c r="V64" s="14">
        <f t="shared" si="311"/>
        <v>0.50763905199700254</v>
      </c>
      <c r="W64" s="14">
        <f t="shared" si="311"/>
        <v>0.45816216973205115</v>
      </c>
      <c r="X64" s="14">
        <f t="shared" ref="X64:AC64" si="312">SUM(X61)/X63</f>
        <v>0.42932680506073817</v>
      </c>
      <c r="Y64" s="14">
        <f t="shared" si="312"/>
        <v>0.42696426732571313</v>
      </c>
      <c r="Z64" s="23">
        <f t="shared" si="312"/>
        <v>0.43583372269181214</v>
      </c>
      <c r="AA64" s="177">
        <f t="shared" si="312"/>
        <v>0.42303178318238865</v>
      </c>
      <c r="AB64" s="14">
        <f t="shared" si="312"/>
        <v>0.39294042229255982</v>
      </c>
      <c r="AC64" s="14">
        <f t="shared" si="312"/>
        <v>0.37261422063944966</v>
      </c>
      <c r="AD64" s="14">
        <f t="shared" ref="AD64:AI64" si="313">SUM(AD61)/AD63</f>
        <v>0.3546111769881039</v>
      </c>
      <c r="AE64" s="14">
        <f t="shared" si="313"/>
        <v>0.33266046100641389</v>
      </c>
      <c r="AF64" s="14">
        <f t="shared" si="313"/>
        <v>0.33305506762436449</v>
      </c>
      <c r="AG64" s="14">
        <f t="shared" si="313"/>
        <v>0.3260732416289806</v>
      </c>
      <c r="AH64" s="14">
        <f t="shared" si="313"/>
        <v>0.30464472294384654</v>
      </c>
      <c r="AI64" s="14">
        <f t="shared" si="313"/>
        <v>0.28106549829378241</v>
      </c>
      <c r="AJ64" s="14">
        <f t="shared" ref="AJ64:AO64" si="314">SUM(AJ61)/AJ63</f>
        <v>0.2485034525466277</v>
      </c>
      <c r="AK64" s="14">
        <f t="shared" si="314"/>
        <v>0.25069930622501069</v>
      </c>
      <c r="AL64" s="23">
        <f t="shared" si="314"/>
        <v>0.25896715563824502</v>
      </c>
      <c r="AM64" s="177">
        <f t="shared" si="314"/>
        <v>0.28575998328774455</v>
      </c>
      <c r="AN64" s="14">
        <f t="shared" si="314"/>
        <v>0.24298908748373499</v>
      </c>
      <c r="AO64" s="14">
        <f t="shared" si="314"/>
        <v>0.23593743995696115</v>
      </c>
      <c r="AP64" s="14">
        <f t="shared" ref="AP64:AU64" si="315">SUM(AP61)/AP63</f>
        <v>0.20953424571140261</v>
      </c>
      <c r="AQ64" s="14">
        <f t="shared" si="315"/>
        <v>0.20726714050252457</v>
      </c>
      <c r="AR64" s="14">
        <f t="shared" si="315"/>
        <v>0.21048442330118652</v>
      </c>
      <c r="AS64" s="14">
        <f t="shared" si="315"/>
        <v>0.2136222554316588</v>
      </c>
      <c r="AT64" s="14">
        <f t="shared" si="315"/>
        <v>0.19992924977550411</v>
      </c>
      <c r="AU64" s="14">
        <f t="shared" si="315"/>
        <v>0.18623335590160234</v>
      </c>
      <c r="AV64" s="14">
        <f t="shared" ref="AV64:BJ64" si="316">SUM(AV61)/AV63</f>
        <v>0.17857074462991926</v>
      </c>
      <c r="AW64" s="14">
        <f t="shared" si="316"/>
        <v>0.1835813183768524</v>
      </c>
      <c r="AX64" s="23">
        <f t="shared" si="316"/>
        <v>0.2005198766159498</v>
      </c>
      <c r="AY64" s="177">
        <f t="shared" si="316"/>
        <v>0.20749589501419244</v>
      </c>
      <c r="AZ64" s="14">
        <f t="shared" si="316"/>
        <v>0.18801791177970423</v>
      </c>
      <c r="BA64" s="14">
        <f t="shared" si="316"/>
        <v>0.17735373097892423</v>
      </c>
      <c r="BB64" s="14">
        <f t="shared" si="316"/>
        <v>0.16503703703703704</v>
      </c>
      <c r="BC64" s="14">
        <f t="shared" si="316"/>
        <v>0.16605411550411131</v>
      </c>
      <c r="BD64" s="14">
        <f t="shared" si="316"/>
        <v>0.17028059106757429</v>
      </c>
      <c r="BE64" s="14">
        <f t="shared" si="316"/>
        <v>0.16978664791384551</v>
      </c>
      <c r="BF64" s="14">
        <f t="shared" si="316"/>
        <v>0.17198109976022083</v>
      </c>
      <c r="BG64" s="14">
        <f t="shared" si="316"/>
        <v>0.19568683480349525</v>
      </c>
      <c r="BH64" s="14">
        <f t="shared" si="316"/>
        <v>0.13877202920042514</v>
      </c>
      <c r="BI64" s="14">
        <f t="shared" si="316"/>
        <v>0.13003812217542349</v>
      </c>
      <c r="BJ64" s="23">
        <f t="shared" si="316"/>
        <v>0.13717118250010968</v>
      </c>
      <c r="BK64" s="177">
        <f t="shared" ref="BK64:BP64" si="317">SUM(BK61)/BK63</f>
        <v>0.14482341227231019</v>
      </c>
      <c r="BL64" s="14">
        <f t="shared" si="317"/>
        <v>0.13489931379225192</v>
      </c>
      <c r="BM64" s="14">
        <f t="shared" si="317"/>
        <v>0.12640752405194358</v>
      </c>
      <c r="BN64" s="14">
        <f t="shared" si="317"/>
        <v>0.11709412067685689</v>
      </c>
      <c r="BO64" s="14">
        <f t="shared" si="317"/>
        <v>0.11968614109932921</v>
      </c>
      <c r="BP64" s="14">
        <f t="shared" si="317"/>
        <v>0.11948786376922099</v>
      </c>
      <c r="BQ64" s="14">
        <f t="shared" ref="BQ64:CB64" si="318">SUM(BQ61)/BQ63</f>
        <v>0.12164504501262513</v>
      </c>
      <c r="BR64" s="14">
        <f t="shared" si="318"/>
        <v>0.12542533294274061</v>
      </c>
      <c r="BS64" s="14">
        <f t="shared" si="318"/>
        <v>0.11449371277299801</v>
      </c>
      <c r="BT64" s="14">
        <f t="shared" si="318"/>
        <v>0.11176754280202555</v>
      </c>
      <c r="BU64" s="14">
        <f t="shared" si="318"/>
        <v>0.10496764109033072</v>
      </c>
      <c r="BV64" s="23">
        <f t="shared" si="318"/>
        <v>0.10236654884174466</v>
      </c>
      <c r="BW64" s="177">
        <f t="shared" si="318"/>
        <v>0.11186417598197596</v>
      </c>
      <c r="BX64" s="14">
        <f t="shared" si="318"/>
        <v>0.10946582929074992</v>
      </c>
      <c r="BY64" s="14">
        <f t="shared" si="318"/>
        <v>0.10197572556320446</v>
      </c>
      <c r="BZ64" s="14">
        <f t="shared" si="318"/>
        <v>0.10187188203611319</v>
      </c>
      <c r="CA64" s="14">
        <f t="shared" si="318"/>
        <v>0.1006585918185029</v>
      </c>
      <c r="CB64" s="14">
        <f t="shared" si="318"/>
        <v>0.10474331981033567</v>
      </c>
      <c r="CC64" s="14">
        <f t="shared" ref="CC64:DK64" si="319">SUM(CC61)/CC63</f>
        <v>0.10947451555580628</v>
      </c>
      <c r="CD64" s="14">
        <f t="shared" si="319"/>
        <v>0.11008136808716039</v>
      </c>
      <c r="CE64" s="14">
        <f t="shared" si="319"/>
        <v>9.5829426956016595E-2</v>
      </c>
      <c r="CF64" s="14">
        <f t="shared" si="319"/>
        <v>9.0213792990981881E-2</v>
      </c>
      <c r="CG64" s="14">
        <f t="shared" si="319"/>
        <v>8.7031153716140661E-2</v>
      </c>
      <c r="CH64" s="14">
        <f t="shared" si="319"/>
        <v>8.7953644452781449E-2</v>
      </c>
      <c r="CI64" s="248">
        <f t="shared" si="319"/>
        <v>9.3107329003539699E-2</v>
      </c>
      <c r="CJ64" s="240">
        <f t="shared" si="319"/>
        <v>9.1750933671129353E-2</v>
      </c>
      <c r="CK64" s="240">
        <f t="shared" si="319"/>
        <v>8.8134230427889829E-2</v>
      </c>
      <c r="CL64" s="240">
        <f t="shared" si="319"/>
        <v>8.8419358683990937E-2</v>
      </c>
      <c r="CM64" s="240">
        <f t="shared" si="319"/>
        <v>8.3405566791871333E-2</v>
      </c>
      <c r="CN64" s="240">
        <f t="shared" si="319"/>
        <v>8.1907113566357798E-2</v>
      </c>
      <c r="CO64" s="240">
        <f t="shared" si="319"/>
        <v>8.5012214239421249E-2</v>
      </c>
      <c r="CP64" s="240">
        <f t="shared" si="319"/>
        <v>8.3977047635804325E-2</v>
      </c>
      <c r="CQ64" s="240">
        <f t="shared" si="319"/>
        <v>8.1330420004855547E-2</v>
      </c>
      <c r="CR64" s="240">
        <f t="shared" si="319"/>
        <v>6.6506784816643974E-2</v>
      </c>
      <c r="CS64" s="240">
        <f t="shared" si="319"/>
        <v>6.4060468995364148E-2</v>
      </c>
      <c r="CT64" s="241">
        <f t="shared" si="319"/>
        <v>6.5366703521291925E-2</v>
      </c>
      <c r="CU64" s="240">
        <f t="shared" si="319"/>
        <v>6.9192074735653419E-2</v>
      </c>
      <c r="CV64" s="240">
        <f t="shared" si="319"/>
        <v>7.0284165913985966E-2</v>
      </c>
      <c r="CW64" s="240">
        <f t="shared" si="319"/>
        <v>6.7076331347611498E-2</v>
      </c>
      <c r="CX64" s="240">
        <f t="shared" si="319"/>
        <v>6.1003924012135509E-2</v>
      </c>
      <c r="CY64" s="240">
        <f t="shared" si="319"/>
        <v>5.6508192514937133E-2</v>
      </c>
      <c r="CZ64" s="240">
        <f t="shared" si="319"/>
        <v>5.8090742197744558E-2</v>
      </c>
      <c r="DA64" s="240">
        <f t="shared" si="319"/>
        <v>6.0073834384138949E-2</v>
      </c>
      <c r="DB64" s="240">
        <f t="shared" si="319"/>
        <v>6.6732047645353704E-2</v>
      </c>
      <c r="DC64" s="240">
        <f t="shared" si="319"/>
        <v>6.2044200353814062E-2</v>
      </c>
      <c r="DD64" s="240">
        <f t="shared" si="319"/>
        <v>5.6223824879243212E-2</v>
      </c>
      <c r="DE64" s="240">
        <f t="shared" si="319"/>
        <v>5.4180927559895752E-2</v>
      </c>
      <c r="DF64" s="241">
        <f t="shared" si="319"/>
        <v>5.4051572021751822E-2</v>
      </c>
      <c r="DG64" s="240">
        <f t="shared" si="319"/>
        <v>5.6632193434470832E-2</v>
      </c>
      <c r="DH64" s="240">
        <f t="shared" si="319"/>
        <v>5.8360339240157211E-2</v>
      </c>
      <c r="DI64" s="240">
        <f t="shared" si="319"/>
        <v>5.3982367568382185E-2</v>
      </c>
      <c r="DJ64" s="240">
        <f t="shared" si="319"/>
        <v>5.4606192984710263E-2</v>
      </c>
      <c r="DK64" s="240">
        <f t="shared" si="319"/>
        <v>5.3635012146923386E-2</v>
      </c>
      <c r="DL64" s="240">
        <f t="shared" ref="DL64:DR64" si="320">SUM(DL61)/DL63</f>
        <v>5.3995704136145836E-2</v>
      </c>
      <c r="DM64" s="240">
        <f t="shared" si="320"/>
        <v>5.975410823179076E-2</v>
      </c>
      <c r="DN64" s="240">
        <f t="shared" si="320"/>
        <v>6.2786116885738763E-2</v>
      </c>
      <c r="DO64" s="240">
        <f t="shared" si="320"/>
        <v>5.4672537149146945E-2</v>
      </c>
      <c r="DP64" s="240">
        <f t="shared" si="320"/>
        <v>4.6750308099480775E-2</v>
      </c>
      <c r="DQ64" s="240">
        <f t="shared" si="320"/>
        <v>4.784793368536655E-2</v>
      </c>
      <c r="DR64" s="240">
        <f t="shared" si="320"/>
        <v>5.0893853894266795E-2</v>
      </c>
      <c r="DS64" s="240">
        <f t="shared" ref="DS64:FK64" si="321">SUM(DS61)/DS63</f>
        <v>5.176757415684681E-2</v>
      </c>
      <c r="DT64" s="240">
        <f t="shared" si="321"/>
        <v>5.0839440172993751E-2</v>
      </c>
      <c r="DU64" s="240">
        <f t="shared" si="321"/>
        <v>4.8703216849319116E-2</v>
      </c>
      <c r="DV64" s="356">
        <f t="shared" si="321"/>
        <v>4.6051903497122619E-2</v>
      </c>
      <c r="DW64" s="356">
        <f t="shared" si="321"/>
        <v>4.6876708276256812E-2</v>
      </c>
      <c r="DX64" s="356">
        <f t="shared" si="321"/>
        <v>4.4110959527057757E-2</v>
      </c>
      <c r="DY64" s="356">
        <f t="shared" si="321"/>
        <v>4.8755131131903585E-2</v>
      </c>
      <c r="DZ64" s="356">
        <f t="shared" si="321"/>
        <v>5.0154753744209718E-2</v>
      </c>
      <c r="EA64" s="356">
        <f t="shared" si="321"/>
        <v>4.6099461717682977E-2</v>
      </c>
      <c r="EB64" s="356">
        <f t="shared" si="321"/>
        <v>3.9573357654987207E-2</v>
      </c>
      <c r="EC64" s="356">
        <f t="shared" si="321"/>
        <v>3.8076426242729527E-2</v>
      </c>
      <c r="ED64" s="356">
        <f t="shared" si="321"/>
        <v>3.9334450406514669E-2</v>
      </c>
      <c r="EE64" s="356">
        <f t="shared" si="321"/>
        <v>4.5449273868278288E-2</v>
      </c>
      <c r="EF64" s="356">
        <f t="shared" si="321"/>
        <v>4.0790425275457676E-2</v>
      </c>
      <c r="EG64" s="356">
        <f t="shared" si="321"/>
        <v>3.9429707353658625E-2</v>
      </c>
      <c r="EH64" s="356">
        <f t="shared" si="321"/>
        <v>3.6945657430836415E-2</v>
      </c>
      <c r="EI64" s="356">
        <f t="shared" si="321"/>
        <v>3.8234403924798162E-2</v>
      </c>
      <c r="EJ64" s="356">
        <f t="shared" si="321"/>
        <v>3.6365207373271889E-2</v>
      </c>
      <c r="EK64" s="356">
        <f t="shared" si="321"/>
        <v>3.6279176276232068E-2</v>
      </c>
      <c r="EL64" s="356">
        <f t="shared" si="321"/>
        <v>3.8299495931988434E-2</v>
      </c>
      <c r="EM64" s="356">
        <f t="shared" si="321"/>
        <v>3.6491628421090168E-2</v>
      </c>
      <c r="EN64" s="356">
        <f t="shared" si="321"/>
        <v>3.1556515997358786E-2</v>
      </c>
      <c r="EO64" s="356">
        <f t="shared" si="321"/>
        <v>3.1248921677559161E-2</v>
      </c>
      <c r="EP64" s="356">
        <f t="shared" si="321"/>
        <v>3.3942875146932297E-2</v>
      </c>
      <c r="EQ64" s="356">
        <f t="shared" si="321"/>
        <v>3.5593220338983052E-2</v>
      </c>
      <c r="ER64" s="356">
        <f t="shared" si="321"/>
        <v>3.3436233123814482E-2</v>
      </c>
      <c r="ES64" s="356">
        <f t="shared" si="321"/>
        <v>3.333034921115878E-2</v>
      </c>
      <c r="ET64" s="356">
        <f t="shared" si="321"/>
        <v>3.31621870691029E-2</v>
      </c>
      <c r="EU64" s="356">
        <f t="shared" si="321"/>
        <v>3.0701889205156738E-2</v>
      </c>
      <c r="EV64" s="356">
        <f t="shared" si="321"/>
        <v>2.9955583100919326E-2</v>
      </c>
      <c r="EW64" s="356">
        <f t="shared" si="321"/>
        <v>2.8902526466742587E-2</v>
      </c>
      <c r="EX64" s="356">
        <f t="shared" si="321"/>
        <v>3.292522112593102E-2</v>
      </c>
      <c r="EY64" s="356">
        <f t="shared" si="321"/>
        <v>3.1469863605191641E-2</v>
      </c>
      <c r="EZ64" s="356">
        <f t="shared" si="321"/>
        <v>2.7551607374769464E-2</v>
      </c>
      <c r="FA64" s="356">
        <f t="shared" si="321"/>
        <v>2.643186030442167E-2</v>
      </c>
      <c r="FB64" s="356">
        <f t="shared" si="321"/>
        <v>2.7033926118613782E-2</v>
      </c>
      <c r="FC64" s="356">
        <f t="shared" si="321"/>
        <v>2.9889444437999558E-2</v>
      </c>
      <c r="FD64" s="356">
        <f t="shared" si="321"/>
        <v>2.7597870582130569E-2</v>
      </c>
      <c r="FE64" s="356">
        <f t="shared" si="321"/>
        <v>2.7766939784107166E-2</v>
      </c>
      <c r="FF64" s="356">
        <f t="shared" si="321"/>
        <v>2.6160684564021226E-2</v>
      </c>
      <c r="FG64" s="356">
        <f t="shared" si="321"/>
        <v>2.4473473021182468E-2</v>
      </c>
      <c r="FH64" s="356">
        <f t="shared" si="321"/>
        <v>2.3485123313251938E-2</v>
      </c>
      <c r="FI64" s="356">
        <f t="shared" si="321"/>
        <v>2.4689979960985049E-2</v>
      </c>
      <c r="FJ64" s="356">
        <f t="shared" si="321"/>
        <v>2.9670599551794359E-2</v>
      </c>
      <c r="FK64" s="356">
        <f t="shared" si="321"/>
        <v>2.8250943328237046E-2</v>
      </c>
      <c r="FL64" s="356">
        <f t="shared" ref="FL64:FQ64" si="322">SUM(FL61)/FL63</f>
        <v>2.4541284403669726E-2</v>
      </c>
      <c r="FM64" s="356">
        <f t="shared" si="322"/>
        <v>2.2271840420361618E-2</v>
      </c>
      <c r="FN64" s="356">
        <f t="shared" si="322"/>
        <v>2.3698189188115139E-2</v>
      </c>
      <c r="FO64" s="356">
        <f t="shared" si="322"/>
        <v>2.5961133901335857E-2</v>
      </c>
      <c r="FP64" s="356">
        <f t="shared" si="322"/>
        <v>2.2055646615871012E-2</v>
      </c>
      <c r="FQ64" s="356">
        <f t="shared" si="322"/>
        <v>2.0873906864477512E-2</v>
      </c>
      <c r="FR64" s="356">
        <f t="shared" ref="FR64:FT64" si="323">SUM(FR61)/FR63</f>
        <v>2.0390356922896442E-2</v>
      </c>
      <c r="FS64" s="356">
        <f t="shared" si="323"/>
        <v>1.9037112468884364E-2</v>
      </c>
      <c r="FT64" s="356">
        <f t="shared" si="323"/>
        <v>1.862010794081647E-2</v>
      </c>
    </row>
    <row r="65" spans="2:176" ht="13.8" thickBot="1" x14ac:dyDescent="0.3">
      <c r="B65" s="4" t="s">
        <v>11</v>
      </c>
      <c r="C65" s="178">
        <f t="shared" ref="C65:H65" si="324">SUM(C62/C63)</f>
        <v>5.2727567019302389E-2</v>
      </c>
      <c r="D65" s="15">
        <f t="shared" si="324"/>
        <v>0.16904647835094033</v>
      </c>
      <c r="E65" s="15">
        <f t="shared" si="324"/>
        <v>0.20779952600685686</v>
      </c>
      <c r="F65" s="15">
        <f t="shared" si="324"/>
        <v>0.21207616448836122</v>
      </c>
      <c r="G65" s="15">
        <f t="shared" si="324"/>
        <v>0.32502704175955893</v>
      </c>
      <c r="H65" s="15">
        <f t="shared" si="324"/>
        <v>0.23362421598239816</v>
      </c>
      <c r="I65" s="15">
        <f t="shared" ref="I65:Q65" si="325">SUM(I62/I63)</f>
        <v>0.38573519651693472</v>
      </c>
      <c r="J65" s="15">
        <f t="shared" si="325"/>
        <v>0.33387894971612181</v>
      </c>
      <c r="K65" s="15">
        <f t="shared" si="325"/>
        <v>0.38225995961664105</v>
      </c>
      <c r="L65" s="15">
        <f t="shared" si="325"/>
        <v>0.44430396301556446</v>
      </c>
      <c r="M65" s="15">
        <f t="shared" si="325"/>
        <v>0.41726857229891884</v>
      </c>
      <c r="N65" s="24">
        <f t="shared" si="325"/>
        <v>0.41242603756250218</v>
      </c>
      <c r="O65" s="178">
        <f t="shared" si="325"/>
        <v>0.41863932410870758</v>
      </c>
      <c r="P65" s="15">
        <f t="shared" si="325"/>
        <v>0.45691154715263438</v>
      </c>
      <c r="Q65" s="15">
        <f t="shared" si="325"/>
        <v>0.46703783078643307</v>
      </c>
      <c r="R65" s="15">
        <f t="shared" ref="R65:W65" si="326">SUM(R62/R63)</f>
        <v>0.46526785783980829</v>
      </c>
      <c r="S65" s="15">
        <f t="shared" si="326"/>
        <v>0.46829105696476786</v>
      </c>
      <c r="T65" s="15">
        <f t="shared" si="326"/>
        <v>0.48198469771460178</v>
      </c>
      <c r="U65" s="15">
        <f t="shared" si="326"/>
        <v>0.47424563580278828</v>
      </c>
      <c r="V65" s="15">
        <f t="shared" si="326"/>
        <v>0.49236094800299746</v>
      </c>
      <c r="W65" s="15">
        <f t="shared" si="326"/>
        <v>0.54183783026794885</v>
      </c>
      <c r="X65" s="15">
        <f t="shared" ref="X65:AC65" si="327">SUM(X62/X63)</f>
        <v>0.57067319493926183</v>
      </c>
      <c r="Y65" s="15">
        <f t="shared" si="327"/>
        <v>0.57303573267428687</v>
      </c>
      <c r="Z65" s="24">
        <f t="shared" si="327"/>
        <v>0.5641662773081878</v>
      </c>
      <c r="AA65" s="178">
        <f t="shared" si="327"/>
        <v>0.57696821681761135</v>
      </c>
      <c r="AB65" s="15">
        <f t="shared" si="327"/>
        <v>0.60705957770744023</v>
      </c>
      <c r="AC65" s="15">
        <f t="shared" si="327"/>
        <v>0.6273857793605504</v>
      </c>
      <c r="AD65" s="15">
        <f t="shared" ref="AD65:AI65" si="328">SUM(AD62/AD63)</f>
        <v>0.64538882301189615</v>
      </c>
      <c r="AE65" s="15">
        <f t="shared" si="328"/>
        <v>0.66733953899358611</v>
      </c>
      <c r="AF65" s="15">
        <f t="shared" si="328"/>
        <v>0.66694493237563557</v>
      </c>
      <c r="AG65" s="15">
        <f t="shared" si="328"/>
        <v>0.67392675837101934</v>
      </c>
      <c r="AH65" s="15">
        <f t="shared" si="328"/>
        <v>0.69535527705615352</v>
      </c>
      <c r="AI65" s="15">
        <f t="shared" si="328"/>
        <v>0.71893450170621764</v>
      </c>
      <c r="AJ65" s="15">
        <f t="shared" ref="AJ65:AO65" si="329">SUM(AJ62/AJ63)</f>
        <v>0.75149654745337235</v>
      </c>
      <c r="AK65" s="15">
        <f t="shared" si="329"/>
        <v>0.74930069377498931</v>
      </c>
      <c r="AL65" s="24">
        <f t="shared" si="329"/>
        <v>0.74103284436175498</v>
      </c>
      <c r="AM65" s="178">
        <f t="shared" si="329"/>
        <v>0.71424001671225545</v>
      </c>
      <c r="AN65" s="15">
        <f t="shared" si="329"/>
        <v>0.75701091251626496</v>
      </c>
      <c r="AO65" s="15">
        <f t="shared" si="329"/>
        <v>0.76406256004303885</v>
      </c>
      <c r="AP65" s="15">
        <f t="shared" ref="AP65:AU65" si="330">SUM(AP62/AP63)</f>
        <v>0.79046575428859733</v>
      </c>
      <c r="AQ65" s="15">
        <f t="shared" si="330"/>
        <v>0.79273285949747541</v>
      </c>
      <c r="AR65" s="15">
        <f t="shared" si="330"/>
        <v>0.78951557669881345</v>
      </c>
      <c r="AS65" s="15">
        <f t="shared" si="330"/>
        <v>0.7863777445683412</v>
      </c>
      <c r="AT65" s="15">
        <f t="shared" si="330"/>
        <v>0.80007075022449592</v>
      </c>
      <c r="AU65" s="15">
        <f t="shared" si="330"/>
        <v>0.81376664409839761</v>
      </c>
      <c r="AV65" s="15">
        <f>SUM(AV62/AV63)</f>
        <v>0.82142925537008071</v>
      </c>
      <c r="AW65" s="15">
        <f>SUM(AW62/AW63)</f>
        <v>0.81641868162314757</v>
      </c>
      <c r="AX65" s="24">
        <f>SUM(AX62/AX63)</f>
        <v>0.79948012338405017</v>
      </c>
      <c r="AY65" s="178">
        <f t="shared" ref="AY65:BG65" si="331">SUM(AY62/AY63)</f>
        <v>0.79250410498580759</v>
      </c>
      <c r="AZ65" s="15">
        <f t="shared" si="331"/>
        <v>0.81198208822029572</v>
      </c>
      <c r="BA65" s="15">
        <f t="shared" si="331"/>
        <v>0.82264626902107574</v>
      </c>
      <c r="BB65" s="15">
        <f t="shared" si="331"/>
        <v>0.83496296296296302</v>
      </c>
      <c r="BC65" s="15">
        <f t="shared" si="331"/>
        <v>0.83394588449588869</v>
      </c>
      <c r="BD65" s="15">
        <f t="shared" si="331"/>
        <v>0.82971940893242568</v>
      </c>
      <c r="BE65" s="15">
        <f t="shared" si="331"/>
        <v>0.83021335208615454</v>
      </c>
      <c r="BF65" s="15">
        <f t="shared" si="331"/>
        <v>0.8280189002397792</v>
      </c>
      <c r="BG65" s="15">
        <f t="shared" si="331"/>
        <v>0.80431316519650475</v>
      </c>
      <c r="BH65" s="15">
        <f t="shared" ref="BH65:BM65" si="332">SUM(BH62/BH63)</f>
        <v>0.8612279707995748</v>
      </c>
      <c r="BI65" s="15">
        <f t="shared" si="332"/>
        <v>0.86996187782457646</v>
      </c>
      <c r="BJ65" s="24">
        <f t="shared" si="332"/>
        <v>0.86282881749989038</v>
      </c>
      <c r="BK65" s="178">
        <f t="shared" si="332"/>
        <v>0.85517658772768979</v>
      </c>
      <c r="BL65" s="15">
        <f t="shared" si="332"/>
        <v>0.86510068620774805</v>
      </c>
      <c r="BM65" s="15">
        <f t="shared" si="332"/>
        <v>0.87359247594805645</v>
      </c>
      <c r="BN65" s="15">
        <f t="shared" ref="BN65:BS65" si="333">SUM(BN62/BN63)</f>
        <v>0.88290587932314313</v>
      </c>
      <c r="BO65" s="15">
        <f t="shared" si="333"/>
        <v>0.88031385890067082</v>
      </c>
      <c r="BP65" s="15">
        <f t="shared" si="333"/>
        <v>0.88051213623077895</v>
      </c>
      <c r="BQ65" s="15">
        <f t="shared" si="333"/>
        <v>0.87835495498737493</v>
      </c>
      <c r="BR65" s="15">
        <f t="shared" si="333"/>
        <v>0.87457466705725939</v>
      </c>
      <c r="BS65" s="15">
        <f t="shared" si="333"/>
        <v>0.88550628722700198</v>
      </c>
      <c r="BT65" s="15">
        <f>SUM(BT62/BT63)</f>
        <v>0.88823245719797439</v>
      </c>
      <c r="BU65" s="15">
        <f>SUM(BU62/BU63)</f>
        <v>0.89503235890966926</v>
      </c>
      <c r="BV65" s="24">
        <f>SUM(BV62/BV63)</f>
        <v>0.89763345115825532</v>
      </c>
      <c r="BW65" s="178">
        <f t="shared" ref="BW65:CB65" si="334">SUM(BW62/BW63)</f>
        <v>0.88813582401802404</v>
      </c>
      <c r="BX65" s="15">
        <f t="shared" si="334"/>
        <v>0.89053417070925012</v>
      </c>
      <c r="BY65" s="15">
        <f t="shared" si="334"/>
        <v>0.89802427443679556</v>
      </c>
      <c r="BZ65" s="15">
        <f t="shared" si="334"/>
        <v>0.89812811796388681</v>
      </c>
      <c r="CA65" s="15">
        <f t="shared" si="334"/>
        <v>0.8993414081814971</v>
      </c>
      <c r="CB65" s="15">
        <f t="shared" si="334"/>
        <v>0.89525668018966431</v>
      </c>
      <c r="CC65" s="15">
        <f t="shared" ref="CC65:DK65" si="335">SUM(CC62/CC63)</f>
        <v>0.89052548444419377</v>
      </c>
      <c r="CD65" s="15">
        <f t="shared" si="335"/>
        <v>0.8899186319128396</v>
      </c>
      <c r="CE65" s="15">
        <f t="shared" si="335"/>
        <v>0.90417057304398341</v>
      </c>
      <c r="CF65" s="15">
        <f t="shared" si="335"/>
        <v>0.90978620700901813</v>
      </c>
      <c r="CG65" s="15">
        <f t="shared" si="335"/>
        <v>0.91296884628385933</v>
      </c>
      <c r="CH65" s="15">
        <f t="shared" si="335"/>
        <v>0.91204635554721858</v>
      </c>
      <c r="CI65" s="250">
        <f t="shared" si="335"/>
        <v>0.90689267099646032</v>
      </c>
      <c r="CJ65" s="245">
        <f t="shared" si="335"/>
        <v>0.90824906632887059</v>
      </c>
      <c r="CK65" s="245">
        <f t="shared" si="335"/>
        <v>0.91186576957211019</v>
      </c>
      <c r="CL65" s="245">
        <f t="shared" si="335"/>
        <v>0.91158064131600902</v>
      </c>
      <c r="CM65" s="245">
        <f t="shared" si="335"/>
        <v>0.91659443320812872</v>
      </c>
      <c r="CN65" s="245">
        <f t="shared" si="335"/>
        <v>0.91809288643364217</v>
      </c>
      <c r="CO65" s="245">
        <f t="shared" si="335"/>
        <v>0.91498778576057871</v>
      </c>
      <c r="CP65" s="245">
        <f t="shared" si="335"/>
        <v>0.91602295236419562</v>
      </c>
      <c r="CQ65" s="245">
        <f t="shared" si="335"/>
        <v>0.91866957999514443</v>
      </c>
      <c r="CR65" s="245">
        <f t="shared" si="335"/>
        <v>0.93349321518335604</v>
      </c>
      <c r="CS65" s="245">
        <f t="shared" si="335"/>
        <v>0.93593953100463589</v>
      </c>
      <c r="CT65" s="246">
        <f t="shared" si="335"/>
        <v>0.93463329647870808</v>
      </c>
      <c r="CU65" s="245">
        <f t="shared" si="335"/>
        <v>0.93080792526434653</v>
      </c>
      <c r="CV65" s="245">
        <f t="shared" si="335"/>
        <v>0.92971583408601399</v>
      </c>
      <c r="CW65" s="245">
        <f t="shared" si="335"/>
        <v>0.93292366865238852</v>
      </c>
      <c r="CX65" s="245">
        <f t="shared" si="335"/>
        <v>0.9389960759878645</v>
      </c>
      <c r="CY65" s="245">
        <f t="shared" si="335"/>
        <v>0.94349180748506289</v>
      </c>
      <c r="CZ65" s="245">
        <f t="shared" si="335"/>
        <v>0.94190925780225543</v>
      </c>
      <c r="DA65" s="245">
        <f t="shared" si="335"/>
        <v>0.93992616561586106</v>
      </c>
      <c r="DB65" s="245">
        <f t="shared" si="335"/>
        <v>0.93326795235464632</v>
      </c>
      <c r="DC65" s="245">
        <f t="shared" si="335"/>
        <v>0.93795579964618592</v>
      </c>
      <c r="DD65" s="245">
        <f t="shared" si="335"/>
        <v>0.94377617512075673</v>
      </c>
      <c r="DE65" s="245">
        <f t="shared" si="335"/>
        <v>0.94581907244010421</v>
      </c>
      <c r="DF65" s="246">
        <f t="shared" si="335"/>
        <v>0.94594842797824819</v>
      </c>
      <c r="DG65" s="245">
        <f t="shared" si="335"/>
        <v>0.94336780656552921</v>
      </c>
      <c r="DH65" s="245">
        <f t="shared" si="335"/>
        <v>0.94163966075984284</v>
      </c>
      <c r="DI65" s="245">
        <f t="shared" si="335"/>
        <v>0.94601763243161785</v>
      </c>
      <c r="DJ65" s="245">
        <f t="shared" si="335"/>
        <v>0.94539380701528974</v>
      </c>
      <c r="DK65" s="245">
        <f t="shared" si="335"/>
        <v>0.94636498785307666</v>
      </c>
      <c r="DL65" s="245">
        <f t="shared" ref="DL65:DR65" si="336">SUM(DL62/DL63)</f>
        <v>0.94600429586385415</v>
      </c>
      <c r="DM65" s="245">
        <f t="shared" si="336"/>
        <v>0.94024589176820927</v>
      </c>
      <c r="DN65" s="245">
        <f t="shared" si="336"/>
        <v>0.93721388311426124</v>
      </c>
      <c r="DO65" s="245">
        <f t="shared" si="336"/>
        <v>0.94532746285085301</v>
      </c>
      <c r="DP65" s="245">
        <f t="shared" si="336"/>
        <v>0.95324969190051922</v>
      </c>
      <c r="DQ65" s="245">
        <f t="shared" si="336"/>
        <v>0.95215206631463345</v>
      </c>
      <c r="DR65" s="245">
        <f t="shared" si="336"/>
        <v>0.94910614610573318</v>
      </c>
      <c r="DS65" s="245">
        <f>SUM(DS62/DS63)</f>
        <v>0.94823242584315315</v>
      </c>
      <c r="DT65" s="245">
        <f>SUM(DT62/DT63)</f>
        <v>0.9491605598270062</v>
      </c>
      <c r="DU65" s="245">
        <f>SUM(DU62/DU63)</f>
        <v>0.95129678315068089</v>
      </c>
      <c r="DV65" s="357">
        <f t="shared" ref="DV65:FK65" si="337">SUM(DV62/DV63)</f>
        <v>0.95394809650287737</v>
      </c>
      <c r="DW65" s="357">
        <f t="shared" si="337"/>
        <v>0.95312329172374322</v>
      </c>
      <c r="DX65" s="357">
        <f t="shared" si="337"/>
        <v>0.95588904047294221</v>
      </c>
      <c r="DY65" s="357">
        <f t="shared" si="337"/>
        <v>0.95124486886809645</v>
      </c>
      <c r="DZ65" s="357">
        <f t="shared" si="337"/>
        <v>0.94984524625579025</v>
      </c>
      <c r="EA65" s="357">
        <f t="shared" si="337"/>
        <v>0.95390053828231702</v>
      </c>
      <c r="EB65" s="357">
        <f t="shared" si="337"/>
        <v>0.96042664234501285</v>
      </c>
      <c r="EC65" s="357">
        <f t="shared" si="337"/>
        <v>0.96192357375727044</v>
      </c>
      <c r="ED65" s="357">
        <f t="shared" si="337"/>
        <v>0.96066554959348538</v>
      </c>
      <c r="EE65" s="357">
        <f t="shared" si="337"/>
        <v>0.95455072613172176</v>
      </c>
      <c r="EF65" s="357">
        <f t="shared" si="337"/>
        <v>0.95920957472454227</v>
      </c>
      <c r="EG65" s="357">
        <f t="shared" si="337"/>
        <v>0.96057029264634142</v>
      </c>
      <c r="EH65" s="357">
        <f t="shared" si="337"/>
        <v>0.96305434256916356</v>
      </c>
      <c r="EI65" s="357">
        <f t="shared" si="337"/>
        <v>0.96176559607520185</v>
      </c>
      <c r="EJ65" s="357">
        <f t="shared" si="337"/>
        <v>0.96363479262672813</v>
      </c>
      <c r="EK65" s="357">
        <f t="shared" si="337"/>
        <v>0.96372082372376788</v>
      </c>
      <c r="EL65" s="357">
        <f t="shared" si="337"/>
        <v>0.96170050406801155</v>
      </c>
      <c r="EM65" s="357">
        <f t="shared" si="337"/>
        <v>0.96350837157890978</v>
      </c>
      <c r="EN65" s="357">
        <f t="shared" si="337"/>
        <v>0.96844348400264124</v>
      </c>
      <c r="EO65" s="357">
        <f t="shared" si="337"/>
        <v>0.96875107832244078</v>
      </c>
      <c r="EP65" s="357">
        <f t="shared" si="337"/>
        <v>0.96605712485306772</v>
      </c>
      <c r="EQ65" s="357">
        <f t="shared" si="337"/>
        <v>0.96440677966101696</v>
      </c>
      <c r="ER65" s="357">
        <f t="shared" si="337"/>
        <v>0.9665637668761855</v>
      </c>
      <c r="ES65" s="357">
        <f t="shared" si="337"/>
        <v>0.96666965078884126</v>
      </c>
      <c r="ET65" s="357">
        <f t="shared" si="337"/>
        <v>0.9668378129308971</v>
      </c>
      <c r="EU65" s="357">
        <f t="shared" si="337"/>
        <v>0.96929811079484329</v>
      </c>
      <c r="EV65" s="357">
        <f t="shared" si="337"/>
        <v>0.97004441689908072</v>
      </c>
      <c r="EW65" s="357">
        <f t="shared" si="337"/>
        <v>0.97109747353325737</v>
      </c>
      <c r="EX65" s="357">
        <f t="shared" si="337"/>
        <v>0.96707477887406901</v>
      </c>
      <c r="EY65" s="357">
        <f t="shared" si="337"/>
        <v>0.96853013639480834</v>
      </c>
      <c r="EZ65" s="357">
        <f t="shared" si="337"/>
        <v>0.97244839262523053</v>
      </c>
      <c r="FA65" s="357">
        <f t="shared" si="337"/>
        <v>0.97356813969557832</v>
      </c>
      <c r="FB65" s="357">
        <f t="shared" si="337"/>
        <v>0.97296607388138623</v>
      </c>
      <c r="FC65" s="357">
        <f t="shared" si="337"/>
        <v>0.97011055556200043</v>
      </c>
      <c r="FD65" s="357">
        <f t="shared" si="337"/>
        <v>0.97240212941786941</v>
      </c>
      <c r="FE65" s="357">
        <f t="shared" si="337"/>
        <v>0.97223306021589284</v>
      </c>
      <c r="FF65" s="357">
        <f t="shared" si="337"/>
        <v>0.97383931543597879</v>
      </c>
      <c r="FG65" s="357">
        <f t="shared" si="337"/>
        <v>0.97552652697881748</v>
      </c>
      <c r="FH65" s="357">
        <f t="shared" si="337"/>
        <v>0.97651487668674808</v>
      </c>
      <c r="FI65" s="357">
        <f t="shared" si="337"/>
        <v>0.9753100200390149</v>
      </c>
      <c r="FJ65" s="357">
        <f t="shared" si="337"/>
        <v>0.97032940044820559</v>
      </c>
      <c r="FK65" s="357">
        <f t="shared" si="337"/>
        <v>0.97174905667176292</v>
      </c>
      <c r="FL65" s="357">
        <f t="shared" ref="FL65:FQ65" si="338">SUM(FL62/FL63)</f>
        <v>0.97545871559633024</v>
      </c>
      <c r="FM65" s="357">
        <f t="shared" si="338"/>
        <v>0.97772815957963843</v>
      </c>
      <c r="FN65" s="357">
        <f t="shared" si="338"/>
        <v>0.97630181081188483</v>
      </c>
      <c r="FO65" s="357">
        <f t="shared" si="338"/>
        <v>0.97403886609866419</v>
      </c>
      <c r="FP65" s="357">
        <f t="shared" si="338"/>
        <v>0.97794435338412899</v>
      </c>
      <c r="FQ65" s="357">
        <f t="shared" si="338"/>
        <v>0.97912609313552246</v>
      </c>
      <c r="FR65" s="357">
        <f t="shared" ref="FR65:FT65" si="339">SUM(FR62/FR63)</f>
        <v>0.97960964307710352</v>
      </c>
      <c r="FS65" s="357">
        <f t="shared" si="339"/>
        <v>0.9809628875311156</v>
      </c>
      <c r="FT65" s="357">
        <f t="shared" si="339"/>
        <v>0.98137989205918352</v>
      </c>
    </row>
    <row r="66" spans="2:176" x14ac:dyDescent="0.25">
      <c r="B66" s="179"/>
      <c r="C66" s="86"/>
      <c r="D66" s="64"/>
      <c r="E66" s="64"/>
      <c r="F66" s="64"/>
      <c r="G66" s="64"/>
      <c r="H66" s="65"/>
      <c r="I66" s="64"/>
      <c r="J66" s="64"/>
      <c r="K66" s="64"/>
      <c r="L66" s="64"/>
      <c r="M66" s="64"/>
      <c r="N66" s="66"/>
      <c r="O66" s="86"/>
      <c r="P66" s="64"/>
      <c r="Q66" s="64"/>
      <c r="R66" s="64"/>
      <c r="S66" s="64"/>
      <c r="T66" s="65"/>
      <c r="U66" s="64"/>
      <c r="V66" s="64"/>
      <c r="W66" s="64"/>
      <c r="X66" s="64"/>
      <c r="Y66" s="64"/>
      <c r="Z66" s="66"/>
      <c r="AA66" s="86"/>
      <c r="AB66" s="64"/>
      <c r="AC66" s="64"/>
      <c r="AD66" s="64"/>
      <c r="AE66" s="64"/>
      <c r="AF66" s="65"/>
      <c r="AG66" s="64"/>
      <c r="AH66" s="64"/>
      <c r="AI66" s="64"/>
      <c r="AJ66" s="64"/>
      <c r="AK66" s="64"/>
      <c r="AL66" s="66"/>
      <c r="AM66" s="86"/>
      <c r="AN66" s="64"/>
      <c r="AO66" s="64"/>
      <c r="AP66" s="64"/>
      <c r="AQ66" s="64"/>
      <c r="AR66" s="65"/>
      <c r="AS66" s="64"/>
      <c r="AT66" s="64"/>
      <c r="AU66" s="64"/>
      <c r="AV66" s="64"/>
      <c r="AW66" s="64"/>
      <c r="AX66" s="66"/>
      <c r="AY66" s="86"/>
      <c r="AZ66" s="64"/>
      <c r="BA66" s="64"/>
      <c r="BB66" s="64"/>
      <c r="BC66" s="64"/>
      <c r="BD66" s="65"/>
      <c r="BE66" s="64"/>
      <c r="BF66" s="64"/>
      <c r="BG66" s="64"/>
      <c r="BH66" s="64"/>
      <c r="BI66" s="64"/>
      <c r="BJ66" s="66"/>
      <c r="BK66" s="86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6"/>
      <c r="BW66" s="86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</row>
    <row r="67" spans="2:176" ht="13.8" thickBot="1" x14ac:dyDescent="0.3">
      <c r="B67" s="4" t="s">
        <v>22</v>
      </c>
      <c r="C67" s="183">
        <f t="shared" ref="C67:AZ67" si="340">SUM(1000*(C63))/C18</f>
        <v>2894.1275970564525</v>
      </c>
      <c r="D67" s="183">
        <f t="shared" si="340"/>
        <v>3230.5394525779752</v>
      </c>
      <c r="E67" s="183">
        <f t="shared" si="340"/>
        <v>3475.5116414141412</v>
      </c>
      <c r="F67" s="183">
        <f t="shared" si="340"/>
        <v>3678.5573749746914</v>
      </c>
      <c r="G67" s="183">
        <f t="shared" si="340"/>
        <v>4005.3078401618613</v>
      </c>
      <c r="H67" s="183">
        <f t="shared" si="340"/>
        <v>3715.7373032859123</v>
      </c>
      <c r="I67" s="183">
        <f t="shared" si="340"/>
        <v>4338.2605305766592</v>
      </c>
      <c r="J67" s="183">
        <f t="shared" si="340"/>
        <v>4539.9339246339468</v>
      </c>
      <c r="K67" s="183">
        <f t="shared" si="340"/>
        <v>4592.2534137742687</v>
      </c>
      <c r="L67" s="183">
        <f t="shared" si="340"/>
        <v>3658.094928543072</v>
      </c>
      <c r="M67" s="183">
        <f t="shared" si="340"/>
        <v>3201.5496276675494</v>
      </c>
      <c r="N67" s="183">
        <f t="shared" si="340"/>
        <v>3862.5788260283907</v>
      </c>
      <c r="O67" s="183">
        <f t="shared" si="340"/>
        <v>3720.778588807786</v>
      </c>
      <c r="P67" s="183">
        <f t="shared" si="340"/>
        <v>3354.492160872529</v>
      </c>
      <c r="Q67" s="183">
        <f t="shared" si="340"/>
        <v>3300.8842752787391</v>
      </c>
      <c r="R67" s="183">
        <f t="shared" si="340"/>
        <v>3303.4811758638475</v>
      </c>
      <c r="S67" s="183">
        <f t="shared" si="340"/>
        <v>3854.0890521826263</v>
      </c>
      <c r="T67" s="183">
        <f t="shared" si="340"/>
        <v>4130.0698223636928</v>
      </c>
      <c r="U67" s="183">
        <f t="shared" si="340"/>
        <v>4269.1402226690861</v>
      </c>
      <c r="V67" s="183">
        <f t="shared" si="340"/>
        <v>4612.3965023601331</v>
      </c>
      <c r="W67" s="183">
        <f t="shared" si="340"/>
        <v>4404.0808984144114</v>
      </c>
      <c r="X67" s="183">
        <f t="shared" si="340"/>
        <v>3557.2783913905409</v>
      </c>
      <c r="Y67" s="183">
        <f t="shared" si="340"/>
        <v>3491.3862839680019</v>
      </c>
      <c r="Z67" s="183">
        <f t="shared" si="340"/>
        <v>3630.0046255846223</v>
      </c>
      <c r="AA67" s="183">
        <f t="shared" si="340"/>
        <v>3766.7697339841056</v>
      </c>
      <c r="AB67" s="183">
        <f t="shared" si="340"/>
        <v>3437.9734978925039</v>
      </c>
      <c r="AC67" s="183">
        <f t="shared" si="340"/>
        <v>3190.6315597335038</v>
      </c>
      <c r="AD67" s="183">
        <f t="shared" si="340"/>
        <v>3380.006723036744</v>
      </c>
      <c r="AE67" s="183">
        <f t="shared" si="340"/>
        <v>3568.0156551517953</v>
      </c>
      <c r="AF67" s="183">
        <f t="shared" si="340"/>
        <v>4233.9903291524506</v>
      </c>
      <c r="AG67" s="183">
        <f t="shared" si="340"/>
        <v>4427.2364196402932</v>
      </c>
      <c r="AH67" s="183">
        <f t="shared" si="340"/>
        <v>4300.6752608962552</v>
      </c>
      <c r="AI67" s="183">
        <f t="shared" si="340"/>
        <v>4331.6301259156917</v>
      </c>
      <c r="AJ67" s="183">
        <f t="shared" si="340"/>
        <v>3904.9117241737954</v>
      </c>
      <c r="AK67" s="183">
        <f t="shared" si="340"/>
        <v>3439.1543018642319</v>
      </c>
      <c r="AL67" s="183">
        <f t="shared" si="340"/>
        <v>3675.1934183284297</v>
      </c>
      <c r="AM67" s="183">
        <f t="shared" si="340"/>
        <v>3958.9837692546262</v>
      </c>
      <c r="AN67" s="183">
        <f t="shared" si="340"/>
        <v>3713.7647861018054</v>
      </c>
      <c r="AO67" s="183">
        <f t="shared" si="340"/>
        <v>3280.0171418487989</v>
      </c>
      <c r="AP67" s="183">
        <f t="shared" si="340"/>
        <v>3446.6755427546668</v>
      </c>
      <c r="AQ67" s="183">
        <f t="shared" si="340"/>
        <v>3535.4779169413314</v>
      </c>
      <c r="AR67" s="183">
        <f t="shared" si="340"/>
        <v>4181.0231406237908</v>
      </c>
      <c r="AS67" s="183">
        <f t="shared" si="340"/>
        <v>4735.1804474443416</v>
      </c>
      <c r="AT67" s="183">
        <f t="shared" si="340"/>
        <v>4351.5689757252812</v>
      </c>
      <c r="AU67" s="183">
        <f t="shared" si="340"/>
        <v>4602.560440416526</v>
      </c>
      <c r="AV67" s="183">
        <f t="shared" si="340"/>
        <v>4105.9680759049088</v>
      </c>
      <c r="AW67" s="183">
        <f t="shared" si="340"/>
        <v>3616.699165854187</v>
      </c>
      <c r="AX67" s="183">
        <f t="shared" si="340"/>
        <v>3927.5019056953065</v>
      </c>
      <c r="AY67" s="183">
        <f t="shared" si="340"/>
        <v>4065.0402297363721</v>
      </c>
      <c r="AZ67" s="183">
        <f t="shared" si="340"/>
        <v>3507.461852327986</v>
      </c>
      <c r="BA67" s="183">
        <f t="shared" ref="BA67:BM67" si="341">SUM(1000*(BA63))/BA18</f>
        <v>3401.7208368895758</v>
      </c>
      <c r="BB67" s="183">
        <f t="shared" si="341"/>
        <v>3489.3211807917291</v>
      </c>
      <c r="BC67" s="183">
        <f t="shared" si="341"/>
        <v>3811.9121485202145</v>
      </c>
      <c r="BD67" s="183">
        <f t="shared" si="341"/>
        <v>4482.8441709876697</v>
      </c>
      <c r="BE67" s="183">
        <f t="shared" si="341"/>
        <v>4639.5674917758724</v>
      </c>
      <c r="BF67" s="183">
        <f t="shared" si="341"/>
        <v>4722.9729729729734</v>
      </c>
      <c r="BG67" s="183">
        <f t="shared" si="341"/>
        <v>3991.157207495713</v>
      </c>
      <c r="BH67" s="183">
        <f t="shared" si="341"/>
        <v>3889.8076399376127</v>
      </c>
      <c r="BI67" s="183">
        <f t="shared" si="341"/>
        <v>3491.4262713001476</v>
      </c>
      <c r="BJ67" s="184">
        <f t="shared" si="341"/>
        <v>3892.3733636881047</v>
      </c>
      <c r="BK67" s="183">
        <f t="shared" si="341"/>
        <v>3926.1842710409319</v>
      </c>
      <c r="BL67" s="183">
        <f t="shared" si="341"/>
        <v>3601.6764143061209</v>
      </c>
      <c r="BM67" s="183">
        <f t="shared" si="341"/>
        <v>3413.6128224638569</v>
      </c>
      <c r="BN67" s="183">
        <f t="shared" ref="BN67:BS67" si="342">SUM(1000*(BN63))/BN18</f>
        <v>3547.9293757222326</v>
      </c>
      <c r="BO67" s="183">
        <f t="shared" si="342"/>
        <v>3560.2168392264116</v>
      </c>
      <c r="BP67" s="183">
        <f t="shared" si="342"/>
        <v>3995.7346332546272</v>
      </c>
      <c r="BQ67" s="183">
        <f t="shared" si="342"/>
        <v>4232.8255902513329</v>
      </c>
      <c r="BR67" s="183">
        <f t="shared" si="342"/>
        <v>4167.5392670157071</v>
      </c>
      <c r="BS67" s="183">
        <f t="shared" si="342"/>
        <v>4633.8063508879532</v>
      </c>
      <c r="BT67" s="183">
        <f>SUM(1000*(BT63))/BT18</f>
        <v>4194.2906268173656</v>
      </c>
      <c r="BU67" s="183">
        <f>SUM(1000*(BU63))/BU18</f>
        <v>3685.3887162384094</v>
      </c>
      <c r="BV67" s="184">
        <f>SUM(1000*(BV63))/BV18</f>
        <v>3949.0537835989157</v>
      </c>
      <c r="BW67" s="183">
        <f t="shared" ref="BW67:CB67" si="343">SUM(1000*(BW63))/BW18</f>
        <v>4078.2007269789983</v>
      </c>
      <c r="BX67" s="183">
        <f t="shared" si="343"/>
        <v>3699.1078463767381</v>
      </c>
      <c r="BY67" s="183">
        <f t="shared" si="343"/>
        <v>3520.7946952567263</v>
      </c>
      <c r="BZ67" s="183">
        <f t="shared" si="343"/>
        <v>3439.7003366151198</v>
      </c>
      <c r="CA67" s="183">
        <f t="shared" si="343"/>
        <v>3632.5878594249202</v>
      </c>
      <c r="CB67" s="183">
        <f t="shared" si="343"/>
        <v>4408.0939685094827</v>
      </c>
      <c r="CC67" s="183">
        <f t="shared" ref="CC67:CK67" si="344">SUM(1000*(CC63))/CC18</f>
        <v>4456.5818584070794</v>
      </c>
      <c r="CD67" s="183">
        <f t="shared" si="344"/>
        <v>4569.5739853793802</v>
      </c>
      <c r="CE67" s="183">
        <f t="shared" si="344"/>
        <v>4392.0929645067572</v>
      </c>
      <c r="CF67" s="183">
        <f t="shared" si="344"/>
        <v>3856.6666666666665</v>
      </c>
      <c r="CG67" s="183">
        <f t="shared" si="344"/>
        <v>3379.2344153265831</v>
      </c>
      <c r="CH67" s="183">
        <f t="shared" si="344"/>
        <v>3664.5439379814534</v>
      </c>
      <c r="CI67" s="232">
        <f t="shared" si="344"/>
        <v>4051.27356087621</v>
      </c>
      <c r="CJ67" s="230">
        <f t="shared" si="344"/>
        <v>3488.7105376781042</v>
      </c>
      <c r="CK67" s="230">
        <f t="shared" si="344"/>
        <v>3355.9809586844181</v>
      </c>
      <c r="CL67" s="230">
        <f t="shared" ref="CL67:DC67" si="345">SUM(1000*(CL63))/CL18</f>
        <v>3416.7600040729048</v>
      </c>
      <c r="CM67" s="230">
        <f t="shared" si="345"/>
        <v>3690.9834192418048</v>
      </c>
      <c r="CN67" s="230">
        <f t="shared" si="345"/>
        <v>4031.4126818862846</v>
      </c>
      <c r="CO67" s="230">
        <f t="shared" si="345"/>
        <v>4593.6792284790963</v>
      </c>
      <c r="CP67" s="230">
        <f t="shared" si="345"/>
        <v>4475.4877057508638</v>
      </c>
      <c r="CQ67" s="230">
        <f t="shared" si="345"/>
        <v>4505.3035891435402</v>
      </c>
      <c r="CR67" s="230">
        <f t="shared" si="345"/>
        <v>3754.1392202243192</v>
      </c>
      <c r="CS67" s="230">
        <f t="shared" si="345"/>
        <v>3382.6310171300765</v>
      </c>
      <c r="CT67" s="231">
        <f t="shared" si="345"/>
        <v>3798.3914072641196</v>
      </c>
      <c r="CU67" s="230">
        <f t="shared" si="345"/>
        <v>4194.8495636196603</v>
      </c>
      <c r="CV67" s="230">
        <f t="shared" si="345"/>
        <v>3661.7819162468836</v>
      </c>
      <c r="CW67" s="230">
        <f t="shared" si="345"/>
        <v>3401.4820493164684</v>
      </c>
      <c r="CX67" s="230">
        <f t="shared" si="345"/>
        <v>3445.5604968563102</v>
      </c>
      <c r="CY67" s="230">
        <f t="shared" si="345"/>
        <v>3483.3627007839832</v>
      </c>
      <c r="CZ67" s="230">
        <f t="shared" si="345"/>
        <v>4280.2255274638364</v>
      </c>
      <c r="DA67" s="230">
        <f t="shared" si="345"/>
        <v>4588.5504362467473</v>
      </c>
      <c r="DB67" s="230">
        <f t="shared" si="345"/>
        <v>4298.5938792390407</v>
      </c>
      <c r="DC67" s="230">
        <f t="shared" si="345"/>
        <v>4831.1095236880374</v>
      </c>
      <c r="DD67" s="230">
        <f t="shared" ref="DD67:DI67" si="346">SUM(1000*(DD63))/DD18</f>
        <v>4021.3613128867364</v>
      </c>
      <c r="DE67" s="230">
        <f t="shared" si="346"/>
        <v>3386.8977985749229</v>
      </c>
      <c r="DF67" s="231">
        <f t="shared" si="346"/>
        <v>3843.6538752458273</v>
      </c>
      <c r="DG67" s="230">
        <f t="shared" si="346"/>
        <v>4062.9849784779362</v>
      </c>
      <c r="DH67" s="230">
        <f t="shared" si="346"/>
        <v>3735.4797166773988</v>
      </c>
      <c r="DI67" s="230">
        <f t="shared" si="346"/>
        <v>3427.4276859504134</v>
      </c>
      <c r="DJ67" s="230">
        <f t="shared" ref="DJ67:DR67" si="347">SUM(1000*(DJ63))/DJ18</f>
        <v>3447.1418685121107</v>
      </c>
      <c r="DK67" s="230">
        <f t="shared" si="347"/>
        <v>4034.0227598513879</v>
      </c>
      <c r="DL67" s="230">
        <f t="shared" si="347"/>
        <v>4660.7798341761427</v>
      </c>
      <c r="DM67" s="230">
        <f t="shared" si="347"/>
        <v>5034.6424142207525</v>
      </c>
      <c r="DN67" s="230">
        <f t="shared" si="347"/>
        <v>4721.8271757613229</v>
      </c>
      <c r="DO67" s="230">
        <f t="shared" si="347"/>
        <v>4957.1670213346433</v>
      </c>
      <c r="DP67" s="230">
        <f t="shared" si="347"/>
        <v>4126.3546934919132</v>
      </c>
      <c r="DQ67" s="230">
        <f t="shared" si="347"/>
        <v>3497.1852475403798</v>
      </c>
      <c r="DR67" s="230">
        <f t="shared" si="347"/>
        <v>3941.5913200723326</v>
      </c>
      <c r="DS67" s="230">
        <f t="shared" ref="DS67:FK67" si="348">SUM(1000*(DS63))/DS18</f>
        <v>4035.027574899389</v>
      </c>
      <c r="DT67" s="230">
        <f t="shared" si="348"/>
        <v>3572.4363616855771</v>
      </c>
      <c r="DU67" s="230">
        <f t="shared" si="348"/>
        <v>3468.1897346583341</v>
      </c>
      <c r="DV67" s="360">
        <f t="shared" si="348"/>
        <v>3689.2926406042666</v>
      </c>
      <c r="DW67" s="360">
        <f t="shared" si="348"/>
        <v>3981.589122474586</v>
      </c>
      <c r="DX67" s="360">
        <f t="shared" si="348"/>
        <v>4498.0823318844286</v>
      </c>
      <c r="DY67" s="360">
        <f t="shared" si="348"/>
        <v>4740.2834933699132</v>
      </c>
      <c r="DZ67" s="360">
        <f t="shared" si="348"/>
        <v>4893.8700823421777</v>
      </c>
      <c r="EA67" s="360">
        <f t="shared" si="348"/>
        <v>4755.8459422283358</v>
      </c>
      <c r="EB67" s="360">
        <f t="shared" si="348"/>
        <v>4019.6547685727378</v>
      </c>
      <c r="EC67" s="360">
        <f t="shared" si="348"/>
        <v>3722.4526141712249</v>
      </c>
      <c r="ED67" s="360">
        <f t="shared" si="348"/>
        <v>3910.6833248342682</v>
      </c>
      <c r="EE67" s="360">
        <f t="shared" si="348"/>
        <v>3981.9893783513353</v>
      </c>
      <c r="EF67" s="360">
        <f t="shared" si="348"/>
        <v>3568.4141281246839</v>
      </c>
      <c r="EG67" s="360">
        <f t="shared" si="348"/>
        <v>3497.5932764548579</v>
      </c>
      <c r="EH67" s="360">
        <f t="shared" si="348"/>
        <v>3641.0014291547573</v>
      </c>
      <c r="EI67" s="360">
        <f t="shared" si="348"/>
        <v>3680.1191555497994</v>
      </c>
      <c r="EJ67" s="360">
        <f t="shared" si="348"/>
        <v>4319.052594914664</v>
      </c>
      <c r="EK67" s="360">
        <f t="shared" si="348"/>
        <v>4630.3047133372047</v>
      </c>
      <c r="EL67" s="360">
        <f t="shared" si="348"/>
        <v>4684.5907912292623</v>
      </c>
      <c r="EM67" s="360">
        <f t="shared" si="348"/>
        <v>4950.6745681502962</v>
      </c>
      <c r="EN67" s="360">
        <f t="shared" si="348"/>
        <v>4205.8623040218135</v>
      </c>
      <c r="EO67" s="360">
        <f t="shared" si="348"/>
        <v>3650.7268650323749</v>
      </c>
      <c r="EP67" s="360">
        <f t="shared" si="348"/>
        <v>4188.7769345955685</v>
      </c>
      <c r="EQ67" s="360">
        <f t="shared" si="348"/>
        <v>4292.824105379892</v>
      </c>
      <c r="ER67" s="360">
        <f t="shared" si="348"/>
        <v>4093.6358099878198</v>
      </c>
      <c r="ES67" s="360">
        <f t="shared" si="348"/>
        <v>3818.480633200978</v>
      </c>
      <c r="ET67" s="360">
        <f t="shared" si="348"/>
        <v>3654.4363415375265</v>
      </c>
      <c r="EU67" s="360">
        <f t="shared" si="348"/>
        <v>4103.145574250183</v>
      </c>
      <c r="EV67" s="360">
        <f t="shared" si="348"/>
        <v>4401.6772335749829</v>
      </c>
      <c r="EW67" s="360">
        <f t="shared" si="348"/>
        <v>4726.5568541453813</v>
      </c>
      <c r="EX67" s="360">
        <f t="shared" si="348"/>
        <v>4816.7051616790523</v>
      </c>
      <c r="EY67" s="360">
        <f t="shared" si="348"/>
        <v>4942.8765128308141</v>
      </c>
      <c r="EZ67" s="360">
        <f t="shared" si="348"/>
        <v>4268.9805321384265</v>
      </c>
      <c r="FA67" s="360">
        <f t="shared" si="348"/>
        <v>3877.5760610992866</v>
      </c>
      <c r="FB67" s="360">
        <f t="shared" si="348"/>
        <v>4102.0693093991522</v>
      </c>
      <c r="FC67" s="360">
        <f t="shared" si="348"/>
        <v>4346.3419553269805</v>
      </c>
      <c r="FD67" s="360">
        <f t="shared" si="348"/>
        <v>3902.7677075780684</v>
      </c>
      <c r="FE67" s="360">
        <f t="shared" si="348"/>
        <v>3855.294825511432</v>
      </c>
      <c r="FF67" s="360">
        <f t="shared" si="348"/>
        <v>3850.6798703093978</v>
      </c>
      <c r="FG67" s="360">
        <f t="shared" si="348"/>
        <v>3727.576671694319</v>
      </c>
      <c r="FH67" s="360">
        <f t="shared" si="348"/>
        <v>4216.585586037414</v>
      </c>
      <c r="FI67" s="360">
        <f t="shared" si="348"/>
        <v>4747.9557843731072</v>
      </c>
      <c r="FJ67" s="360">
        <f t="shared" si="348"/>
        <v>4816.9069624152808</v>
      </c>
      <c r="FK67" s="360">
        <f t="shared" si="348"/>
        <v>4854.65450456079</v>
      </c>
      <c r="FL67" s="360">
        <f t="shared" ref="FL67:FQ67" si="349">SUM(1000*(FL63))/FL18</f>
        <v>4258.0257424750835</v>
      </c>
      <c r="FM67" s="360">
        <f t="shared" si="349"/>
        <v>3555.5472076133233</v>
      </c>
      <c r="FN67" s="360">
        <f t="shared" si="349"/>
        <v>3787.5222637533552</v>
      </c>
      <c r="FO67" s="360">
        <f t="shared" si="349"/>
        <v>3867.090377526376</v>
      </c>
      <c r="FP67" s="360">
        <f t="shared" si="349"/>
        <v>3612.5411887124346</v>
      </c>
      <c r="FQ67" s="360">
        <f t="shared" si="349"/>
        <v>3332.5565077933143</v>
      </c>
      <c r="FR67" s="360">
        <f t="shared" ref="FR67:FT67" si="350">SUM(1000*(FR63))/FR18</f>
        <v>3436.5047369481958</v>
      </c>
      <c r="FS67" s="360">
        <f t="shared" si="350"/>
        <v>3546.3710688669307</v>
      </c>
      <c r="FT67" s="360">
        <f t="shared" si="350"/>
        <v>3968.364624754618</v>
      </c>
    </row>
    <row r="68" spans="2:176" ht="12.6" customHeight="1" x14ac:dyDescent="0.25">
      <c r="B68" s="3"/>
      <c r="C68" s="81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81"/>
      <c r="P68" s="18"/>
      <c r="Q68" s="18"/>
      <c r="R68" s="18"/>
      <c r="S68" s="18"/>
      <c r="T68" s="19"/>
      <c r="U68" s="18"/>
      <c r="V68" s="18"/>
      <c r="W68" s="18"/>
      <c r="X68" s="18"/>
      <c r="Y68" s="18"/>
      <c r="Z68" s="20"/>
      <c r="AA68" s="81"/>
      <c r="AB68" s="18"/>
      <c r="AC68" s="18"/>
      <c r="AD68" s="18"/>
      <c r="AE68" s="18"/>
      <c r="AF68" s="19"/>
      <c r="AG68" s="18"/>
      <c r="AH68" s="18"/>
      <c r="AI68" s="18"/>
      <c r="AJ68" s="18"/>
      <c r="AK68" s="18"/>
      <c r="AL68" s="20"/>
      <c r="AM68" s="81"/>
      <c r="AN68" s="18"/>
      <c r="AO68" s="18"/>
      <c r="AP68" s="18"/>
      <c r="AQ68" s="18"/>
      <c r="AR68" s="19"/>
      <c r="AS68" s="18"/>
      <c r="AT68" s="18"/>
      <c r="AU68" s="18"/>
      <c r="AV68" s="18"/>
      <c r="AW68" s="18"/>
      <c r="AX68" s="20"/>
      <c r="AY68" s="81"/>
      <c r="AZ68" s="18"/>
      <c r="BA68" s="18"/>
      <c r="BB68" s="18"/>
      <c r="BC68" s="18"/>
      <c r="BD68" s="19"/>
      <c r="BE68" s="18"/>
      <c r="BF68" s="18"/>
      <c r="BG68" s="18"/>
      <c r="BH68" s="18"/>
      <c r="BI68" s="18"/>
      <c r="BJ68" s="20"/>
      <c r="BK68" s="81"/>
      <c r="BL68" s="18"/>
      <c r="BM68" s="18"/>
      <c r="BN68" s="18"/>
      <c r="BO68" s="18"/>
      <c r="BP68" s="19"/>
      <c r="BQ68" s="18"/>
      <c r="BR68" s="18"/>
      <c r="BS68" s="18"/>
      <c r="BT68" s="18"/>
      <c r="BU68" s="18"/>
      <c r="BV68" s="20"/>
      <c r="BW68" s="81"/>
      <c r="BX68" s="18"/>
      <c r="BY68" s="18"/>
      <c r="BZ68" s="18"/>
      <c r="CA68" s="18"/>
      <c r="CB68" s="19"/>
      <c r="CC68" s="18"/>
      <c r="CD68" s="18"/>
      <c r="CE68" s="18"/>
      <c r="CF68" s="18"/>
      <c r="CG68" s="18"/>
      <c r="CH68" s="20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59"/>
      <c r="DW68" s="359"/>
      <c r="DX68" s="359"/>
    </row>
    <row r="69" spans="2:176" s="496" customFormat="1" ht="13.5" hidden="1" customHeight="1" x14ac:dyDescent="0.25">
      <c r="B69" s="514" t="s">
        <v>54</v>
      </c>
      <c r="C69" s="515"/>
      <c r="D69" s="516"/>
      <c r="E69" s="516"/>
      <c r="F69" s="516"/>
      <c r="G69" s="516"/>
      <c r="H69" s="517"/>
      <c r="I69" s="516"/>
      <c r="J69" s="516"/>
      <c r="K69" s="516"/>
      <c r="L69" s="516"/>
      <c r="M69" s="516"/>
      <c r="N69" s="518"/>
      <c r="O69" s="515"/>
      <c r="P69" s="516"/>
      <c r="Q69" s="516"/>
      <c r="R69" s="516"/>
      <c r="S69" s="516"/>
      <c r="T69" s="517"/>
      <c r="U69" s="516"/>
      <c r="V69" s="516"/>
      <c r="W69" s="516"/>
      <c r="X69" s="516"/>
      <c r="Y69" s="516"/>
      <c r="Z69" s="518"/>
      <c r="AA69" s="515"/>
      <c r="AB69" s="516"/>
      <c r="AC69" s="516"/>
      <c r="AD69" s="516"/>
      <c r="AE69" s="516"/>
      <c r="AF69" s="517"/>
      <c r="AG69" s="516"/>
      <c r="AH69" s="516"/>
      <c r="AI69" s="516"/>
      <c r="AJ69" s="516"/>
      <c r="AK69" s="516"/>
      <c r="AL69" s="518"/>
      <c r="AM69" s="515"/>
      <c r="AN69" s="516"/>
      <c r="AO69" s="516"/>
      <c r="AP69" s="516"/>
      <c r="AQ69" s="516"/>
      <c r="AR69" s="517"/>
      <c r="AS69" s="516"/>
      <c r="AT69" s="516"/>
      <c r="AU69" s="516"/>
      <c r="AV69" s="516"/>
      <c r="AW69" s="516"/>
      <c r="AX69" s="518"/>
      <c r="AY69" s="515"/>
      <c r="AZ69" s="516"/>
      <c r="BA69" s="516"/>
      <c r="BB69" s="516"/>
      <c r="BC69" s="516"/>
      <c r="BD69" s="517"/>
      <c r="BE69" s="516"/>
      <c r="BF69" s="516"/>
      <c r="BG69" s="516"/>
      <c r="BH69" s="516"/>
      <c r="BI69" s="516"/>
      <c r="BJ69" s="518"/>
      <c r="BK69" s="515"/>
      <c r="BL69" s="516"/>
      <c r="BM69" s="516"/>
      <c r="BN69" s="516"/>
      <c r="BO69" s="516"/>
      <c r="BP69" s="517"/>
      <c r="BQ69" s="516"/>
      <c r="BR69" s="516"/>
      <c r="BS69" s="516"/>
      <c r="BT69" s="516"/>
      <c r="BU69" s="516"/>
      <c r="BV69" s="518"/>
      <c r="BW69" s="515"/>
      <c r="BX69" s="516"/>
      <c r="BY69" s="516"/>
      <c r="BZ69" s="516"/>
      <c r="CA69" s="516"/>
      <c r="CB69" s="517"/>
      <c r="CC69" s="516"/>
      <c r="CD69" s="516"/>
      <c r="CE69" s="516"/>
      <c r="CF69" s="516"/>
      <c r="CG69" s="516"/>
      <c r="CH69" s="518"/>
      <c r="CI69" s="373"/>
      <c r="CJ69" s="371"/>
      <c r="CK69" s="371"/>
      <c r="CL69" s="371"/>
      <c r="CM69" s="371"/>
      <c r="CN69" s="371"/>
      <c r="CO69" s="371"/>
      <c r="CP69" s="371"/>
      <c r="CQ69" s="371"/>
      <c r="CR69" s="371"/>
      <c r="CS69" s="371"/>
      <c r="CT69" s="372"/>
      <c r="CU69" s="371"/>
      <c r="CV69" s="371"/>
      <c r="CW69" s="371"/>
      <c r="CX69" s="371"/>
      <c r="CY69" s="371"/>
      <c r="CZ69" s="371"/>
      <c r="DA69" s="371"/>
      <c r="DB69" s="371"/>
      <c r="DC69" s="371"/>
      <c r="DD69" s="371"/>
      <c r="DE69" s="371"/>
      <c r="DF69" s="372"/>
      <c r="DV69" s="497"/>
      <c r="DW69" s="497"/>
      <c r="DX69" s="497"/>
      <c r="DZ69" s="519"/>
    </row>
    <row r="70" spans="2:176" s="496" customFormat="1" ht="13.5" hidden="1" customHeight="1" x14ac:dyDescent="0.25">
      <c r="B70" s="514" t="s">
        <v>50</v>
      </c>
      <c r="C70" s="515"/>
      <c r="D70" s="516"/>
      <c r="E70" s="516"/>
      <c r="F70" s="516"/>
      <c r="G70" s="516"/>
      <c r="H70" s="517"/>
      <c r="I70" s="516"/>
      <c r="J70" s="516"/>
      <c r="K70" s="516"/>
      <c r="L70" s="516"/>
      <c r="M70" s="516"/>
      <c r="N70" s="518"/>
      <c r="O70" s="515"/>
      <c r="P70" s="516"/>
      <c r="Q70" s="516"/>
      <c r="R70" s="516"/>
      <c r="S70" s="516"/>
      <c r="T70" s="517"/>
      <c r="U70" s="516"/>
      <c r="V70" s="516"/>
      <c r="W70" s="516"/>
      <c r="X70" s="516"/>
      <c r="Y70" s="516"/>
      <c r="Z70" s="518"/>
      <c r="AA70" s="515"/>
      <c r="AB70" s="516"/>
      <c r="AC70" s="516"/>
      <c r="AD70" s="516"/>
      <c r="AE70" s="516"/>
      <c r="AF70" s="517"/>
      <c r="AG70" s="516"/>
      <c r="AH70" s="516"/>
      <c r="AI70" s="516"/>
      <c r="AJ70" s="516"/>
      <c r="AK70" s="516"/>
      <c r="AL70" s="518"/>
      <c r="AM70" s="515"/>
      <c r="AN70" s="516"/>
      <c r="AO70" s="516"/>
      <c r="AP70" s="516"/>
      <c r="AQ70" s="516"/>
      <c r="AR70" s="517"/>
      <c r="AS70" s="516"/>
      <c r="AT70" s="516"/>
      <c r="AU70" s="516"/>
      <c r="AV70" s="516"/>
      <c r="AW70" s="516"/>
      <c r="AX70" s="518"/>
      <c r="AY70" s="515"/>
      <c r="AZ70" s="516"/>
      <c r="BA70" s="516"/>
      <c r="BB70" s="516"/>
      <c r="BC70" s="516"/>
      <c r="BD70" s="517"/>
      <c r="BE70" s="516"/>
      <c r="BF70" s="516"/>
      <c r="BG70" s="516"/>
      <c r="BH70" s="516"/>
      <c r="BI70" s="516"/>
      <c r="BJ70" s="518"/>
      <c r="BK70" s="515"/>
      <c r="BL70" s="516"/>
      <c r="BM70" s="516"/>
      <c r="BN70" s="516"/>
      <c r="BO70" s="516"/>
      <c r="BP70" s="517"/>
      <c r="BQ70" s="516"/>
      <c r="BR70" s="516"/>
      <c r="BS70" s="516"/>
      <c r="BT70" s="516"/>
      <c r="BU70" s="516"/>
      <c r="BV70" s="518"/>
      <c r="BW70" s="515"/>
      <c r="BX70" s="516"/>
      <c r="BY70" s="516"/>
      <c r="BZ70" s="516"/>
      <c r="CA70" s="516"/>
      <c r="CB70" s="517"/>
      <c r="CC70" s="516"/>
      <c r="CD70" s="516"/>
      <c r="CE70" s="516"/>
      <c r="CF70" s="516"/>
      <c r="CG70" s="516"/>
      <c r="CH70" s="518"/>
      <c r="CI70" s="373"/>
      <c r="CJ70" s="371"/>
      <c r="CK70" s="371"/>
      <c r="CL70" s="371"/>
      <c r="CM70" s="371"/>
      <c r="CN70" s="371"/>
      <c r="CO70" s="371"/>
      <c r="CP70" s="371"/>
      <c r="CQ70" s="371"/>
      <c r="CR70" s="371"/>
      <c r="CS70" s="371"/>
      <c r="CT70" s="372"/>
      <c r="CU70" s="371"/>
      <c r="CV70" s="371"/>
      <c r="CW70" s="371"/>
      <c r="CX70" s="371"/>
      <c r="CY70" s="371"/>
      <c r="CZ70" s="371"/>
      <c r="DA70" s="371"/>
      <c r="DB70" s="371"/>
      <c r="DC70" s="371"/>
      <c r="DD70" s="371"/>
      <c r="DE70" s="371"/>
      <c r="DF70" s="372"/>
      <c r="DV70" s="520"/>
      <c r="DW70" s="520"/>
      <c r="DX70" s="520"/>
      <c r="DZ70" s="519"/>
    </row>
    <row r="71" spans="2:176" s="374" customFormat="1" ht="13.5" hidden="1" customHeight="1" x14ac:dyDescent="0.25">
      <c r="B71" s="521" t="s">
        <v>1</v>
      </c>
      <c r="C71" s="522">
        <f>D71</f>
        <v>26844.080999999998</v>
      </c>
      <c r="D71" s="523">
        <v>26844.080999999998</v>
      </c>
      <c r="E71" s="523">
        <v>45118.942000000003</v>
      </c>
      <c r="F71" s="523">
        <v>41020.994999999995</v>
      </c>
      <c r="G71" s="523">
        <v>23691.216</v>
      </c>
      <c r="H71" s="523">
        <v>-27694.791999999998</v>
      </c>
      <c r="I71" s="523">
        <v>23470.626</v>
      </c>
      <c r="J71" s="523">
        <v>13163.119000000001</v>
      </c>
      <c r="K71" s="523">
        <v>14014.346</v>
      </c>
      <c r="L71" s="523">
        <v>25046.082999999999</v>
      </c>
      <c r="M71" s="523">
        <v>10752.227999999999</v>
      </c>
      <c r="N71" s="524">
        <v>16483.644</v>
      </c>
      <c r="O71" s="522">
        <f>12288+2356</f>
        <v>14644</v>
      </c>
      <c r="P71" s="523">
        <f>10590+2079</f>
        <v>12669</v>
      </c>
      <c r="Q71" s="523">
        <f>11525+1205</f>
        <v>12730</v>
      </c>
      <c r="R71" s="523">
        <f>12298+886</f>
        <v>13184</v>
      </c>
      <c r="S71" s="523">
        <f>11875+2057</f>
        <v>13932</v>
      </c>
      <c r="T71" s="523">
        <f>2335+10678</f>
        <v>13013</v>
      </c>
      <c r="U71" s="523">
        <f>11314+683</f>
        <v>11997</v>
      </c>
      <c r="V71" s="523">
        <f>9665+434</f>
        <v>10099</v>
      </c>
      <c r="W71" s="523">
        <f>10065+730</f>
        <v>10795</v>
      </c>
      <c r="X71" s="523">
        <f>10165+1657</f>
        <v>11822</v>
      </c>
      <c r="Y71" s="523">
        <f>8082+1459</f>
        <v>9541</v>
      </c>
      <c r="Z71" s="524">
        <f>8974+2593</f>
        <v>11567</v>
      </c>
      <c r="AA71" s="522">
        <f>8529+2361</f>
        <v>10890</v>
      </c>
      <c r="AB71" s="523">
        <f>7024+1205</f>
        <v>8229</v>
      </c>
      <c r="AC71" s="523">
        <f>7554+713</f>
        <v>8267</v>
      </c>
      <c r="AD71" s="523">
        <f>7164+2141</f>
        <v>9305</v>
      </c>
      <c r="AE71" s="523">
        <f>6142+1062</f>
        <v>7204</v>
      </c>
      <c r="AF71" s="523">
        <f>6520+1634</f>
        <v>8154</v>
      </c>
      <c r="AG71" s="523">
        <f>5745+1664</f>
        <v>7409</v>
      </c>
      <c r="AH71" s="523">
        <f>5519+804</f>
        <v>6323</v>
      </c>
      <c r="AI71" s="523">
        <f>4984+461</f>
        <v>5445</v>
      </c>
      <c r="AJ71" s="523">
        <f>5214+560</f>
        <v>5774</v>
      </c>
      <c r="AK71" s="523">
        <f>4388+649</f>
        <v>5037</v>
      </c>
      <c r="AL71" s="524">
        <f>4418+1110</f>
        <v>5528</v>
      </c>
      <c r="AM71" s="522">
        <v>5912</v>
      </c>
      <c r="AN71" s="523">
        <f>3873+525</f>
        <v>4398</v>
      </c>
      <c r="AO71" s="523">
        <f>3895+1693</f>
        <v>5588</v>
      </c>
      <c r="AP71" s="523">
        <f>4201+911</f>
        <v>5112</v>
      </c>
      <c r="AQ71" s="523">
        <f>3957+1762</f>
        <v>5719</v>
      </c>
      <c r="AR71" s="523">
        <f>3848+1192</f>
        <v>5040</v>
      </c>
      <c r="AS71" s="523">
        <f>4353+1209</f>
        <v>5562</v>
      </c>
      <c r="AT71" s="523">
        <f>3545+406</f>
        <v>3951</v>
      </c>
      <c r="AU71" s="523">
        <f>4077+288</f>
        <v>4365</v>
      </c>
      <c r="AV71" s="523">
        <f>4066+989</f>
        <v>5055</v>
      </c>
      <c r="AW71" s="523">
        <f>3782+2310</f>
        <v>6092</v>
      </c>
      <c r="AX71" s="524">
        <f>4133+423</f>
        <v>4556</v>
      </c>
      <c r="AY71" s="522">
        <f>4243+651</f>
        <v>4894</v>
      </c>
      <c r="AZ71" s="523">
        <f>1642+2119</f>
        <v>3761</v>
      </c>
      <c r="BA71" s="523">
        <f>1862+1647</f>
        <v>3509</v>
      </c>
      <c r="BB71" s="523">
        <f>1483+208</f>
        <v>1691</v>
      </c>
      <c r="BC71" s="523">
        <f>1703+1440</f>
        <v>3143</v>
      </c>
      <c r="BD71" s="523">
        <f>1557+4187</f>
        <v>5744</v>
      </c>
      <c r="BE71" s="523">
        <f>1574+1053</f>
        <v>2627</v>
      </c>
      <c r="BF71" s="523">
        <f>1503+139</f>
        <v>1642</v>
      </c>
      <c r="BG71" s="523">
        <f>1194+740</f>
        <v>1934</v>
      </c>
      <c r="BH71" s="523">
        <f>1689+1047</f>
        <v>2736</v>
      </c>
      <c r="BI71" s="523">
        <f>1300+2028</f>
        <v>3328</v>
      </c>
      <c r="BJ71" s="524">
        <f>836+328</f>
        <v>1164</v>
      </c>
      <c r="BK71" s="522">
        <f>2144+425</f>
        <v>2569</v>
      </c>
      <c r="BL71" s="523">
        <f>1397+2336</f>
        <v>3733</v>
      </c>
      <c r="BM71" s="523">
        <f>1426+1540</f>
        <v>2966</v>
      </c>
      <c r="BN71" s="523">
        <f>1405+2479</f>
        <v>3884</v>
      </c>
      <c r="BO71" s="523">
        <f>1333+325</f>
        <v>1658</v>
      </c>
      <c r="BP71" s="523">
        <f>1306+315</f>
        <v>1621</v>
      </c>
      <c r="BQ71" s="523">
        <f>1319+328</f>
        <v>1647</v>
      </c>
      <c r="BR71" s="523">
        <f>1226+259</f>
        <v>1485</v>
      </c>
      <c r="BS71" s="523">
        <f>1330+304</f>
        <v>1634</v>
      </c>
      <c r="BT71" s="523">
        <f>1206+987</f>
        <v>2193</v>
      </c>
      <c r="BU71" s="523">
        <f>1160+203</f>
        <v>1363</v>
      </c>
      <c r="BV71" s="524">
        <f>1206+1588</f>
        <v>2794</v>
      </c>
      <c r="BW71" s="522">
        <f>1278+1054</f>
        <v>2332</v>
      </c>
      <c r="BX71" s="523">
        <f>1173+988</f>
        <v>2161</v>
      </c>
      <c r="BY71" s="523">
        <f>2118+1225</f>
        <v>3343</v>
      </c>
      <c r="BZ71" s="523">
        <f>919+749</f>
        <v>1668</v>
      </c>
      <c r="CA71" s="523">
        <f>790+843</f>
        <v>1633</v>
      </c>
      <c r="CB71" s="523">
        <f>829+1140</f>
        <v>1969</v>
      </c>
      <c r="CC71" s="523">
        <f>863+67</f>
        <v>930</v>
      </c>
      <c r="CD71" s="523">
        <f>895+269</f>
        <v>1164</v>
      </c>
      <c r="CE71" s="523">
        <f>946+325</f>
        <v>1271</v>
      </c>
      <c r="CF71" s="523">
        <f>1134+264</f>
        <v>1398</v>
      </c>
      <c r="CG71" s="523">
        <f>1143+316</f>
        <v>1459</v>
      </c>
      <c r="CH71" s="524">
        <f>1273+529</f>
        <v>1802</v>
      </c>
      <c r="CI71" s="373">
        <f>1363+289</f>
        <v>1652</v>
      </c>
      <c r="CJ71" s="371">
        <f>1141+957</f>
        <v>2098</v>
      </c>
      <c r="CK71" s="371">
        <f>1154+2312</f>
        <v>3466</v>
      </c>
      <c r="CL71" s="371">
        <f>1200+1829</f>
        <v>3029</v>
      </c>
      <c r="CM71" s="371">
        <f>1157+2091</f>
        <v>3248</v>
      </c>
      <c r="CN71" s="371">
        <f>1621+837</f>
        <v>2458</v>
      </c>
      <c r="CO71" s="371">
        <f>1711+806</f>
        <v>2517</v>
      </c>
      <c r="CP71" s="371">
        <f>1580+134</f>
        <v>1714</v>
      </c>
      <c r="CQ71" s="371">
        <f>944+125</f>
        <v>1069</v>
      </c>
      <c r="CR71" s="371">
        <f>1007+67</f>
        <v>1074</v>
      </c>
      <c r="CS71" s="371">
        <f>340+43</f>
        <v>383</v>
      </c>
      <c r="CT71" s="372">
        <f>327+53</f>
        <v>380</v>
      </c>
      <c r="CU71" s="371">
        <f>321+48</f>
        <v>369</v>
      </c>
      <c r="CV71" s="371">
        <f>287+32</f>
        <v>319</v>
      </c>
      <c r="CW71" s="371">
        <f>283+23</f>
        <v>306</v>
      </c>
      <c r="CX71" s="371">
        <f>272+18</f>
        <v>290</v>
      </c>
      <c r="CY71" s="371">
        <f>283+25</f>
        <v>308</v>
      </c>
      <c r="CZ71" s="371">
        <f>293+12</f>
        <v>305</v>
      </c>
      <c r="DA71" s="371">
        <f>271+19</f>
        <v>290</v>
      </c>
      <c r="DB71" s="371">
        <f>238+3</f>
        <v>241</v>
      </c>
      <c r="DC71" s="371">
        <f>261+30</f>
        <v>291</v>
      </c>
      <c r="DD71" s="371">
        <f>239+35</f>
        <v>274</v>
      </c>
      <c r="DE71" s="371">
        <f>250+25</f>
        <v>275</v>
      </c>
      <c r="DF71" s="372">
        <f>285+38</f>
        <v>323</v>
      </c>
      <c r="DG71" s="374">
        <f>305+45</f>
        <v>350</v>
      </c>
      <c r="DH71" s="374">
        <f>237+28</f>
        <v>265</v>
      </c>
      <c r="DI71" s="374">
        <f>233+21</f>
        <v>254</v>
      </c>
      <c r="DJ71" s="374">
        <f>239+21</f>
        <v>260</v>
      </c>
      <c r="DK71" s="374">
        <f>227+17</f>
        <v>244</v>
      </c>
      <c r="DL71" s="374">
        <f>253+8</f>
        <v>261</v>
      </c>
      <c r="DM71" s="374">
        <f>2393+7</f>
        <v>2400</v>
      </c>
      <c r="DN71" s="374">
        <f>227+4</f>
        <v>231</v>
      </c>
      <c r="DO71" s="374">
        <f>213+17</f>
        <v>230</v>
      </c>
      <c r="DP71" s="374">
        <f>231+31</f>
        <v>262</v>
      </c>
      <c r="DQ71" s="374">
        <f>186+0</f>
        <v>186</v>
      </c>
      <c r="DR71" s="374">
        <f>190+32</f>
        <v>222</v>
      </c>
      <c r="DS71" s="374">
        <f>206+57</f>
        <v>263</v>
      </c>
      <c r="DT71" s="374">
        <f>209+24</f>
        <v>233</v>
      </c>
      <c r="DU71" s="374">
        <f>214+26</f>
        <v>240</v>
      </c>
      <c r="DV71" s="376">
        <f>230+26</f>
        <v>256</v>
      </c>
      <c r="DW71" s="376">
        <f>256+30</f>
        <v>286</v>
      </c>
      <c r="DX71" s="376">
        <f>263+13</f>
        <v>276</v>
      </c>
      <c r="DY71" s="376">
        <f>276+24</f>
        <v>300</v>
      </c>
      <c r="DZ71" s="376">
        <f>208+15</f>
        <v>223</v>
      </c>
      <c r="EA71" s="376">
        <f>214+32</f>
        <v>246</v>
      </c>
      <c r="EB71" s="376">
        <f>182+43</f>
        <v>225</v>
      </c>
      <c r="EC71" s="376">
        <f>187</f>
        <v>187</v>
      </c>
      <c r="ED71" s="376">
        <f>228</f>
        <v>228</v>
      </c>
      <c r="EE71" s="376">
        <f>203</f>
        <v>203</v>
      </c>
      <c r="EF71" s="376">
        <f>190+115</f>
        <v>305</v>
      </c>
      <c r="EG71" s="376">
        <f>206+30</f>
        <v>236</v>
      </c>
      <c r="EH71" s="376">
        <f>198+20</f>
        <v>218</v>
      </c>
      <c r="EI71" s="376">
        <f>182+21</f>
        <v>203</v>
      </c>
      <c r="EJ71" s="376">
        <f>179+11</f>
        <v>190</v>
      </c>
      <c r="EK71" s="376">
        <f>192+24</f>
        <v>216</v>
      </c>
      <c r="EL71" s="376">
        <f>160+20</f>
        <v>180</v>
      </c>
      <c r="EM71" s="376">
        <f>173+13</f>
        <v>186</v>
      </c>
      <c r="EN71" s="376">
        <f>137+32</f>
        <v>169</v>
      </c>
      <c r="EO71" s="376">
        <f>163+23</f>
        <v>186</v>
      </c>
      <c r="EP71" s="376">
        <f>182+51</f>
        <v>233</v>
      </c>
      <c r="EQ71" s="376">
        <f>135</f>
        <v>135</v>
      </c>
      <c r="ER71" s="376">
        <f>117</f>
        <v>117</v>
      </c>
      <c r="ES71" s="376">
        <f>122</f>
        <v>122</v>
      </c>
      <c r="ET71" s="374">
        <v>116</v>
      </c>
      <c r="EU71" s="374">
        <v>117</v>
      </c>
      <c r="EV71" s="374">
        <v>123</v>
      </c>
      <c r="EW71" s="374">
        <v>109</v>
      </c>
      <c r="EX71" s="374">
        <v>111</v>
      </c>
      <c r="EY71" s="374">
        <v>107</v>
      </c>
      <c r="EZ71" s="374">
        <v>110</v>
      </c>
      <c r="FA71" s="374">
        <v>102</v>
      </c>
      <c r="FB71" s="374">
        <v>162</v>
      </c>
      <c r="FC71" s="374">
        <v>173</v>
      </c>
      <c r="FD71" s="374">
        <v>148</v>
      </c>
      <c r="FE71" s="374">
        <v>85</v>
      </c>
      <c r="FF71" s="374">
        <v>83</v>
      </c>
      <c r="FG71" s="374">
        <v>85</v>
      </c>
      <c r="FH71" s="374">
        <v>79</v>
      </c>
      <c r="FI71" s="374">
        <v>84</v>
      </c>
      <c r="FJ71" s="374">
        <v>69</v>
      </c>
      <c r="FK71" s="374">
        <v>82</v>
      </c>
      <c r="FL71" s="374">
        <v>75</v>
      </c>
      <c r="FM71" s="374">
        <v>81</v>
      </c>
      <c r="FN71" s="374">
        <v>89</v>
      </c>
      <c r="FO71" s="374">
        <v>81</v>
      </c>
      <c r="FP71" s="374">
        <v>67</v>
      </c>
      <c r="FQ71" s="374">
        <v>51</v>
      </c>
      <c r="FR71" s="374">
        <v>48</v>
      </c>
      <c r="FS71" s="374">
        <v>37</v>
      </c>
      <c r="FT71" s="374">
        <v>42</v>
      </c>
    </row>
    <row r="72" spans="2:176" s="374" customFormat="1" ht="13.5" hidden="1" customHeight="1" thickBot="1" x14ac:dyDescent="0.3">
      <c r="B72" s="525" t="s">
        <v>8</v>
      </c>
      <c r="C72" s="526">
        <v>2129.6120000000001</v>
      </c>
      <c r="D72" s="527">
        <v>12258.948</v>
      </c>
      <c r="E72" s="527">
        <v>35020.720999999998</v>
      </c>
      <c r="F72" s="527">
        <v>41836.209000000003</v>
      </c>
      <c r="G72" s="527">
        <v>64957.645000000004</v>
      </c>
      <c r="H72" s="527">
        <v>-8622.0290000000023</v>
      </c>
      <c r="I72" s="527">
        <v>211398.69899999999</v>
      </c>
      <c r="J72" s="527">
        <v>69586.922999999995</v>
      </c>
      <c r="K72" s="527">
        <v>91421.808000000005</v>
      </c>
      <c r="L72" s="527">
        <v>67079.120999999999</v>
      </c>
      <c r="M72" s="527">
        <v>60385.608000000007</v>
      </c>
      <c r="N72" s="528">
        <v>83796.195000000007</v>
      </c>
      <c r="O72" s="526">
        <f>70086+3171</f>
        <v>73257</v>
      </c>
      <c r="P72" s="527">
        <f>65610+2387</f>
        <v>67997</v>
      </c>
      <c r="Q72" s="527">
        <f>63240+3152</f>
        <v>66392</v>
      </c>
      <c r="R72" s="527">
        <f>3538+64241</f>
        <v>67779</v>
      </c>
      <c r="S72" s="527">
        <f>59074+4337</f>
        <v>63411</v>
      </c>
      <c r="T72" s="527">
        <f>65206+3897</f>
        <v>69103</v>
      </c>
      <c r="U72" s="527">
        <f>70743+4163</f>
        <v>74906</v>
      </c>
      <c r="V72" s="527">
        <f>73109+4213</f>
        <v>77322</v>
      </c>
      <c r="W72" s="527">
        <f>72697+3878</f>
        <v>76575</v>
      </c>
      <c r="X72" s="527">
        <f>77536+2974</f>
        <v>80510</v>
      </c>
      <c r="Y72" s="527">
        <f>59123+2260</f>
        <v>61383</v>
      </c>
      <c r="Z72" s="528">
        <f>63581+2685</f>
        <v>66266</v>
      </c>
      <c r="AA72" s="526">
        <f>72505+2352</f>
        <v>74857</v>
      </c>
      <c r="AB72" s="527">
        <f>58023+644</f>
        <v>58667</v>
      </c>
      <c r="AC72" s="527">
        <f>71998+3446</f>
        <v>75444</v>
      </c>
      <c r="AD72" s="527">
        <f>58777+2745</f>
        <v>61522</v>
      </c>
      <c r="AE72" s="527">
        <f>62891+3288</f>
        <v>66179</v>
      </c>
      <c r="AF72" s="527">
        <f>74122+5676</f>
        <v>79798</v>
      </c>
      <c r="AG72" s="527">
        <f>74005+4568</f>
        <v>78573</v>
      </c>
      <c r="AH72" s="527">
        <f>73696+4658</f>
        <v>78354</v>
      </c>
      <c r="AI72" s="527">
        <f>58997+4227</f>
        <v>63224</v>
      </c>
      <c r="AJ72" s="527">
        <f>72713+3254</f>
        <v>75967</v>
      </c>
      <c r="AK72" s="527">
        <f>66735+2214</f>
        <v>68949</v>
      </c>
      <c r="AL72" s="528">
        <f>59619+2131</f>
        <v>61750</v>
      </c>
      <c r="AM72" s="526">
        <f>75446+1736</f>
        <v>77182</v>
      </c>
      <c r="AN72" s="527">
        <f>66880+315</f>
        <v>67195</v>
      </c>
      <c r="AO72" s="527">
        <f>63886+1041</f>
        <v>64927</v>
      </c>
      <c r="AP72" s="527">
        <f>61834+1929</f>
        <v>63763</v>
      </c>
      <c r="AQ72" s="527">
        <f>64714+2103</f>
        <v>66817</v>
      </c>
      <c r="AR72" s="527">
        <f>75363+4141</f>
        <v>79504</v>
      </c>
      <c r="AS72" s="527">
        <f>76301+2857</f>
        <v>79158</v>
      </c>
      <c r="AT72" s="527">
        <f>73433+2589</f>
        <v>76022</v>
      </c>
      <c r="AU72" s="527">
        <f>1805+74871</f>
        <v>76676</v>
      </c>
      <c r="AV72" s="527">
        <f>70060+3168</f>
        <v>73228</v>
      </c>
      <c r="AW72" s="527">
        <f>70760+1141</f>
        <v>71901</v>
      </c>
      <c r="AX72" s="528">
        <f>73635+1208</f>
        <v>74843</v>
      </c>
      <c r="AY72" s="526">
        <f>78090+2590</f>
        <v>80680</v>
      </c>
      <c r="AZ72" s="527">
        <f>66713+500</f>
        <v>67213</v>
      </c>
      <c r="BA72" s="527">
        <f>73330+2558</f>
        <v>75888</v>
      </c>
      <c r="BB72" s="527">
        <f>65318+1999</f>
        <v>67317</v>
      </c>
      <c r="BC72" s="527">
        <f>82141+4015</f>
        <v>86156</v>
      </c>
      <c r="BD72" s="527">
        <f>83626+4611</f>
        <v>88237</v>
      </c>
      <c r="BE72" s="527">
        <f>81165+3287</f>
        <v>84452</v>
      </c>
      <c r="BF72" s="527">
        <f>86760+4338</f>
        <v>91098</v>
      </c>
      <c r="BG72" s="527">
        <f>77117+2631</f>
        <v>79748</v>
      </c>
      <c r="BH72" s="527">
        <f>78009+2816</f>
        <v>80825</v>
      </c>
      <c r="BI72" s="527">
        <f>61345+1693</f>
        <v>63038</v>
      </c>
      <c r="BJ72" s="528">
        <f>75411+780</f>
        <v>76191</v>
      </c>
      <c r="BK72" s="526">
        <f>75197+1435</f>
        <v>76632</v>
      </c>
      <c r="BL72" s="527">
        <f>69585+2259</f>
        <v>71844</v>
      </c>
      <c r="BM72" s="527">
        <f>74865+3303</f>
        <v>78168</v>
      </c>
      <c r="BN72" s="527">
        <f>71257+1153</f>
        <v>72410</v>
      </c>
      <c r="BO72" s="527">
        <f>72490+4179</f>
        <v>76669</v>
      </c>
      <c r="BP72" s="527">
        <f>1701+79008</f>
        <v>80709</v>
      </c>
      <c r="BQ72" s="527">
        <f>81723+4241</f>
        <v>85964</v>
      </c>
      <c r="BR72" s="527">
        <f>84628+4601</f>
        <v>89229</v>
      </c>
      <c r="BS72" s="527">
        <f>71158+2414</f>
        <v>73572</v>
      </c>
      <c r="BT72" s="527">
        <f>82159+4813</f>
        <v>86972</v>
      </c>
      <c r="BU72" s="527">
        <f>74489+3917</f>
        <v>78406</v>
      </c>
      <c r="BV72" s="528">
        <f>3327+77105</f>
        <v>80432</v>
      </c>
      <c r="BW72" s="526">
        <f>83929+2172</f>
        <v>86101</v>
      </c>
      <c r="BX72" s="527">
        <f>77733+1842</f>
        <v>79575</v>
      </c>
      <c r="BY72" s="527">
        <f>81580+1738</f>
        <v>83318</v>
      </c>
      <c r="BZ72" s="527">
        <f>85852+1972</f>
        <v>87824</v>
      </c>
      <c r="CA72" s="527">
        <f>3168+89490</f>
        <v>92658</v>
      </c>
      <c r="CB72" s="527">
        <f>92109+3577</f>
        <v>95686</v>
      </c>
      <c r="CC72" s="527">
        <f>94300+3363</f>
        <v>97663</v>
      </c>
      <c r="CD72" s="527">
        <f>93737+3594</f>
        <v>97331</v>
      </c>
      <c r="CE72" s="527">
        <f>91155+4871</f>
        <v>96026</v>
      </c>
      <c r="CF72" s="527">
        <f>89386.11+4740.63</f>
        <v>94126.74</v>
      </c>
      <c r="CG72" s="527">
        <f>91301.86+4048.1</f>
        <v>95349.96</v>
      </c>
      <c r="CH72" s="528">
        <f>97879.62+2867.28</f>
        <v>100746.9</v>
      </c>
      <c r="CI72" s="529">
        <f>99610+2862</f>
        <v>102472</v>
      </c>
      <c r="CJ72" s="494">
        <f>83830+2941</f>
        <v>86771</v>
      </c>
      <c r="CK72" s="494">
        <f>88590+2745</f>
        <v>91335</v>
      </c>
      <c r="CL72" s="494">
        <f>88277+3671</f>
        <v>91948</v>
      </c>
      <c r="CM72" s="494">
        <f>90896+4757</f>
        <v>95653</v>
      </c>
      <c r="CN72" s="494">
        <f>92636+4970</f>
        <v>97606</v>
      </c>
      <c r="CO72" s="494">
        <f>100803+5463</f>
        <v>106266</v>
      </c>
      <c r="CP72" s="494">
        <f>94152+5875</f>
        <v>100027</v>
      </c>
      <c r="CQ72" s="494">
        <f>96933+5663</f>
        <v>102596</v>
      </c>
      <c r="CR72" s="494">
        <f>97313+5017</f>
        <v>102330</v>
      </c>
      <c r="CS72" s="494">
        <f>92265+4347</f>
        <v>96612</v>
      </c>
      <c r="CT72" s="530">
        <f>107394+4866</f>
        <v>112260</v>
      </c>
      <c r="CU72" s="531">
        <f>105540+1475</f>
        <v>107015</v>
      </c>
      <c r="CV72" s="494">
        <f>98642+3166</f>
        <v>101808</v>
      </c>
      <c r="CW72" s="494">
        <f>101052+2155</f>
        <v>103207</v>
      </c>
      <c r="CX72" s="494">
        <f>106990+2799</f>
        <v>109789</v>
      </c>
      <c r="CY72" s="494">
        <f>102181+4874</f>
        <v>107055</v>
      </c>
      <c r="CZ72" s="494">
        <f>111905+6358</f>
        <v>118263</v>
      </c>
      <c r="DA72" s="494">
        <f>114915+3994</f>
        <v>118909</v>
      </c>
      <c r="DB72" s="494">
        <f>108971+4002</f>
        <v>112973</v>
      </c>
      <c r="DC72" s="494">
        <f>114639+5028</f>
        <v>119667</v>
      </c>
      <c r="DD72" s="494">
        <f>95183+3840</f>
        <v>99023</v>
      </c>
      <c r="DE72" s="494">
        <f>97551+3342</f>
        <v>100893</v>
      </c>
      <c r="DF72" s="530">
        <f>90089+5483</f>
        <v>95572</v>
      </c>
      <c r="DG72" s="532">
        <f>99438+2522</f>
        <v>101960</v>
      </c>
      <c r="DH72" s="494">
        <f>100622+4726</f>
        <v>105348</v>
      </c>
      <c r="DI72" s="494">
        <f>93214+2636</f>
        <v>95850</v>
      </c>
      <c r="DJ72" s="494">
        <f>100387+3528</f>
        <v>103915</v>
      </c>
      <c r="DK72" s="494">
        <f>100072+4710</f>
        <v>104782</v>
      </c>
      <c r="DL72" s="494">
        <f>110660+3588</f>
        <v>114248</v>
      </c>
      <c r="DM72" s="494">
        <f>110634+3338</f>
        <v>113972</v>
      </c>
      <c r="DN72" s="494">
        <f>110532+3746</f>
        <v>114278</v>
      </c>
      <c r="DO72" s="494">
        <f>103909+4102</f>
        <v>108011</v>
      </c>
      <c r="DP72" s="494">
        <f>99041+3573</f>
        <v>102614</v>
      </c>
      <c r="DQ72" s="494">
        <f>74970+3166</f>
        <v>78136</v>
      </c>
      <c r="DR72" s="494">
        <f>97134+5385</f>
        <v>102519</v>
      </c>
      <c r="DS72" s="494">
        <f>111861+7651</f>
        <v>119512</v>
      </c>
      <c r="DT72" s="494">
        <f>104735+4355</f>
        <v>109090</v>
      </c>
      <c r="DU72" s="494">
        <f>108785+3193</f>
        <v>111978</v>
      </c>
      <c r="DV72" s="487">
        <f>114445+3339</f>
        <v>117784</v>
      </c>
      <c r="DW72" s="487">
        <f>114065+6591</f>
        <v>120656</v>
      </c>
      <c r="DX72" s="487">
        <f>117880+3732</f>
        <v>121612</v>
      </c>
      <c r="DY72" s="487">
        <f>120702+3426</f>
        <v>124128</v>
      </c>
      <c r="DZ72" s="487">
        <f>114253+4035</f>
        <v>118288</v>
      </c>
      <c r="EA72" s="487">
        <f>119364+4201</f>
        <v>123565</v>
      </c>
      <c r="EB72" s="487">
        <f>111168+4029</f>
        <v>115197</v>
      </c>
      <c r="EC72" s="487">
        <f>112364+3426</f>
        <v>115790</v>
      </c>
      <c r="ED72" s="487">
        <f>120997+4915</f>
        <v>125912</v>
      </c>
      <c r="EE72" s="487">
        <f>116029+4403</f>
        <v>120432</v>
      </c>
      <c r="EF72" s="487">
        <f>108607+3185</f>
        <v>111792</v>
      </c>
      <c r="EG72" s="487">
        <f>107928+3648</f>
        <v>111576</v>
      </c>
      <c r="EH72" s="487">
        <f>99464+4911</f>
        <v>104375</v>
      </c>
      <c r="EI72" s="487">
        <f>114070+5477</f>
        <v>119547</v>
      </c>
      <c r="EJ72" s="487">
        <f>119636+4566</f>
        <v>124202</v>
      </c>
      <c r="EK72" s="487">
        <f>123993+5333</f>
        <v>129326</v>
      </c>
      <c r="EL72" s="487">
        <f>120918+4304</f>
        <v>125222</v>
      </c>
      <c r="EM72" s="487">
        <f>123498+4070</f>
        <v>127568</v>
      </c>
      <c r="EN72" s="487">
        <f>121118+5251</f>
        <v>126369</v>
      </c>
      <c r="EO72" s="487">
        <f>120885+4978</f>
        <v>125863</v>
      </c>
      <c r="EP72" s="487">
        <f>131974+4797</f>
        <v>136771</v>
      </c>
      <c r="EQ72" s="487">
        <f>129975+1624</f>
        <v>131599</v>
      </c>
      <c r="ER72" s="487">
        <f>118313+6545</f>
        <v>124858</v>
      </c>
      <c r="ES72" s="487">
        <f>114717+3470</f>
        <v>118187</v>
      </c>
      <c r="ET72" s="487">
        <f>134349+6727</f>
        <v>141076</v>
      </c>
      <c r="EU72" s="487">
        <f>130095+5739</f>
        <v>135834</v>
      </c>
      <c r="EV72" s="487">
        <f>131214+4778</f>
        <v>135992</v>
      </c>
      <c r="EW72" s="487">
        <f>132057+4418</f>
        <v>136475</v>
      </c>
      <c r="EX72" s="487">
        <f>131493+3811</f>
        <v>135304</v>
      </c>
      <c r="EY72" s="487">
        <f>132819+4015</f>
        <v>136834</v>
      </c>
      <c r="EZ72" s="487">
        <f>129151+3400</f>
        <v>132551</v>
      </c>
      <c r="FA72" s="487">
        <f>129026+3357</f>
        <v>132383</v>
      </c>
      <c r="FB72" s="487">
        <f>140990+4675</f>
        <v>145665</v>
      </c>
      <c r="FC72" s="487">
        <f>134557+3093</f>
        <v>137650</v>
      </c>
      <c r="FD72" s="487">
        <f>123850+2955</f>
        <v>126805</v>
      </c>
      <c r="FE72" s="487">
        <f>125844+6818</f>
        <v>132662</v>
      </c>
      <c r="FF72" s="487">
        <f>135540+4789</f>
        <v>140329</v>
      </c>
      <c r="FG72" s="487">
        <f>126424+5295</f>
        <v>131719</v>
      </c>
      <c r="FH72" s="487">
        <f>139951+9097</f>
        <v>149048</v>
      </c>
      <c r="FI72" s="487">
        <f>144129+9658</f>
        <v>153787</v>
      </c>
      <c r="FJ72" s="487">
        <f>135868+9785</f>
        <v>145653</v>
      </c>
      <c r="FK72" s="487">
        <f>139841+11596</f>
        <v>151437</v>
      </c>
      <c r="FL72" s="487">
        <f>134532+12447</f>
        <v>146979</v>
      </c>
      <c r="FM72" s="487">
        <f>132618+11108</f>
        <v>143726</v>
      </c>
      <c r="FN72" s="487">
        <f>143388+11986</f>
        <v>155374</v>
      </c>
      <c r="FO72" s="487">
        <f>141505+13951</f>
        <v>155456</v>
      </c>
      <c r="FP72" s="487">
        <f>126847+13781</f>
        <v>140628</v>
      </c>
      <c r="FQ72" s="487">
        <f>129409+15320</f>
        <v>144729</v>
      </c>
      <c r="FR72" s="487">
        <f>132899+14466</f>
        <v>147365</v>
      </c>
      <c r="FS72" s="487">
        <f>128074+12208</f>
        <v>140282</v>
      </c>
      <c r="FT72" s="487">
        <f>140619+13582</f>
        <v>154201</v>
      </c>
    </row>
    <row r="73" spans="2:176" s="374" customFormat="1" ht="13.5" hidden="1" customHeight="1" thickTop="1" x14ac:dyDescent="0.25">
      <c r="B73" s="521" t="s">
        <v>9</v>
      </c>
      <c r="C73" s="533">
        <f t="shared" ref="C73:N73" si="351">SUM(C71:C72)</f>
        <v>28973.692999999999</v>
      </c>
      <c r="D73" s="534">
        <f t="shared" si="351"/>
        <v>39103.028999999995</v>
      </c>
      <c r="E73" s="534">
        <f t="shared" si="351"/>
        <v>80139.663</v>
      </c>
      <c r="F73" s="534">
        <f t="shared" si="351"/>
        <v>82857.203999999998</v>
      </c>
      <c r="G73" s="534">
        <f t="shared" si="351"/>
        <v>88648.861000000004</v>
      </c>
      <c r="H73" s="534">
        <f t="shared" si="351"/>
        <v>-36316.820999999996</v>
      </c>
      <c r="I73" s="534">
        <f t="shared" si="351"/>
        <v>234869.32499999998</v>
      </c>
      <c r="J73" s="534">
        <f t="shared" si="351"/>
        <v>82750.042000000001</v>
      </c>
      <c r="K73" s="534">
        <f t="shared" si="351"/>
        <v>105436.15400000001</v>
      </c>
      <c r="L73" s="534">
        <f t="shared" si="351"/>
        <v>92125.203999999998</v>
      </c>
      <c r="M73" s="534">
        <f t="shared" si="351"/>
        <v>71137.83600000001</v>
      </c>
      <c r="N73" s="535">
        <f t="shared" si="351"/>
        <v>100279.83900000001</v>
      </c>
      <c r="O73" s="533">
        <f t="shared" ref="O73:T73" si="352">SUM(O71:O72)</f>
        <v>87901</v>
      </c>
      <c r="P73" s="534">
        <f t="shared" si="352"/>
        <v>80666</v>
      </c>
      <c r="Q73" s="534">
        <f t="shared" si="352"/>
        <v>79122</v>
      </c>
      <c r="R73" s="534">
        <f t="shared" si="352"/>
        <v>80963</v>
      </c>
      <c r="S73" s="534">
        <f t="shared" si="352"/>
        <v>77343</v>
      </c>
      <c r="T73" s="534">
        <f t="shared" si="352"/>
        <v>82116</v>
      </c>
      <c r="U73" s="534">
        <f t="shared" ref="U73:Z73" si="353">SUM(U71:U72)</f>
        <v>86903</v>
      </c>
      <c r="V73" s="534">
        <f t="shared" si="353"/>
        <v>87421</v>
      </c>
      <c r="W73" s="534">
        <f t="shared" si="353"/>
        <v>87370</v>
      </c>
      <c r="X73" s="534">
        <f t="shared" si="353"/>
        <v>92332</v>
      </c>
      <c r="Y73" s="534">
        <f t="shared" si="353"/>
        <v>70924</v>
      </c>
      <c r="Z73" s="535">
        <f t="shared" si="353"/>
        <v>77833</v>
      </c>
      <c r="AA73" s="533">
        <f t="shared" ref="AA73:AF73" si="354">SUM(AA71:AA72)</f>
        <v>85747</v>
      </c>
      <c r="AB73" s="534">
        <f t="shared" si="354"/>
        <v>66896</v>
      </c>
      <c r="AC73" s="534">
        <f t="shared" si="354"/>
        <v>83711</v>
      </c>
      <c r="AD73" s="534">
        <f t="shared" si="354"/>
        <v>70827</v>
      </c>
      <c r="AE73" s="534">
        <f t="shared" si="354"/>
        <v>73383</v>
      </c>
      <c r="AF73" s="534">
        <f t="shared" si="354"/>
        <v>87952</v>
      </c>
      <c r="AG73" s="534">
        <f t="shared" ref="AG73:AL73" si="355">SUM(AG71:AG72)</f>
        <v>85982</v>
      </c>
      <c r="AH73" s="534">
        <f t="shared" si="355"/>
        <v>84677</v>
      </c>
      <c r="AI73" s="534">
        <f t="shared" si="355"/>
        <v>68669</v>
      </c>
      <c r="AJ73" s="534">
        <f t="shared" si="355"/>
        <v>81741</v>
      </c>
      <c r="AK73" s="534">
        <f t="shared" si="355"/>
        <v>73986</v>
      </c>
      <c r="AL73" s="535">
        <f t="shared" si="355"/>
        <v>67278</v>
      </c>
      <c r="AM73" s="533">
        <f t="shared" ref="AM73:AR73" si="356">SUM(AM71:AM72)</f>
        <v>83094</v>
      </c>
      <c r="AN73" s="534">
        <f t="shared" si="356"/>
        <v>71593</v>
      </c>
      <c r="AO73" s="534">
        <f t="shared" si="356"/>
        <v>70515</v>
      </c>
      <c r="AP73" s="534">
        <f t="shared" si="356"/>
        <v>68875</v>
      </c>
      <c r="AQ73" s="534">
        <f t="shared" si="356"/>
        <v>72536</v>
      </c>
      <c r="AR73" s="534">
        <f t="shared" si="356"/>
        <v>84544</v>
      </c>
      <c r="AS73" s="534">
        <f t="shared" ref="AS73:AX73" si="357">SUM(AS71:AS72)</f>
        <v>84720</v>
      </c>
      <c r="AT73" s="534">
        <f t="shared" si="357"/>
        <v>79973</v>
      </c>
      <c r="AU73" s="534">
        <f t="shared" si="357"/>
        <v>81041</v>
      </c>
      <c r="AV73" s="534">
        <f t="shared" si="357"/>
        <v>78283</v>
      </c>
      <c r="AW73" s="534">
        <f t="shared" si="357"/>
        <v>77993</v>
      </c>
      <c r="AX73" s="535">
        <f t="shared" si="357"/>
        <v>79399</v>
      </c>
      <c r="AY73" s="533">
        <f t="shared" ref="AY73:BJ73" si="358">SUM(AY71:AY72)</f>
        <v>85574</v>
      </c>
      <c r="AZ73" s="534">
        <f t="shared" si="358"/>
        <v>70974</v>
      </c>
      <c r="BA73" s="534">
        <f t="shared" si="358"/>
        <v>79397</v>
      </c>
      <c r="BB73" s="534">
        <f t="shared" si="358"/>
        <v>69008</v>
      </c>
      <c r="BC73" s="534">
        <f t="shared" si="358"/>
        <v>89299</v>
      </c>
      <c r="BD73" s="534">
        <f t="shared" si="358"/>
        <v>93981</v>
      </c>
      <c r="BE73" s="534">
        <f t="shared" si="358"/>
        <v>87079</v>
      </c>
      <c r="BF73" s="534">
        <f t="shared" si="358"/>
        <v>92740</v>
      </c>
      <c r="BG73" s="534">
        <f t="shared" si="358"/>
        <v>81682</v>
      </c>
      <c r="BH73" s="534">
        <f t="shared" si="358"/>
        <v>83561</v>
      </c>
      <c r="BI73" s="534">
        <f t="shared" si="358"/>
        <v>66366</v>
      </c>
      <c r="BJ73" s="535">
        <f t="shared" si="358"/>
        <v>77355</v>
      </c>
      <c r="BK73" s="533">
        <f t="shared" ref="BK73:BP73" si="359">SUM(BK71:BK72)</f>
        <v>79201</v>
      </c>
      <c r="BL73" s="534">
        <f t="shared" si="359"/>
        <v>75577</v>
      </c>
      <c r="BM73" s="534">
        <f t="shared" si="359"/>
        <v>81134</v>
      </c>
      <c r="BN73" s="534">
        <f t="shared" si="359"/>
        <v>76294</v>
      </c>
      <c r="BO73" s="534">
        <f t="shared" si="359"/>
        <v>78327</v>
      </c>
      <c r="BP73" s="534">
        <f t="shared" si="359"/>
        <v>82330</v>
      </c>
      <c r="BQ73" s="534">
        <f t="shared" ref="BQ73:CB73" si="360">SUM(BQ71:BQ72)</f>
        <v>87611</v>
      </c>
      <c r="BR73" s="534">
        <f t="shared" si="360"/>
        <v>90714</v>
      </c>
      <c r="BS73" s="534">
        <f t="shared" si="360"/>
        <v>75206</v>
      </c>
      <c r="BT73" s="534">
        <f t="shared" si="360"/>
        <v>89165</v>
      </c>
      <c r="BU73" s="534">
        <f t="shared" si="360"/>
        <v>79769</v>
      </c>
      <c r="BV73" s="534">
        <f t="shared" si="360"/>
        <v>83226</v>
      </c>
      <c r="BW73" s="533">
        <f t="shared" si="360"/>
        <v>88433</v>
      </c>
      <c r="BX73" s="534">
        <f t="shared" si="360"/>
        <v>81736</v>
      </c>
      <c r="BY73" s="534">
        <f t="shared" si="360"/>
        <v>86661</v>
      </c>
      <c r="BZ73" s="534">
        <f t="shared" si="360"/>
        <v>89492</v>
      </c>
      <c r="CA73" s="534">
        <f t="shared" si="360"/>
        <v>94291</v>
      </c>
      <c r="CB73" s="534">
        <f t="shared" si="360"/>
        <v>97655</v>
      </c>
      <c r="CC73" s="534">
        <f t="shared" ref="CC73:DK73" si="361">SUM(CC71:CC72)</f>
        <v>98593</v>
      </c>
      <c r="CD73" s="534">
        <f t="shared" si="361"/>
        <v>98495</v>
      </c>
      <c r="CE73" s="534">
        <f t="shared" si="361"/>
        <v>97297</v>
      </c>
      <c r="CF73" s="534">
        <f t="shared" si="361"/>
        <v>95524.74</v>
      </c>
      <c r="CG73" s="534">
        <f t="shared" si="361"/>
        <v>96808.960000000006</v>
      </c>
      <c r="CH73" s="534">
        <f t="shared" si="361"/>
        <v>102548.9</v>
      </c>
      <c r="CI73" s="536">
        <f t="shared" si="361"/>
        <v>104124</v>
      </c>
      <c r="CJ73" s="498">
        <f t="shared" si="361"/>
        <v>88869</v>
      </c>
      <c r="CK73" s="498">
        <f t="shared" si="361"/>
        <v>94801</v>
      </c>
      <c r="CL73" s="498">
        <f t="shared" si="361"/>
        <v>94977</v>
      </c>
      <c r="CM73" s="498">
        <f t="shared" si="361"/>
        <v>98901</v>
      </c>
      <c r="CN73" s="498">
        <f t="shared" si="361"/>
        <v>100064</v>
      </c>
      <c r="CO73" s="498">
        <f t="shared" si="361"/>
        <v>108783</v>
      </c>
      <c r="CP73" s="498">
        <f t="shared" si="361"/>
        <v>101741</v>
      </c>
      <c r="CQ73" s="498">
        <f t="shared" si="361"/>
        <v>103665</v>
      </c>
      <c r="CR73" s="498">
        <f t="shared" si="361"/>
        <v>103404</v>
      </c>
      <c r="CS73" s="498">
        <f t="shared" si="361"/>
        <v>96995</v>
      </c>
      <c r="CT73" s="537">
        <f t="shared" si="361"/>
        <v>112640</v>
      </c>
      <c r="CU73" s="498">
        <f t="shared" si="361"/>
        <v>107384</v>
      </c>
      <c r="CV73" s="498">
        <f t="shared" si="361"/>
        <v>102127</v>
      </c>
      <c r="CW73" s="498">
        <f t="shared" si="361"/>
        <v>103513</v>
      </c>
      <c r="CX73" s="498">
        <f t="shared" si="361"/>
        <v>110079</v>
      </c>
      <c r="CY73" s="498">
        <f t="shared" si="361"/>
        <v>107363</v>
      </c>
      <c r="CZ73" s="498">
        <f t="shared" si="361"/>
        <v>118568</v>
      </c>
      <c r="DA73" s="498">
        <f t="shared" si="361"/>
        <v>119199</v>
      </c>
      <c r="DB73" s="498">
        <f t="shared" si="361"/>
        <v>113214</v>
      </c>
      <c r="DC73" s="498">
        <f t="shared" si="361"/>
        <v>119958</v>
      </c>
      <c r="DD73" s="498">
        <f t="shared" si="361"/>
        <v>99297</v>
      </c>
      <c r="DE73" s="498">
        <f t="shared" si="361"/>
        <v>101168</v>
      </c>
      <c r="DF73" s="538">
        <f t="shared" si="361"/>
        <v>95895</v>
      </c>
      <c r="DG73" s="498">
        <f t="shared" si="361"/>
        <v>102310</v>
      </c>
      <c r="DH73" s="498">
        <f t="shared" si="361"/>
        <v>105613</v>
      </c>
      <c r="DI73" s="498">
        <f t="shared" si="361"/>
        <v>96104</v>
      </c>
      <c r="DJ73" s="498">
        <f t="shared" si="361"/>
        <v>104175</v>
      </c>
      <c r="DK73" s="498">
        <f t="shared" si="361"/>
        <v>105026</v>
      </c>
      <c r="DL73" s="498">
        <f t="shared" ref="DL73:DR73" si="362">SUM(DL71:DL72)</f>
        <v>114509</v>
      </c>
      <c r="DM73" s="498">
        <f t="shared" si="362"/>
        <v>116372</v>
      </c>
      <c r="DN73" s="498">
        <f t="shared" si="362"/>
        <v>114509</v>
      </c>
      <c r="DO73" s="498">
        <f t="shared" si="362"/>
        <v>108241</v>
      </c>
      <c r="DP73" s="498">
        <f t="shared" si="362"/>
        <v>102876</v>
      </c>
      <c r="DQ73" s="498">
        <f t="shared" si="362"/>
        <v>78322</v>
      </c>
      <c r="DR73" s="498">
        <f t="shared" si="362"/>
        <v>102741</v>
      </c>
      <c r="DS73" s="498">
        <f t="shared" ref="DS73:FK73" si="363">SUM(DS71:DS72)</f>
        <v>119775</v>
      </c>
      <c r="DT73" s="498">
        <f t="shared" si="363"/>
        <v>109323</v>
      </c>
      <c r="DU73" s="498">
        <f t="shared" si="363"/>
        <v>112218</v>
      </c>
      <c r="DV73" s="497">
        <f t="shared" si="363"/>
        <v>118040</v>
      </c>
      <c r="DW73" s="497">
        <f t="shared" si="363"/>
        <v>120942</v>
      </c>
      <c r="DX73" s="497">
        <f t="shared" si="363"/>
        <v>121888</v>
      </c>
      <c r="DY73" s="497">
        <f t="shared" si="363"/>
        <v>124428</v>
      </c>
      <c r="DZ73" s="497">
        <f t="shared" si="363"/>
        <v>118511</v>
      </c>
      <c r="EA73" s="497">
        <f t="shared" si="363"/>
        <v>123811</v>
      </c>
      <c r="EB73" s="497">
        <f t="shared" si="363"/>
        <v>115422</v>
      </c>
      <c r="EC73" s="497">
        <f t="shared" si="363"/>
        <v>115977</v>
      </c>
      <c r="ED73" s="497">
        <f t="shared" si="363"/>
        <v>126140</v>
      </c>
      <c r="EE73" s="497">
        <f t="shared" si="363"/>
        <v>120635</v>
      </c>
      <c r="EF73" s="497">
        <f t="shared" si="363"/>
        <v>112097</v>
      </c>
      <c r="EG73" s="497">
        <f t="shared" si="363"/>
        <v>111812</v>
      </c>
      <c r="EH73" s="497">
        <f t="shared" si="363"/>
        <v>104593</v>
      </c>
      <c r="EI73" s="497">
        <f t="shared" si="363"/>
        <v>119750</v>
      </c>
      <c r="EJ73" s="497">
        <f t="shared" si="363"/>
        <v>124392</v>
      </c>
      <c r="EK73" s="497">
        <f t="shared" si="363"/>
        <v>129542</v>
      </c>
      <c r="EL73" s="497">
        <f t="shared" si="363"/>
        <v>125402</v>
      </c>
      <c r="EM73" s="497">
        <f t="shared" si="363"/>
        <v>127754</v>
      </c>
      <c r="EN73" s="497">
        <f t="shared" si="363"/>
        <v>126538</v>
      </c>
      <c r="EO73" s="497">
        <f t="shared" si="363"/>
        <v>126049</v>
      </c>
      <c r="EP73" s="497">
        <f t="shared" si="363"/>
        <v>137004</v>
      </c>
      <c r="EQ73" s="497">
        <f t="shared" si="363"/>
        <v>131734</v>
      </c>
      <c r="ER73" s="497">
        <f t="shared" si="363"/>
        <v>124975</v>
      </c>
      <c r="ES73" s="497">
        <f t="shared" si="363"/>
        <v>118309</v>
      </c>
      <c r="ET73" s="497">
        <f t="shared" si="363"/>
        <v>141192</v>
      </c>
      <c r="EU73" s="497">
        <f t="shared" si="363"/>
        <v>135951</v>
      </c>
      <c r="EV73" s="497">
        <f t="shared" si="363"/>
        <v>136115</v>
      </c>
      <c r="EW73" s="497">
        <f t="shared" si="363"/>
        <v>136584</v>
      </c>
      <c r="EX73" s="497">
        <f t="shared" si="363"/>
        <v>135415</v>
      </c>
      <c r="EY73" s="497">
        <f t="shared" si="363"/>
        <v>136941</v>
      </c>
      <c r="EZ73" s="497">
        <f t="shared" si="363"/>
        <v>132661</v>
      </c>
      <c r="FA73" s="497">
        <f t="shared" si="363"/>
        <v>132485</v>
      </c>
      <c r="FB73" s="497">
        <f t="shared" si="363"/>
        <v>145827</v>
      </c>
      <c r="FC73" s="497">
        <f t="shared" si="363"/>
        <v>137823</v>
      </c>
      <c r="FD73" s="497">
        <f t="shared" si="363"/>
        <v>126953</v>
      </c>
      <c r="FE73" s="497">
        <f t="shared" si="363"/>
        <v>132747</v>
      </c>
      <c r="FF73" s="497">
        <f t="shared" si="363"/>
        <v>140412</v>
      </c>
      <c r="FG73" s="497">
        <f t="shared" si="363"/>
        <v>131804</v>
      </c>
      <c r="FH73" s="497">
        <f t="shared" si="363"/>
        <v>149127</v>
      </c>
      <c r="FI73" s="497">
        <f t="shared" si="363"/>
        <v>153871</v>
      </c>
      <c r="FJ73" s="497">
        <f t="shared" si="363"/>
        <v>145722</v>
      </c>
      <c r="FK73" s="497">
        <f t="shared" si="363"/>
        <v>151519</v>
      </c>
      <c r="FL73" s="497">
        <f t="shared" ref="FL73:FQ73" si="364">SUM(FL71:FL72)</f>
        <v>147054</v>
      </c>
      <c r="FM73" s="497">
        <f t="shared" si="364"/>
        <v>143807</v>
      </c>
      <c r="FN73" s="497">
        <f t="shared" si="364"/>
        <v>155463</v>
      </c>
      <c r="FO73" s="497">
        <f t="shared" si="364"/>
        <v>155537</v>
      </c>
      <c r="FP73" s="497">
        <f t="shared" si="364"/>
        <v>140695</v>
      </c>
      <c r="FQ73" s="497">
        <f t="shared" si="364"/>
        <v>144780</v>
      </c>
      <c r="FR73" s="497">
        <f t="shared" ref="FR73:FT73" si="365">SUM(FR71:FR72)</f>
        <v>147413</v>
      </c>
      <c r="FS73" s="497">
        <f t="shared" si="365"/>
        <v>140319</v>
      </c>
      <c r="FT73" s="497">
        <f t="shared" si="365"/>
        <v>154243</v>
      </c>
    </row>
    <row r="74" spans="2:176" s="496" customFormat="1" ht="13.5" hidden="1" customHeight="1" x14ac:dyDescent="0.25">
      <c r="B74" s="521" t="s">
        <v>10</v>
      </c>
      <c r="C74" s="539">
        <f t="shared" ref="C74:N74" si="366">SUM(C71)/C73</f>
        <v>0.92649842738376498</v>
      </c>
      <c r="D74" s="540">
        <f t="shared" si="366"/>
        <v>0.68649620468020522</v>
      </c>
      <c r="E74" s="540">
        <f t="shared" si="366"/>
        <v>0.56300388984665439</v>
      </c>
      <c r="F74" s="540">
        <f t="shared" si="366"/>
        <v>0.4950806088025852</v>
      </c>
      <c r="G74" s="540">
        <f t="shared" si="366"/>
        <v>0.26724783299810245</v>
      </c>
      <c r="H74" s="540">
        <f t="shared" si="366"/>
        <v>0.76258855366222722</v>
      </c>
      <c r="I74" s="540">
        <f t="shared" si="366"/>
        <v>9.9930572031916048E-2</v>
      </c>
      <c r="J74" s="540">
        <f t="shared" si="366"/>
        <v>0.15907084373443581</v>
      </c>
      <c r="K74" s="540">
        <f t="shared" si="366"/>
        <v>0.13291784144554436</v>
      </c>
      <c r="L74" s="540">
        <f t="shared" si="366"/>
        <v>0.27187004112359958</v>
      </c>
      <c r="M74" s="540">
        <f t="shared" si="366"/>
        <v>0.15114640259790862</v>
      </c>
      <c r="N74" s="541">
        <f t="shared" si="366"/>
        <v>0.16437645058444897</v>
      </c>
      <c r="O74" s="539">
        <f t="shared" ref="O74:T74" si="367">SUM(O71)/O73</f>
        <v>0.16659651198507411</v>
      </c>
      <c r="P74" s="540">
        <f t="shared" si="367"/>
        <v>0.15705501698361143</v>
      </c>
      <c r="Q74" s="540">
        <f t="shared" si="367"/>
        <v>0.16089077626955842</v>
      </c>
      <c r="R74" s="540">
        <f t="shared" si="367"/>
        <v>0.16283981571829106</v>
      </c>
      <c r="S74" s="540">
        <f t="shared" si="367"/>
        <v>0.18013265583181412</v>
      </c>
      <c r="T74" s="540">
        <f t="shared" si="367"/>
        <v>0.15847094354328023</v>
      </c>
      <c r="U74" s="540">
        <f t="shared" ref="U74:Z74" si="368">SUM(U71)/U73</f>
        <v>0.13805047006432458</v>
      </c>
      <c r="V74" s="540">
        <f t="shared" si="368"/>
        <v>0.11552144221640109</v>
      </c>
      <c r="W74" s="540">
        <f t="shared" si="368"/>
        <v>0.1235549959940483</v>
      </c>
      <c r="X74" s="540">
        <f t="shared" si="368"/>
        <v>0.12803795000649829</v>
      </c>
      <c r="Y74" s="540">
        <f t="shared" si="368"/>
        <v>0.13452427951046189</v>
      </c>
      <c r="Z74" s="541">
        <f t="shared" si="368"/>
        <v>0.14861305615869874</v>
      </c>
      <c r="AA74" s="539">
        <f t="shared" ref="AA74:AF74" si="369">SUM(AA71)/AA73</f>
        <v>0.12700152775024198</v>
      </c>
      <c r="AB74" s="540">
        <f t="shared" si="369"/>
        <v>0.12301183927290121</v>
      </c>
      <c r="AC74" s="540">
        <f t="shared" si="369"/>
        <v>9.8756435832805731E-2</v>
      </c>
      <c r="AD74" s="540">
        <f t="shared" si="369"/>
        <v>0.13137645248281024</v>
      </c>
      <c r="AE74" s="540">
        <f t="shared" si="369"/>
        <v>9.8169875856806074E-2</v>
      </c>
      <c r="AF74" s="540">
        <f t="shared" si="369"/>
        <v>9.2709659814444248E-2</v>
      </c>
      <c r="AG74" s="540">
        <f t="shared" ref="AG74:AL74" si="370">SUM(AG71)/AG73</f>
        <v>8.6169198204275307E-2</v>
      </c>
      <c r="AH74" s="540">
        <f t="shared" si="370"/>
        <v>7.4671988851754315E-2</v>
      </c>
      <c r="AI74" s="540">
        <f t="shared" si="370"/>
        <v>7.9293422068182143E-2</v>
      </c>
      <c r="AJ74" s="540">
        <f t="shared" si="370"/>
        <v>7.0637746051553083E-2</v>
      </c>
      <c r="AK74" s="540">
        <f t="shared" si="370"/>
        <v>6.8080447652258541E-2</v>
      </c>
      <c r="AL74" s="541">
        <f t="shared" si="370"/>
        <v>8.2166532893367811E-2</v>
      </c>
      <c r="AM74" s="539">
        <f t="shared" ref="AM74:AR74" si="371">SUM(AM71)/AM73</f>
        <v>7.1148338026813002E-2</v>
      </c>
      <c r="AN74" s="540">
        <f t="shared" si="371"/>
        <v>6.1430586789211233E-2</v>
      </c>
      <c r="AO74" s="540">
        <f t="shared" si="371"/>
        <v>7.9245550592072611E-2</v>
      </c>
      <c r="AP74" s="540">
        <f t="shared" si="371"/>
        <v>7.422141560798548E-2</v>
      </c>
      <c r="AQ74" s="540">
        <f t="shared" si="371"/>
        <v>7.8843608690856951E-2</v>
      </c>
      <c r="AR74" s="540">
        <f t="shared" si="371"/>
        <v>5.9613928841786526E-2</v>
      </c>
      <c r="AS74" s="540">
        <f t="shared" ref="AS74:AX74" si="372">SUM(AS71)/AS73</f>
        <v>6.5651558073654387E-2</v>
      </c>
      <c r="AT74" s="540">
        <f t="shared" si="372"/>
        <v>4.9404173908694185E-2</v>
      </c>
      <c r="AU74" s="540">
        <f t="shared" si="372"/>
        <v>5.3861625596920079E-2</v>
      </c>
      <c r="AV74" s="540">
        <f t="shared" si="372"/>
        <v>6.4573406742204562E-2</v>
      </c>
      <c r="AW74" s="540">
        <f t="shared" si="372"/>
        <v>7.8109573936122473E-2</v>
      </c>
      <c r="AX74" s="541">
        <f t="shared" si="372"/>
        <v>5.738107532840464E-2</v>
      </c>
      <c r="AY74" s="539">
        <f t="shared" ref="AY74:BJ74" si="373">SUM(AY71)/AY73</f>
        <v>5.7190268072077971E-2</v>
      </c>
      <c r="AZ74" s="540">
        <f t="shared" si="373"/>
        <v>5.2991236227350857E-2</v>
      </c>
      <c r="BA74" s="540">
        <f t="shared" si="373"/>
        <v>4.4195624519818129E-2</v>
      </c>
      <c r="BB74" s="540">
        <f t="shared" si="373"/>
        <v>2.4504405286343612E-2</v>
      </c>
      <c r="BC74" s="540">
        <f t="shared" si="373"/>
        <v>3.5196362781218155E-2</v>
      </c>
      <c r="BD74" s="540">
        <f t="shared" si="373"/>
        <v>6.1118736765942053E-2</v>
      </c>
      <c r="BE74" s="540">
        <f t="shared" si="373"/>
        <v>3.0168008360224624E-2</v>
      </c>
      <c r="BF74" s="540">
        <f t="shared" si="373"/>
        <v>1.770541298253181E-2</v>
      </c>
      <c r="BG74" s="540">
        <f t="shared" si="373"/>
        <v>2.3677187140373646E-2</v>
      </c>
      <c r="BH74" s="540">
        <f t="shared" si="373"/>
        <v>3.2742547360610809E-2</v>
      </c>
      <c r="BI74" s="540">
        <f t="shared" si="373"/>
        <v>5.0146159177892294E-2</v>
      </c>
      <c r="BJ74" s="541">
        <f t="shared" si="373"/>
        <v>1.5047508241225518E-2</v>
      </c>
      <c r="BK74" s="539">
        <f t="shared" ref="BK74:BP74" si="374">SUM(BK71)/BK73</f>
        <v>3.2436459135616977E-2</v>
      </c>
      <c r="BL74" s="540">
        <f t="shared" si="374"/>
        <v>4.9393333950805141E-2</v>
      </c>
      <c r="BM74" s="540">
        <f t="shared" si="374"/>
        <v>3.6556807257130182E-2</v>
      </c>
      <c r="BN74" s="540">
        <f t="shared" si="374"/>
        <v>5.0908328308910268E-2</v>
      </c>
      <c r="BO74" s="540">
        <f t="shared" si="374"/>
        <v>2.1167668875355879E-2</v>
      </c>
      <c r="BP74" s="540">
        <f t="shared" si="374"/>
        <v>1.9689056237094618E-2</v>
      </c>
      <c r="BQ74" s="540">
        <f t="shared" ref="BQ74:CB74" si="375">SUM(BQ71)/BQ73</f>
        <v>1.8799009256828481E-2</v>
      </c>
      <c r="BR74" s="540">
        <f t="shared" si="375"/>
        <v>1.637013029962299E-2</v>
      </c>
      <c r="BS74" s="540">
        <f t="shared" si="375"/>
        <v>2.1726989867829696E-2</v>
      </c>
      <c r="BT74" s="540">
        <f t="shared" si="375"/>
        <v>2.4594852240228789E-2</v>
      </c>
      <c r="BU74" s="540">
        <f t="shared" si="375"/>
        <v>1.7086838245433691E-2</v>
      </c>
      <c r="BV74" s="540">
        <f t="shared" si="375"/>
        <v>3.3571239756806766E-2</v>
      </c>
      <c r="BW74" s="539">
        <f t="shared" si="375"/>
        <v>2.6370246401230309E-2</v>
      </c>
      <c r="BX74" s="540">
        <f t="shared" si="375"/>
        <v>2.6438778506410885E-2</v>
      </c>
      <c r="BY74" s="540">
        <f t="shared" si="375"/>
        <v>3.8575599173792136E-2</v>
      </c>
      <c r="BZ74" s="540">
        <f t="shared" si="375"/>
        <v>1.8638537522907075E-2</v>
      </c>
      <c r="CA74" s="540">
        <f t="shared" si="375"/>
        <v>1.7318726071417209E-2</v>
      </c>
      <c r="CB74" s="540">
        <f t="shared" si="375"/>
        <v>2.0162818084071474E-2</v>
      </c>
      <c r="CC74" s="540">
        <f t="shared" ref="CC74:DR74" si="376">SUM(CC71)/CC73</f>
        <v>9.4327183471443199E-3</v>
      </c>
      <c r="CD74" s="540">
        <f t="shared" si="376"/>
        <v>1.1817858774557084E-2</v>
      </c>
      <c r="CE74" s="540">
        <f t="shared" si="376"/>
        <v>1.3063095470569493E-2</v>
      </c>
      <c r="CF74" s="540">
        <f t="shared" si="376"/>
        <v>1.4634952160037283E-2</v>
      </c>
      <c r="CG74" s="540">
        <f t="shared" si="376"/>
        <v>1.5070919055426273E-2</v>
      </c>
      <c r="CH74" s="540">
        <f t="shared" si="376"/>
        <v>1.7572104625208071E-2</v>
      </c>
      <c r="CI74" s="542">
        <f t="shared" si="376"/>
        <v>1.5865698590142523E-2</v>
      </c>
      <c r="CJ74" s="490">
        <f t="shared" si="376"/>
        <v>2.3607782241276486E-2</v>
      </c>
      <c r="CK74" s="490">
        <f t="shared" si="376"/>
        <v>3.6560795772196494E-2</v>
      </c>
      <c r="CL74" s="490">
        <f t="shared" si="376"/>
        <v>3.1891931730840095E-2</v>
      </c>
      <c r="CM74" s="490">
        <f t="shared" si="376"/>
        <v>3.2840921729810617E-2</v>
      </c>
      <c r="CN74" s="490">
        <f t="shared" si="376"/>
        <v>2.4564278861528621E-2</v>
      </c>
      <c r="CO74" s="490">
        <f t="shared" si="376"/>
        <v>2.3137806458729766E-2</v>
      </c>
      <c r="CP74" s="490">
        <f t="shared" si="376"/>
        <v>1.6846698970916348E-2</v>
      </c>
      <c r="CQ74" s="490">
        <f t="shared" si="376"/>
        <v>1.0312062894901847E-2</v>
      </c>
      <c r="CR74" s="490">
        <f t="shared" si="376"/>
        <v>1.0386445398630614E-2</v>
      </c>
      <c r="CS74" s="490">
        <f t="shared" si="376"/>
        <v>3.948657147275633E-3</v>
      </c>
      <c r="CT74" s="543">
        <f t="shared" si="376"/>
        <v>3.3735795454545455E-3</v>
      </c>
      <c r="CU74" s="490">
        <f t="shared" si="376"/>
        <v>3.4362661104075094E-3</v>
      </c>
      <c r="CV74" s="490">
        <f t="shared" si="376"/>
        <v>3.1235618396702144E-3</v>
      </c>
      <c r="CW74" s="490">
        <f t="shared" si="376"/>
        <v>2.9561504352110363E-3</v>
      </c>
      <c r="CX74" s="490">
        <f t="shared" si="376"/>
        <v>2.6344716067551485E-3</v>
      </c>
      <c r="CY74" s="490">
        <f t="shared" si="376"/>
        <v>2.8687722958561142E-3</v>
      </c>
      <c r="CZ74" s="490">
        <f t="shared" si="376"/>
        <v>2.5723635382227921E-3</v>
      </c>
      <c r="DA74" s="490">
        <f t="shared" si="376"/>
        <v>2.4329063163281571E-3</v>
      </c>
      <c r="DB74" s="490">
        <f t="shared" si="376"/>
        <v>2.1287119967495186E-3</v>
      </c>
      <c r="DC74" s="490">
        <f t="shared" si="376"/>
        <v>2.4258490471665084E-3</v>
      </c>
      <c r="DD74" s="490">
        <f t="shared" si="376"/>
        <v>2.7593985719608851E-3</v>
      </c>
      <c r="DE74" s="490">
        <f t="shared" si="376"/>
        <v>2.7182508303020716E-3</v>
      </c>
      <c r="DF74" s="543">
        <f t="shared" si="376"/>
        <v>3.368267375775588E-3</v>
      </c>
      <c r="DG74" s="490">
        <f t="shared" si="376"/>
        <v>3.4209754667187957E-3</v>
      </c>
      <c r="DH74" s="490">
        <f t="shared" si="376"/>
        <v>2.5091608040676812E-3</v>
      </c>
      <c r="DI74" s="490">
        <f t="shared" si="376"/>
        <v>2.6429701157079828E-3</v>
      </c>
      <c r="DJ74" s="490">
        <f t="shared" si="376"/>
        <v>2.495800335973122E-3</v>
      </c>
      <c r="DK74" s="490">
        <f t="shared" si="376"/>
        <v>2.3232342467579457E-3</v>
      </c>
      <c r="DL74" s="490">
        <f t="shared" si="376"/>
        <v>2.2792968238304415E-3</v>
      </c>
      <c r="DM74" s="490">
        <f t="shared" si="376"/>
        <v>2.0623517684666415E-2</v>
      </c>
      <c r="DN74" s="490">
        <f t="shared" si="376"/>
        <v>2.0173086831602755E-3</v>
      </c>
      <c r="DO74" s="490">
        <f t="shared" si="376"/>
        <v>2.124887981448804E-3</v>
      </c>
      <c r="DP74" s="490">
        <f t="shared" si="376"/>
        <v>2.5467553170807574E-3</v>
      </c>
      <c r="DQ74" s="490">
        <f t="shared" si="376"/>
        <v>2.3748116748806211E-3</v>
      </c>
      <c r="DR74" s="490">
        <f t="shared" si="376"/>
        <v>2.1607732064122405E-3</v>
      </c>
      <c r="DS74" s="490">
        <f t="shared" ref="DS74:FK74" si="377">SUM(DS71)/DS73</f>
        <v>2.1957837612189522E-3</v>
      </c>
      <c r="DT74" s="490">
        <f t="shared" si="377"/>
        <v>2.1312989947220623E-3</v>
      </c>
      <c r="DU74" s="490">
        <f t="shared" si="377"/>
        <v>2.1386943271132974E-3</v>
      </c>
      <c r="DV74" s="491">
        <f t="shared" si="377"/>
        <v>2.1687563537783803E-3</v>
      </c>
      <c r="DW74" s="491">
        <f t="shared" si="377"/>
        <v>2.3647698896991946E-3</v>
      </c>
      <c r="DX74" s="491">
        <f t="shared" si="377"/>
        <v>2.264373851404568E-3</v>
      </c>
      <c r="DY74" s="491">
        <f t="shared" si="377"/>
        <v>2.4110328864885718E-3</v>
      </c>
      <c r="DZ74" s="491">
        <f t="shared" si="377"/>
        <v>1.881681869193577E-3</v>
      </c>
      <c r="EA74" s="491">
        <f t="shared" si="377"/>
        <v>1.9868993869688479E-3</v>
      </c>
      <c r="EB74" s="491">
        <f t="shared" si="377"/>
        <v>1.9493684046368977E-3</v>
      </c>
      <c r="EC74" s="491">
        <f t="shared" si="377"/>
        <v>1.6123886632694413E-3</v>
      </c>
      <c r="ED74" s="491">
        <f t="shared" si="377"/>
        <v>1.8075154590137942E-3</v>
      </c>
      <c r="EE74" s="491">
        <f t="shared" si="377"/>
        <v>1.6827620508144403E-3</v>
      </c>
      <c r="EF74" s="491">
        <f t="shared" si="377"/>
        <v>2.7208578284878275E-3</v>
      </c>
      <c r="EG74" s="491">
        <f t="shared" si="377"/>
        <v>2.1106857940113763E-3</v>
      </c>
      <c r="EH74" s="491">
        <f t="shared" si="377"/>
        <v>2.0842695017831022E-3</v>
      </c>
      <c r="EI74" s="491">
        <f t="shared" si="377"/>
        <v>1.6951983298538623E-3</v>
      </c>
      <c r="EJ74" s="491">
        <f t="shared" si="377"/>
        <v>1.5274294166827448E-3</v>
      </c>
      <c r="EK74" s="491">
        <f t="shared" si="377"/>
        <v>1.6674128853962421E-3</v>
      </c>
      <c r="EL74" s="491">
        <f t="shared" si="377"/>
        <v>1.4353838056809301E-3</v>
      </c>
      <c r="EM74" s="491">
        <f t="shared" si="377"/>
        <v>1.4559231022120637E-3</v>
      </c>
      <c r="EN74" s="491">
        <f t="shared" si="377"/>
        <v>1.3355671814000538E-3</v>
      </c>
      <c r="EO74" s="491">
        <f t="shared" si="377"/>
        <v>1.4756166252806449E-3</v>
      </c>
      <c r="EP74" s="491">
        <f t="shared" si="377"/>
        <v>1.7006802721088435E-3</v>
      </c>
      <c r="EQ74" s="491">
        <f t="shared" si="377"/>
        <v>1.0247923846539238E-3</v>
      </c>
      <c r="ER74" s="491">
        <f t="shared" si="377"/>
        <v>9.3618723744748951E-4</v>
      </c>
      <c r="ES74" s="491">
        <f t="shared" si="377"/>
        <v>1.0311979646518861E-3</v>
      </c>
      <c r="ET74" s="491">
        <f t="shared" si="377"/>
        <v>8.2157629327440646E-4</v>
      </c>
      <c r="EU74" s="491">
        <f t="shared" si="377"/>
        <v>8.6060418827371623E-4</v>
      </c>
      <c r="EV74" s="491">
        <f t="shared" si="377"/>
        <v>9.0364765088344419E-4</v>
      </c>
      <c r="EW74" s="491">
        <f t="shared" si="377"/>
        <v>7.9804369472266147E-4</v>
      </c>
      <c r="EX74" s="491">
        <f t="shared" si="377"/>
        <v>8.1970239633718568E-4</v>
      </c>
      <c r="EY74" s="491">
        <f t="shared" si="377"/>
        <v>7.8135839522129971E-4</v>
      </c>
      <c r="EZ74" s="491">
        <f t="shared" si="377"/>
        <v>8.2918114592834364E-4</v>
      </c>
      <c r="FA74" s="491">
        <f t="shared" si="377"/>
        <v>7.6989847907310257E-4</v>
      </c>
      <c r="FB74" s="491">
        <f t="shared" si="377"/>
        <v>1.1109053878911312E-3</v>
      </c>
      <c r="FC74" s="491">
        <f t="shared" si="377"/>
        <v>1.2552331613736459E-3</v>
      </c>
      <c r="FD74" s="491">
        <f t="shared" si="377"/>
        <v>1.165785763235213E-3</v>
      </c>
      <c r="FE74" s="491">
        <f t="shared" si="377"/>
        <v>6.4031578868072351E-4</v>
      </c>
      <c r="FF74" s="491">
        <f t="shared" si="377"/>
        <v>5.9111756829900578E-4</v>
      </c>
      <c r="FG74" s="491">
        <f t="shared" si="377"/>
        <v>6.4489696822554699E-4</v>
      </c>
      <c r="FH74" s="491">
        <f t="shared" si="377"/>
        <v>5.2974981056415002E-4</v>
      </c>
      <c r="FI74" s="491">
        <f t="shared" si="377"/>
        <v>5.4591183523860901E-4</v>
      </c>
      <c r="FJ74" s="491">
        <f t="shared" si="377"/>
        <v>4.7350434388767655E-4</v>
      </c>
      <c r="FK74" s="491">
        <f t="shared" si="377"/>
        <v>5.4118625386915175E-4</v>
      </c>
      <c r="FL74" s="491">
        <f t="shared" ref="FL74:FQ74" si="378">SUM(FL71)/FL73</f>
        <v>5.1001672854869638E-4</v>
      </c>
      <c r="FM74" s="491">
        <f t="shared" si="378"/>
        <v>5.6325491804988634E-4</v>
      </c>
      <c r="FN74" s="491">
        <f t="shared" si="378"/>
        <v>5.7248348481632287E-4</v>
      </c>
      <c r="FO74" s="491">
        <f t="shared" si="378"/>
        <v>5.207764068999659E-4</v>
      </c>
      <c r="FP74" s="491">
        <f t="shared" si="378"/>
        <v>4.7620739898361706E-4</v>
      </c>
      <c r="FQ74" s="491">
        <f t="shared" si="378"/>
        <v>3.5225859925404064E-4</v>
      </c>
      <c r="FR74" s="491">
        <f t="shared" ref="FR74:FT74" si="379">SUM(FR71)/FR73</f>
        <v>3.2561578693873674E-4</v>
      </c>
      <c r="FS74" s="491">
        <f t="shared" si="379"/>
        <v>2.6368488943051191E-4</v>
      </c>
      <c r="FT74" s="491">
        <f t="shared" si="379"/>
        <v>2.7229760831934028E-4</v>
      </c>
    </row>
    <row r="75" spans="2:176" s="496" customFormat="1" ht="13.5" hidden="1" customHeight="1" thickBot="1" x14ac:dyDescent="0.3">
      <c r="B75" s="544" t="s">
        <v>11</v>
      </c>
      <c r="C75" s="545">
        <f t="shared" ref="C75:Q75" si="380">SUM(C72/C73)</f>
        <v>7.3501572616235009E-2</v>
      </c>
      <c r="D75" s="546">
        <f t="shared" si="380"/>
        <v>0.31350379531979483</v>
      </c>
      <c r="E75" s="546">
        <f t="shared" si="380"/>
        <v>0.43699611015334566</v>
      </c>
      <c r="F75" s="546">
        <f t="shared" si="380"/>
        <v>0.5049193911974148</v>
      </c>
      <c r="G75" s="546">
        <f t="shared" si="380"/>
        <v>0.73275216700189749</v>
      </c>
      <c r="H75" s="546">
        <f t="shared" si="380"/>
        <v>0.23741144633777289</v>
      </c>
      <c r="I75" s="546">
        <f t="shared" si="380"/>
        <v>0.90006942796808398</v>
      </c>
      <c r="J75" s="546">
        <f t="shared" si="380"/>
        <v>0.84092915626556408</v>
      </c>
      <c r="K75" s="546">
        <f t="shared" si="380"/>
        <v>0.86708215855445558</v>
      </c>
      <c r="L75" s="546">
        <f t="shared" si="380"/>
        <v>0.72812995887640042</v>
      </c>
      <c r="M75" s="546">
        <f t="shared" si="380"/>
        <v>0.84885359740209132</v>
      </c>
      <c r="N75" s="547">
        <f t="shared" si="380"/>
        <v>0.83562354941555106</v>
      </c>
      <c r="O75" s="545">
        <f t="shared" si="380"/>
        <v>0.83340348801492592</v>
      </c>
      <c r="P75" s="546">
        <f t="shared" si="380"/>
        <v>0.84294498301638854</v>
      </c>
      <c r="Q75" s="546">
        <f t="shared" si="380"/>
        <v>0.83910922373044161</v>
      </c>
      <c r="R75" s="546">
        <f t="shared" ref="R75:W75" si="381">SUM(R72/R73)</f>
        <v>0.83716018428170891</v>
      </c>
      <c r="S75" s="546">
        <f t="shared" si="381"/>
        <v>0.81986734416818585</v>
      </c>
      <c r="T75" s="546">
        <f t="shared" si="381"/>
        <v>0.84152905645671972</v>
      </c>
      <c r="U75" s="546">
        <f t="shared" si="381"/>
        <v>0.86194952993567542</v>
      </c>
      <c r="V75" s="546">
        <f t="shared" si="381"/>
        <v>0.88447855778359885</v>
      </c>
      <c r="W75" s="546">
        <f t="shared" si="381"/>
        <v>0.87644500400595171</v>
      </c>
      <c r="X75" s="546">
        <f t="shared" ref="X75:AC75" si="382">SUM(X72/X73)</f>
        <v>0.87196204999350169</v>
      </c>
      <c r="Y75" s="546">
        <f t="shared" si="382"/>
        <v>0.86547572048953814</v>
      </c>
      <c r="Z75" s="547">
        <f t="shared" si="382"/>
        <v>0.8513869438413012</v>
      </c>
      <c r="AA75" s="545">
        <f t="shared" si="382"/>
        <v>0.87299847224975802</v>
      </c>
      <c r="AB75" s="546">
        <f t="shared" si="382"/>
        <v>0.87698816072709873</v>
      </c>
      <c r="AC75" s="546">
        <f t="shared" si="382"/>
        <v>0.90124356416719431</v>
      </c>
      <c r="AD75" s="546">
        <f t="shared" ref="AD75:AI75" si="383">SUM(AD72/AD73)</f>
        <v>0.86862354751718973</v>
      </c>
      <c r="AE75" s="546">
        <f t="shared" si="383"/>
        <v>0.90183012414319397</v>
      </c>
      <c r="AF75" s="546">
        <f t="shared" si="383"/>
        <v>0.90729034018555577</v>
      </c>
      <c r="AG75" s="546">
        <f t="shared" si="383"/>
        <v>0.91383080179572473</v>
      </c>
      <c r="AH75" s="546">
        <f t="shared" si="383"/>
        <v>0.9253280111482457</v>
      </c>
      <c r="AI75" s="546">
        <f t="shared" si="383"/>
        <v>0.92070657793181787</v>
      </c>
      <c r="AJ75" s="546">
        <f t="shared" ref="AJ75:AO75" si="384">SUM(AJ72/AJ73)</f>
        <v>0.92936225394844696</v>
      </c>
      <c r="AK75" s="546">
        <f t="shared" si="384"/>
        <v>0.93191955234774149</v>
      </c>
      <c r="AL75" s="547">
        <f t="shared" si="384"/>
        <v>0.91783346710663216</v>
      </c>
      <c r="AM75" s="545">
        <f t="shared" si="384"/>
        <v>0.92885166197318703</v>
      </c>
      <c r="AN75" s="546">
        <f t="shared" si="384"/>
        <v>0.93856941321078879</v>
      </c>
      <c r="AO75" s="546">
        <f t="shared" si="384"/>
        <v>0.92075444940792739</v>
      </c>
      <c r="AP75" s="546">
        <f t="shared" ref="AP75:AU75" si="385">SUM(AP72/AP73)</f>
        <v>0.92577858439201455</v>
      </c>
      <c r="AQ75" s="546">
        <f t="shared" si="385"/>
        <v>0.92115639130914306</v>
      </c>
      <c r="AR75" s="546">
        <f t="shared" si="385"/>
        <v>0.94038607115821349</v>
      </c>
      <c r="AS75" s="546">
        <f t="shared" si="385"/>
        <v>0.93434844192634559</v>
      </c>
      <c r="AT75" s="546">
        <f t="shared" si="385"/>
        <v>0.95059582609130577</v>
      </c>
      <c r="AU75" s="546">
        <f t="shared" si="385"/>
        <v>0.94613837440307991</v>
      </c>
      <c r="AV75" s="546">
        <f>SUM(AV72/AV73)</f>
        <v>0.93542659325779542</v>
      </c>
      <c r="AW75" s="546">
        <f>SUM(AW72/AW73)</f>
        <v>0.9218904260638775</v>
      </c>
      <c r="AX75" s="547">
        <f>SUM(AX72/AX73)</f>
        <v>0.94261892467159536</v>
      </c>
      <c r="AY75" s="545">
        <f t="shared" ref="AY75:BG75" si="386">SUM(AY72/AY73)</f>
        <v>0.94280973192792206</v>
      </c>
      <c r="AZ75" s="546">
        <f t="shared" si="386"/>
        <v>0.94700876377264909</v>
      </c>
      <c r="BA75" s="546">
        <f t="shared" si="386"/>
        <v>0.95580437548018182</v>
      </c>
      <c r="BB75" s="546">
        <f t="shared" si="386"/>
        <v>0.97549559471365643</v>
      </c>
      <c r="BC75" s="546">
        <f t="shared" si="386"/>
        <v>0.96480363721878182</v>
      </c>
      <c r="BD75" s="546">
        <f t="shared" si="386"/>
        <v>0.93888126323405796</v>
      </c>
      <c r="BE75" s="546">
        <f t="shared" si="386"/>
        <v>0.9698319916397754</v>
      </c>
      <c r="BF75" s="546">
        <f t="shared" si="386"/>
        <v>0.98229458701746819</v>
      </c>
      <c r="BG75" s="546">
        <f t="shared" si="386"/>
        <v>0.97632281285962641</v>
      </c>
      <c r="BH75" s="546">
        <f t="shared" ref="BH75:BM75" si="387">SUM(BH72/BH73)</f>
        <v>0.96725745263938923</v>
      </c>
      <c r="BI75" s="546">
        <f t="shared" si="387"/>
        <v>0.94985384082210766</v>
      </c>
      <c r="BJ75" s="547">
        <f t="shared" si="387"/>
        <v>0.98495249175877453</v>
      </c>
      <c r="BK75" s="545">
        <f t="shared" si="387"/>
        <v>0.96756354086438301</v>
      </c>
      <c r="BL75" s="546">
        <f t="shared" si="387"/>
        <v>0.95060666604919486</v>
      </c>
      <c r="BM75" s="546">
        <f t="shared" si="387"/>
        <v>0.96344319274286983</v>
      </c>
      <c r="BN75" s="546">
        <f t="shared" ref="BN75:BS75" si="388">SUM(BN72/BN73)</f>
        <v>0.94909167169108977</v>
      </c>
      <c r="BO75" s="546">
        <f t="shared" si="388"/>
        <v>0.97883233112464407</v>
      </c>
      <c r="BP75" s="546">
        <f t="shared" si="388"/>
        <v>0.9803109437629054</v>
      </c>
      <c r="BQ75" s="546">
        <f t="shared" si="388"/>
        <v>0.98120099074317157</v>
      </c>
      <c r="BR75" s="546">
        <f t="shared" si="388"/>
        <v>0.98362986970037702</v>
      </c>
      <c r="BS75" s="546">
        <f t="shared" si="388"/>
        <v>0.97827301013217027</v>
      </c>
      <c r="BT75" s="546">
        <f>SUM(BT72/BT73)</f>
        <v>0.97540514775977116</v>
      </c>
      <c r="BU75" s="546">
        <f>SUM(BU72/BU73)</f>
        <v>0.98291316175456633</v>
      </c>
      <c r="BV75" s="546">
        <f>SUM(BV72/BV73)</f>
        <v>0.96642876024319324</v>
      </c>
      <c r="BW75" s="545">
        <f t="shared" ref="BW75:CB75" si="389">SUM(BW72/BW73)</f>
        <v>0.97362975359876969</v>
      </c>
      <c r="BX75" s="546">
        <f t="shared" si="389"/>
        <v>0.97356122149358915</v>
      </c>
      <c r="BY75" s="546">
        <f t="shared" si="389"/>
        <v>0.96142440082620784</v>
      </c>
      <c r="BZ75" s="546">
        <f t="shared" si="389"/>
        <v>0.98136146247709288</v>
      </c>
      <c r="CA75" s="546">
        <f t="shared" si="389"/>
        <v>0.98268127392858284</v>
      </c>
      <c r="CB75" s="546">
        <f t="shared" si="389"/>
        <v>0.9798371819159285</v>
      </c>
      <c r="CC75" s="546">
        <f t="shared" ref="CC75:DR75" si="390">SUM(CC72/CC73)</f>
        <v>0.99056728165285568</v>
      </c>
      <c r="CD75" s="546">
        <f t="shared" si="390"/>
        <v>0.9881821412254429</v>
      </c>
      <c r="CE75" s="546">
        <f t="shared" si="390"/>
        <v>0.9869369045294305</v>
      </c>
      <c r="CF75" s="546">
        <f t="shared" si="390"/>
        <v>0.9853650478399627</v>
      </c>
      <c r="CG75" s="546">
        <f t="shared" si="390"/>
        <v>0.98492908094457376</v>
      </c>
      <c r="CH75" s="546">
        <f t="shared" si="390"/>
        <v>0.98242789537479192</v>
      </c>
      <c r="CI75" s="548">
        <f t="shared" si="390"/>
        <v>0.98413430140985747</v>
      </c>
      <c r="CJ75" s="492">
        <f t="shared" si="390"/>
        <v>0.97639221775872354</v>
      </c>
      <c r="CK75" s="492">
        <f t="shared" si="390"/>
        <v>0.96343920422780349</v>
      </c>
      <c r="CL75" s="492">
        <f t="shared" si="390"/>
        <v>0.96810806826915985</v>
      </c>
      <c r="CM75" s="492">
        <f t="shared" si="390"/>
        <v>0.96715907827018943</v>
      </c>
      <c r="CN75" s="492">
        <f t="shared" si="390"/>
        <v>0.97543572113847132</v>
      </c>
      <c r="CO75" s="492">
        <f t="shared" si="390"/>
        <v>0.97686219354127024</v>
      </c>
      <c r="CP75" s="492">
        <f t="shared" si="390"/>
        <v>0.9831533010290836</v>
      </c>
      <c r="CQ75" s="492">
        <f t="shared" si="390"/>
        <v>0.98968793710509817</v>
      </c>
      <c r="CR75" s="492">
        <f t="shared" si="390"/>
        <v>0.98961355460136935</v>
      </c>
      <c r="CS75" s="492">
        <f t="shared" si="390"/>
        <v>0.99605134285272434</v>
      </c>
      <c r="CT75" s="549">
        <f t="shared" si="390"/>
        <v>0.99662642045454541</v>
      </c>
      <c r="CU75" s="492">
        <f t="shared" si="390"/>
        <v>0.99656373388959252</v>
      </c>
      <c r="CV75" s="492">
        <f t="shared" si="390"/>
        <v>0.99687643816032978</v>
      </c>
      <c r="CW75" s="492">
        <f t="shared" si="390"/>
        <v>0.99704384956478898</v>
      </c>
      <c r="CX75" s="492">
        <f t="shared" si="390"/>
        <v>0.99736552839324488</v>
      </c>
      <c r="CY75" s="492">
        <f t="shared" si="390"/>
        <v>0.99713122770414386</v>
      </c>
      <c r="CZ75" s="492">
        <f t="shared" si="390"/>
        <v>0.99742763646177723</v>
      </c>
      <c r="DA75" s="492">
        <f t="shared" si="390"/>
        <v>0.9975670936836718</v>
      </c>
      <c r="DB75" s="492">
        <f t="shared" si="390"/>
        <v>0.99787128800325053</v>
      </c>
      <c r="DC75" s="492">
        <f t="shared" si="390"/>
        <v>0.99757415095283353</v>
      </c>
      <c r="DD75" s="492">
        <f t="shared" si="390"/>
        <v>0.99724060142803916</v>
      </c>
      <c r="DE75" s="492">
        <f t="shared" si="390"/>
        <v>0.99728174916969792</v>
      </c>
      <c r="DF75" s="549">
        <f t="shared" si="390"/>
        <v>0.99663173262422444</v>
      </c>
      <c r="DG75" s="492">
        <f t="shared" si="390"/>
        <v>0.99657902453328118</v>
      </c>
      <c r="DH75" s="492">
        <f t="shared" si="390"/>
        <v>0.99749083919593229</v>
      </c>
      <c r="DI75" s="492">
        <f t="shared" si="390"/>
        <v>0.99735702988429198</v>
      </c>
      <c r="DJ75" s="492">
        <f t="shared" si="390"/>
        <v>0.99750419966402692</v>
      </c>
      <c r="DK75" s="492">
        <f t="shared" si="390"/>
        <v>0.99767676575324205</v>
      </c>
      <c r="DL75" s="492">
        <f t="shared" si="390"/>
        <v>0.99772070317616957</v>
      </c>
      <c r="DM75" s="492">
        <f t="shared" si="390"/>
        <v>0.97937648231533359</v>
      </c>
      <c r="DN75" s="492">
        <f t="shared" si="390"/>
        <v>0.9979826913168397</v>
      </c>
      <c r="DO75" s="492">
        <f t="shared" si="390"/>
        <v>0.99787511201855117</v>
      </c>
      <c r="DP75" s="492">
        <f t="shared" si="390"/>
        <v>0.99745324468291929</v>
      </c>
      <c r="DQ75" s="492">
        <f t="shared" si="390"/>
        <v>0.99762518832511937</v>
      </c>
      <c r="DR75" s="492">
        <f t="shared" si="390"/>
        <v>0.99783922679358772</v>
      </c>
      <c r="DS75" s="492">
        <f t="shared" ref="DS75:FK75" si="391">SUM(DS72/DS73)</f>
        <v>0.99780421623878102</v>
      </c>
      <c r="DT75" s="492">
        <f t="shared" si="391"/>
        <v>0.99786870100527791</v>
      </c>
      <c r="DU75" s="492">
        <f t="shared" si="391"/>
        <v>0.99786130567288667</v>
      </c>
      <c r="DV75" s="493">
        <f t="shared" si="391"/>
        <v>0.99783124364622167</v>
      </c>
      <c r="DW75" s="493">
        <f t="shared" si="391"/>
        <v>0.99763523011030075</v>
      </c>
      <c r="DX75" s="493">
        <f t="shared" si="391"/>
        <v>0.99773562614859546</v>
      </c>
      <c r="DY75" s="493">
        <f t="shared" si="391"/>
        <v>0.99758896711351142</v>
      </c>
      <c r="DZ75" s="493">
        <f t="shared" si="391"/>
        <v>0.99811831813080643</v>
      </c>
      <c r="EA75" s="493">
        <f t="shared" si="391"/>
        <v>0.99801310061303117</v>
      </c>
      <c r="EB75" s="493">
        <f t="shared" si="391"/>
        <v>0.99805063159536311</v>
      </c>
      <c r="EC75" s="493">
        <f t="shared" si="391"/>
        <v>0.9983876113367306</v>
      </c>
      <c r="ED75" s="493">
        <f t="shared" si="391"/>
        <v>0.99819248454098619</v>
      </c>
      <c r="EE75" s="493">
        <f t="shared" si="391"/>
        <v>0.99831723794918559</v>
      </c>
      <c r="EF75" s="493">
        <f t="shared" si="391"/>
        <v>0.99727914217151215</v>
      </c>
      <c r="EG75" s="493">
        <f t="shared" si="391"/>
        <v>0.99788931420598859</v>
      </c>
      <c r="EH75" s="493">
        <f t="shared" si="391"/>
        <v>0.99791573049821691</v>
      </c>
      <c r="EI75" s="493">
        <f t="shared" si="391"/>
        <v>0.99830480167014612</v>
      </c>
      <c r="EJ75" s="493">
        <f t="shared" si="391"/>
        <v>0.99847257058331729</v>
      </c>
      <c r="EK75" s="493">
        <f t="shared" si="391"/>
        <v>0.99833258711460371</v>
      </c>
      <c r="EL75" s="493">
        <f t="shared" si="391"/>
        <v>0.99856461619431902</v>
      </c>
      <c r="EM75" s="493">
        <f t="shared" si="391"/>
        <v>0.9985440768977879</v>
      </c>
      <c r="EN75" s="493">
        <f t="shared" si="391"/>
        <v>0.99866443281859996</v>
      </c>
      <c r="EO75" s="493">
        <f t="shared" si="391"/>
        <v>0.99852438337471938</v>
      </c>
      <c r="EP75" s="493">
        <f t="shared" si="391"/>
        <v>0.99829931972789121</v>
      </c>
      <c r="EQ75" s="493">
        <f t="shared" si="391"/>
        <v>0.99897520761534608</v>
      </c>
      <c r="ER75" s="493">
        <f t="shared" si="391"/>
        <v>0.99906381276255252</v>
      </c>
      <c r="ES75" s="493">
        <f t="shared" si="391"/>
        <v>0.9989688020353481</v>
      </c>
      <c r="ET75" s="493">
        <f t="shared" si="391"/>
        <v>0.9991784237067256</v>
      </c>
      <c r="EU75" s="493">
        <f t="shared" si="391"/>
        <v>0.99913939581172628</v>
      </c>
      <c r="EV75" s="493">
        <f t="shared" si="391"/>
        <v>0.99909635234911653</v>
      </c>
      <c r="EW75" s="493">
        <f t="shared" si="391"/>
        <v>0.99920195630527731</v>
      </c>
      <c r="EX75" s="493">
        <f t="shared" si="391"/>
        <v>0.99918029760366278</v>
      </c>
      <c r="EY75" s="493">
        <f t="shared" si="391"/>
        <v>0.99921864160477869</v>
      </c>
      <c r="EZ75" s="493">
        <f t="shared" si="391"/>
        <v>0.99917081885407166</v>
      </c>
      <c r="FA75" s="493">
        <f t="shared" si="391"/>
        <v>0.99923010152092695</v>
      </c>
      <c r="FB75" s="493">
        <f t="shared" si="391"/>
        <v>0.99888909461210884</v>
      </c>
      <c r="FC75" s="493">
        <f t="shared" si="391"/>
        <v>0.99874476683862634</v>
      </c>
      <c r="FD75" s="493">
        <f t="shared" si="391"/>
        <v>0.99883421423676477</v>
      </c>
      <c r="FE75" s="493">
        <f t="shared" si="391"/>
        <v>0.99935968421131927</v>
      </c>
      <c r="FF75" s="493">
        <f t="shared" si="391"/>
        <v>0.99940888243170101</v>
      </c>
      <c r="FG75" s="493">
        <f t="shared" si="391"/>
        <v>0.99935510303177444</v>
      </c>
      <c r="FH75" s="493">
        <f t="shared" si="391"/>
        <v>0.9994702501894358</v>
      </c>
      <c r="FI75" s="493">
        <f t="shared" si="391"/>
        <v>0.99945408816476144</v>
      </c>
      <c r="FJ75" s="493">
        <f t="shared" si="391"/>
        <v>0.99952649565611229</v>
      </c>
      <c r="FK75" s="493">
        <f t="shared" si="391"/>
        <v>0.99945881374613088</v>
      </c>
      <c r="FL75" s="493">
        <f t="shared" ref="FL75:FQ75" si="392">SUM(FL72/FL73)</f>
        <v>0.99948998327145133</v>
      </c>
      <c r="FM75" s="493">
        <f t="shared" si="392"/>
        <v>0.99943674508195013</v>
      </c>
      <c r="FN75" s="493">
        <f t="shared" si="392"/>
        <v>0.99942751651518369</v>
      </c>
      <c r="FO75" s="493">
        <f t="shared" si="392"/>
        <v>0.99947922359310004</v>
      </c>
      <c r="FP75" s="493">
        <f t="shared" si="392"/>
        <v>0.99952379260101643</v>
      </c>
      <c r="FQ75" s="493">
        <f t="shared" si="392"/>
        <v>0.99964774140074597</v>
      </c>
      <c r="FR75" s="493">
        <f t="shared" ref="FR75:FT75" si="393">SUM(FR72/FR73)</f>
        <v>0.99967438421306132</v>
      </c>
      <c r="FS75" s="493">
        <f t="shared" si="393"/>
        <v>0.99973631511056948</v>
      </c>
      <c r="FT75" s="493">
        <f t="shared" si="393"/>
        <v>0.99972770239168063</v>
      </c>
    </row>
    <row r="76" spans="2:176" s="345" customFormat="1" ht="13.5" hidden="1" customHeight="1" x14ac:dyDescent="0.25">
      <c r="B76" s="443"/>
      <c r="C76" s="463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463"/>
      <c r="P76" s="342"/>
      <c r="Q76" s="342"/>
      <c r="R76" s="342"/>
      <c r="S76" s="342"/>
      <c r="T76" s="343"/>
      <c r="U76" s="342"/>
      <c r="V76" s="342"/>
      <c r="W76" s="342"/>
      <c r="X76" s="342"/>
      <c r="Y76" s="342"/>
      <c r="Z76" s="344"/>
      <c r="AA76" s="463"/>
      <c r="AB76" s="342"/>
      <c r="AC76" s="342"/>
      <c r="AD76" s="342"/>
      <c r="AE76" s="342"/>
      <c r="AF76" s="343"/>
      <c r="AG76" s="342"/>
      <c r="AH76" s="342"/>
      <c r="AI76" s="342"/>
      <c r="AJ76" s="342"/>
      <c r="AK76" s="342"/>
      <c r="AL76" s="344"/>
      <c r="AM76" s="463"/>
      <c r="AN76" s="342"/>
      <c r="AO76" s="342"/>
      <c r="AP76" s="342"/>
      <c r="AQ76" s="342"/>
      <c r="AR76" s="343"/>
      <c r="AS76" s="342"/>
      <c r="AT76" s="342"/>
      <c r="AU76" s="342"/>
      <c r="AV76" s="342"/>
      <c r="AW76" s="342"/>
      <c r="AX76" s="344"/>
      <c r="AY76" s="463"/>
      <c r="AZ76" s="342"/>
      <c r="BA76" s="342"/>
      <c r="BB76" s="342"/>
      <c r="BC76" s="342"/>
      <c r="BD76" s="343"/>
      <c r="BE76" s="342"/>
      <c r="BF76" s="342"/>
      <c r="BG76" s="342"/>
      <c r="BH76" s="342"/>
      <c r="BI76" s="342"/>
      <c r="BJ76" s="344"/>
      <c r="BK76" s="463"/>
      <c r="BL76" s="342"/>
      <c r="BM76" s="342"/>
      <c r="BN76" s="342"/>
      <c r="BO76" s="342"/>
      <c r="BP76" s="343"/>
      <c r="BQ76" s="342"/>
      <c r="BR76" s="342"/>
      <c r="BS76" s="342"/>
      <c r="BT76" s="342"/>
      <c r="BU76" s="342"/>
      <c r="BV76" s="344"/>
      <c r="BW76" s="463"/>
      <c r="BX76" s="342"/>
      <c r="BY76" s="342"/>
      <c r="BZ76" s="342"/>
      <c r="CA76" s="342"/>
      <c r="CB76" s="343"/>
      <c r="CC76" s="342"/>
      <c r="CD76" s="342"/>
      <c r="CE76" s="342"/>
      <c r="CF76" s="342"/>
      <c r="CG76" s="342"/>
      <c r="CH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464"/>
      <c r="DW76" s="464"/>
      <c r="DX76" s="464"/>
      <c r="DZ76" s="364"/>
    </row>
    <row r="77" spans="2:176" s="345" customFormat="1" ht="13.5" customHeight="1" x14ac:dyDescent="0.25">
      <c r="B77" s="340" t="s">
        <v>55</v>
      </c>
      <c r="C77" s="463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463"/>
      <c r="P77" s="342"/>
      <c r="Q77" s="342"/>
      <c r="R77" s="342"/>
      <c r="S77" s="342"/>
      <c r="T77" s="343"/>
      <c r="U77" s="342"/>
      <c r="V77" s="342"/>
      <c r="W77" s="342"/>
      <c r="X77" s="342"/>
      <c r="Y77" s="342"/>
      <c r="Z77" s="344"/>
      <c r="AA77" s="463"/>
      <c r="AB77" s="342"/>
      <c r="AC77" s="342"/>
      <c r="AD77" s="342"/>
      <c r="AE77" s="342"/>
      <c r="AF77" s="343"/>
      <c r="AG77" s="342"/>
      <c r="AH77" s="342"/>
      <c r="AI77" s="342"/>
      <c r="AJ77" s="342"/>
      <c r="AK77" s="342"/>
      <c r="AL77" s="344"/>
      <c r="AM77" s="463"/>
      <c r="AN77" s="342"/>
      <c r="AO77" s="342"/>
      <c r="AP77" s="342"/>
      <c r="AQ77" s="342"/>
      <c r="AR77" s="343"/>
      <c r="AS77" s="342"/>
      <c r="AT77" s="342"/>
      <c r="AU77" s="342"/>
      <c r="AV77" s="342"/>
      <c r="AW77" s="342"/>
      <c r="AX77" s="344"/>
      <c r="AY77" s="463"/>
      <c r="AZ77" s="342"/>
      <c r="BA77" s="342"/>
      <c r="BB77" s="342"/>
      <c r="BC77" s="342"/>
      <c r="BD77" s="343"/>
      <c r="BE77" s="342"/>
      <c r="BF77" s="342"/>
      <c r="BG77" s="342"/>
      <c r="BH77" s="342"/>
      <c r="BI77" s="342"/>
      <c r="BJ77" s="344"/>
      <c r="BK77" s="463"/>
      <c r="BL77" s="342"/>
      <c r="BM77" s="342"/>
      <c r="BN77" s="342"/>
      <c r="BO77" s="342"/>
      <c r="BP77" s="343"/>
      <c r="BQ77" s="342"/>
      <c r="BR77" s="342"/>
      <c r="BS77" s="342"/>
      <c r="BT77" s="342"/>
      <c r="BU77" s="342"/>
      <c r="BV77" s="344"/>
      <c r="BW77" s="463"/>
      <c r="BX77" s="342"/>
      <c r="BY77" s="342"/>
      <c r="BZ77" s="342"/>
      <c r="CA77" s="342"/>
      <c r="CB77" s="343"/>
      <c r="CC77" s="342"/>
      <c r="CD77" s="342"/>
      <c r="CE77" s="342"/>
      <c r="CF77" s="342"/>
      <c r="CG77" s="342"/>
      <c r="CH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408"/>
      <c r="DW77" s="408"/>
      <c r="DX77" s="408"/>
      <c r="DZ77" s="364"/>
    </row>
    <row r="78" spans="2:176" s="387" customFormat="1" ht="13.5" customHeight="1" x14ac:dyDescent="0.25">
      <c r="B78" s="443" t="s">
        <v>1</v>
      </c>
      <c r="C78" s="465">
        <f>D78</f>
        <v>629.01300000000003</v>
      </c>
      <c r="D78" s="466">
        <v>629.01300000000003</v>
      </c>
      <c r="E78" s="466">
        <v>617.40100000000007</v>
      </c>
      <c r="F78" s="466">
        <v>4225.9960000000001</v>
      </c>
      <c r="G78" s="466">
        <v>4218.9579999999996</v>
      </c>
      <c r="H78" s="466">
        <v>9361.6309999999994</v>
      </c>
      <c r="I78" s="466">
        <v>5332.7869999999994</v>
      </c>
      <c r="J78" s="466">
        <v>5288.6549999999997</v>
      </c>
      <c r="K78" s="466">
        <v>5265.3990000000003</v>
      </c>
      <c r="L78" s="466">
        <v>5230.1660000000002</v>
      </c>
      <c r="M78" s="466">
        <v>5218.8670000000002</v>
      </c>
      <c r="N78" s="467">
        <v>5239.45</v>
      </c>
      <c r="O78" s="465">
        <v>5124</v>
      </c>
      <c r="P78" s="466">
        <v>4658</v>
      </c>
      <c r="Q78" s="466">
        <v>4840</v>
      </c>
      <c r="R78" s="466">
        <v>4772</v>
      </c>
      <c r="S78" s="466">
        <v>4315</v>
      </c>
      <c r="T78" s="466">
        <v>4254</v>
      </c>
      <c r="U78" s="466">
        <f>4311</f>
        <v>4311</v>
      </c>
      <c r="V78" s="466">
        <v>4194</v>
      </c>
      <c r="W78" s="466">
        <v>4142</v>
      </c>
      <c r="X78" s="466">
        <v>4332</v>
      </c>
      <c r="Y78" s="466">
        <v>3624</v>
      </c>
      <c r="Z78" s="467">
        <v>4032</v>
      </c>
      <c r="AA78" s="465">
        <v>3588</v>
      </c>
      <c r="AB78" s="466">
        <v>2789</v>
      </c>
      <c r="AC78" s="466">
        <v>3180</v>
      </c>
      <c r="AD78" s="466">
        <v>2845</v>
      </c>
      <c r="AE78" s="466">
        <v>2696</v>
      </c>
      <c r="AF78" s="466">
        <v>2891</v>
      </c>
      <c r="AG78" s="466">
        <v>2710</v>
      </c>
      <c r="AH78" s="466">
        <v>2825</v>
      </c>
      <c r="AI78" s="466">
        <v>2613</v>
      </c>
      <c r="AJ78" s="466">
        <f>2588</f>
        <v>2588</v>
      </c>
      <c r="AK78" s="466">
        <v>2425</v>
      </c>
      <c r="AL78" s="467">
        <v>2417</v>
      </c>
      <c r="AM78" s="465">
        <v>2498</v>
      </c>
      <c r="AN78" s="466">
        <v>2223</v>
      </c>
      <c r="AO78" s="466">
        <v>2506</v>
      </c>
      <c r="AP78" s="466">
        <v>2353</v>
      </c>
      <c r="AQ78" s="466">
        <v>2298</v>
      </c>
      <c r="AR78" s="466">
        <v>2361</v>
      </c>
      <c r="AS78" s="466">
        <v>2236</v>
      </c>
      <c r="AT78" s="466">
        <v>2472</v>
      </c>
      <c r="AU78" s="466">
        <v>2266</v>
      </c>
      <c r="AV78" s="466">
        <v>2241</v>
      </c>
      <c r="AW78" s="466">
        <v>2120</v>
      </c>
      <c r="AX78" s="467">
        <v>2128</v>
      </c>
      <c r="AY78" s="465">
        <v>2189</v>
      </c>
      <c r="AZ78" s="466">
        <v>2026</v>
      </c>
      <c r="BA78" s="466">
        <v>2347</v>
      </c>
      <c r="BB78" s="466">
        <v>2029</v>
      </c>
      <c r="BC78" s="466">
        <v>2149</v>
      </c>
      <c r="BD78" s="466">
        <v>2115</v>
      </c>
      <c r="BE78" s="466">
        <v>1913</v>
      </c>
      <c r="BF78" s="466">
        <v>2093</v>
      </c>
      <c r="BG78" s="466">
        <v>1826</v>
      </c>
      <c r="BH78" s="466">
        <v>1876</v>
      </c>
      <c r="BI78" s="466">
        <v>1680</v>
      </c>
      <c r="BJ78" s="467">
        <v>1589</v>
      </c>
      <c r="BK78" s="465">
        <v>1710</v>
      </c>
      <c r="BL78" s="466">
        <v>1601</v>
      </c>
      <c r="BM78" s="466">
        <v>1720</v>
      </c>
      <c r="BN78" s="466">
        <v>1563</v>
      </c>
      <c r="BO78" s="466">
        <v>1676</v>
      </c>
      <c r="BP78" s="466">
        <v>1589</v>
      </c>
      <c r="BQ78" s="466">
        <v>1550</v>
      </c>
      <c r="BR78" s="466">
        <v>1607</v>
      </c>
      <c r="BS78" s="466">
        <v>1356</v>
      </c>
      <c r="BT78" s="466">
        <v>1439</v>
      </c>
      <c r="BU78" s="466">
        <v>1428</v>
      </c>
      <c r="BV78" s="467">
        <v>1392</v>
      </c>
      <c r="BW78" s="465">
        <v>1387</v>
      </c>
      <c r="BX78" s="466">
        <v>1364</v>
      </c>
      <c r="BY78" s="466">
        <v>1344</v>
      </c>
      <c r="BZ78" s="466">
        <v>1326</v>
      </c>
      <c r="CA78" s="466">
        <v>1305</v>
      </c>
      <c r="CB78" s="466">
        <v>1268</v>
      </c>
      <c r="CC78" s="466">
        <v>1235</v>
      </c>
      <c r="CD78" s="466">
        <v>1221</v>
      </c>
      <c r="CE78" s="466">
        <v>1209</v>
      </c>
      <c r="CF78" s="466">
        <v>1199</v>
      </c>
      <c r="CG78" s="466">
        <v>1179</v>
      </c>
      <c r="CH78" s="467">
        <v>1157</v>
      </c>
      <c r="CI78" s="386">
        <v>1146</v>
      </c>
      <c r="CJ78" s="347">
        <v>1136</v>
      </c>
      <c r="CK78" s="347">
        <v>1131</v>
      </c>
      <c r="CL78" s="347">
        <v>1119</v>
      </c>
      <c r="CM78" s="347">
        <v>1102</v>
      </c>
      <c r="CN78" s="347">
        <v>1095</v>
      </c>
      <c r="CO78" s="347">
        <v>1076</v>
      </c>
      <c r="CP78" s="347">
        <v>1069</v>
      </c>
      <c r="CQ78" s="347">
        <v>1051</v>
      </c>
      <c r="CR78" s="347">
        <v>1039</v>
      </c>
      <c r="CS78" s="347">
        <v>1023</v>
      </c>
      <c r="CT78" s="348">
        <v>1009</v>
      </c>
      <c r="CU78" s="347">
        <v>899</v>
      </c>
      <c r="CV78" s="347">
        <v>980</v>
      </c>
      <c r="CW78" s="347">
        <v>968</v>
      </c>
      <c r="CX78" s="347">
        <v>958</v>
      </c>
      <c r="CY78" s="347">
        <v>951</v>
      </c>
      <c r="CZ78" s="347">
        <v>950</v>
      </c>
      <c r="DA78" s="347">
        <v>921</v>
      </c>
      <c r="DB78" s="347">
        <v>860</v>
      </c>
      <c r="DC78" s="347">
        <v>908</v>
      </c>
      <c r="DD78" s="347">
        <v>849</v>
      </c>
      <c r="DE78" s="347">
        <v>831</v>
      </c>
      <c r="DF78" s="348">
        <v>866</v>
      </c>
      <c r="DG78" s="387">
        <v>765</v>
      </c>
      <c r="DH78" s="387">
        <v>840</v>
      </c>
      <c r="DI78" s="387">
        <v>833</v>
      </c>
      <c r="DJ78" s="387">
        <v>777</v>
      </c>
      <c r="DK78" s="387">
        <v>726</v>
      </c>
      <c r="DL78" s="387">
        <v>805</v>
      </c>
      <c r="DM78" s="387">
        <v>747</v>
      </c>
      <c r="DN78" s="387">
        <v>783</v>
      </c>
      <c r="DO78" s="387">
        <v>737</v>
      </c>
      <c r="DP78" s="387">
        <v>715</v>
      </c>
      <c r="DQ78" s="387">
        <v>751</v>
      </c>
      <c r="DR78" s="387">
        <v>668</v>
      </c>
      <c r="DS78" s="387">
        <v>644</v>
      </c>
      <c r="DT78" s="387">
        <v>700</v>
      </c>
      <c r="DU78" s="387">
        <v>724</v>
      </c>
      <c r="DV78" s="389">
        <v>724</v>
      </c>
      <c r="DW78" s="389">
        <v>709</v>
      </c>
      <c r="DX78" s="389">
        <v>704</v>
      </c>
      <c r="DY78" s="387">
        <v>698</v>
      </c>
      <c r="DZ78" s="388">
        <v>686</v>
      </c>
      <c r="EA78" s="387">
        <v>673</v>
      </c>
      <c r="EB78" s="387">
        <v>667</v>
      </c>
      <c r="EC78" s="387">
        <v>660</v>
      </c>
      <c r="ED78" s="387">
        <v>655</v>
      </c>
      <c r="EE78" s="387">
        <v>647</v>
      </c>
      <c r="EF78" s="387">
        <v>634</v>
      </c>
      <c r="EG78" s="387">
        <v>626</v>
      </c>
      <c r="EH78" s="387">
        <v>616</v>
      </c>
      <c r="EI78" s="387">
        <v>610</v>
      </c>
      <c r="EJ78" s="387">
        <v>604</v>
      </c>
      <c r="EK78" s="387">
        <v>592</v>
      </c>
      <c r="EL78" s="387">
        <v>595</v>
      </c>
      <c r="EM78" s="387">
        <v>579</v>
      </c>
      <c r="EN78" s="387">
        <v>570</v>
      </c>
      <c r="EO78" s="387">
        <v>567</v>
      </c>
      <c r="EP78" s="387">
        <v>558</v>
      </c>
      <c r="EQ78" s="387">
        <v>524</v>
      </c>
      <c r="ER78" s="387">
        <v>535</v>
      </c>
      <c r="ES78" s="387">
        <v>514</v>
      </c>
      <c r="ET78" s="387">
        <v>536</v>
      </c>
      <c r="EU78" s="387">
        <v>533</v>
      </c>
      <c r="EV78" s="387">
        <v>532</v>
      </c>
      <c r="EW78" s="387">
        <v>525</v>
      </c>
      <c r="EX78" s="387">
        <v>520</v>
      </c>
      <c r="EY78" s="387">
        <v>516</v>
      </c>
      <c r="EZ78" s="387">
        <v>514</v>
      </c>
      <c r="FA78" s="387">
        <v>512</v>
      </c>
      <c r="FB78" s="387">
        <v>505</v>
      </c>
      <c r="FC78" s="387">
        <v>503</v>
      </c>
      <c r="FD78" s="387">
        <v>504</v>
      </c>
      <c r="FE78" s="387">
        <v>494</v>
      </c>
      <c r="FF78" s="387">
        <v>491</v>
      </c>
      <c r="FG78" s="387">
        <v>488</v>
      </c>
      <c r="FH78" s="387">
        <v>484</v>
      </c>
      <c r="FI78" s="387">
        <v>480</v>
      </c>
      <c r="FJ78" s="387">
        <v>474</v>
      </c>
      <c r="FK78" s="387">
        <v>468</v>
      </c>
      <c r="FL78" s="387">
        <v>466</v>
      </c>
      <c r="FM78" s="387">
        <v>459</v>
      </c>
      <c r="FN78" s="387">
        <v>452</v>
      </c>
      <c r="FO78" s="387">
        <v>449</v>
      </c>
      <c r="FP78" s="387">
        <v>442</v>
      </c>
      <c r="FQ78" s="387">
        <v>436</v>
      </c>
      <c r="FR78" s="387">
        <v>425</v>
      </c>
      <c r="FS78" s="387">
        <v>421</v>
      </c>
      <c r="FT78" s="387">
        <v>416</v>
      </c>
    </row>
    <row r="79" spans="2:176" s="387" customFormat="1" ht="13.5" customHeight="1" thickBot="1" x14ac:dyDescent="0.3">
      <c r="B79" s="468" t="s">
        <v>8</v>
      </c>
      <c r="C79" s="469">
        <v>20.253</v>
      </c>
      <c r="D79" s="470">
        <v>176.53</v>
      </c>
      <c r="E79" s="470">
        <v>44.693999999999996</v>
      </c>
      <c r="F79" s="470">
        <v>187.97300000000001</v>
      </c>
      <c r="G79" s="470">
        <v>171.36</v>
      </c>
      <c r="H79" s="470">
        <v>200.977</v>
      </c>
      <c r="I79" s="470">
        <v>978.46299999999997</v>
      </c>
      <c r="J79" s="470">
        <v>409.81</v>
      </c>
      <c r="K79" s="470">
        <v>1018.128</v>
      </c>
      <c r="L79" s="470">
        <v>484.09600000000006</v>
      </c>
      <c r="M79" s="470">
        <v>490.84500000000003</v>
      </c>
      <c r="N79" s="471">
        <v>497.18600000000004</v>
      </c>
      <c r="O79" s="469">
        <v>568</v>
      </c>
      <c r="P79" s="470">
        <v>552</v>
      </c>
      <c r="Q79" s="470">
        <v>600</v>
      </c>
      <c r="R79" s="470">
        <f>5350-R78</f>
        <v>578</v>
      </c>
      <c r="S79" s="470">
        <f>5317-S78</f>
        <v>1002</v>
      </c>
      <c r="T79" s="470">
        <f>5277-75</f>
        <v>5202</v>
      </c>
      <c r="U79" s="470">
        <v>1066</v>
      </c>
      <c r="V79" s="470">
        <v>1069</v>
      </c>
      <c r="W79" s="470">
        <v>1109</v>
      </c>
      <c r="X79" s="470">
        <f>X80-X78</f>
        <v>1197</v>
      </c>
      <c r="Y79" s="470">
        <f>Y80-Y78</f>
        <v>1054</v>
      </c>
      <c r="Z79" s="471">
        <f>Z80-Z78</f>
        <v>1174</v>
      </c>
      <c r="AA79" s="469">
        <v>1386</v>
      </c>
      <c r="AB79" s="470">
        <v>1994</v>
      </c>
      <c r="AC79" s="470">
        <v>2097</v>
      </c>
      <c r="AD79" s="470">
        <v>2032</v>
      </c>
      <c r="AE79" s="470">
        <v>2007</v>
      </c>
      <c r="AF79" s="470">
        <v>2109</v>
      </c>
      <c r="AG79" s="470">
        <v>2069</v>
      </c>
      <c r="AH79" s="470">
        <v>2158</v>
      </c>
      <c r="AI79" s="470">
        <v>1459</v>
      </c>
      <c r="AJ79" s="470">
        <v>2158</v>
      </c>
      <c r="AK79" s="470">
        <v>2144</v>
      </c>
      <c r="AL79" s="471">
        <v>2145</v>
      </c>
      <c r="AM79" s="469">
        <v>2207</v>
      </c>
      <c r="AN79" s="470">
        <v>2106</v>
      </c>
      <c r="AO79" s="470">
        <v>2234</v>
      </c>
      <c r="AP79" s="470">
        <v>2200</v>
      </c>
      <c r="AQ79" s="470">
        <v>2224</v>
      </c>
      <c r="AR79" s="470">
        <v>1713</v>
      </c>
      <c r="AS79" s="470">
        <v>2282</v>
      </c>
      <c r="AT79" s="470">
        <v>2452</v>
      </c>
      <c r="AU79" s="470">
        <v>2364</v>
      </c>
      <c r="AV79" s="470">
        <v>2375</v>
      </c>
      <c r="AW79" s="470">
        <v>2347</v>
      </c>
      <c r="AX79" s="471">
        <v>2336</v>
      </c>
      <c r="AY79" s="469">
        <v>2401</v>
      </c>
      <c r="AZ79" s="470">
        <v>2358</v>
      </c>
      <c r="BA79" s="470">
        <v>2526</v>
      </c>
      <c r="BB79" s="470">
        <v>2411</v>
      </c>
      <c r="BC79" s="470">
        <v>2516</v>
      </c>
      <c r="BD79" s="470">
        <v>2548</v>
      </c>
      <c r="BE79" s="470">
        <v>2447</v>
      </c>
      <c r="BF79" s="470">
        <v>2656</v>
      </c>
      <c r="BG79" s="470">
        <v>2513</v>
      </c>
      <c r="BH79" s="470">
        <v>2698</v>
      </c>
      <c r="BI79" s="470">
        <v>2640</v>
      </c>
      <c r="BJ79" s="471">
        <v>2575</v>
      </c>
      <c r="BK79" s="469">
        <v>2723</v>
      </c>
      <c r="BL79" s="470">
        <v>2677</v>
      </c>
      <c r="BM79" s="470">
        <v>2825</v>
      </c>
      <c r="BN79" s="470">
        <v>2729</v>
      </c>
      <c r="BO79" s="470">
        <v>2840</v>
      </c>
      <c r="BP79" s="470">
        <v>2784</v>
      </c>
      <c r="BQ79" s="470">
        <v>2827</v>
      </c>
      <c r="BR79" s="470">
        <v>3026</v>
      </c>
      <c r="BS79" s="470">
        <v>2753</v>
      </c>
      <c r="BT79" s="470">
        <v>2914</v>
      </c>
      <c r="BU79" s="470">
        <v>2918</v>
      </c>
      <c r="BV79" s="471">
        <v>2931</v>
      </c>
      <c r="BW79" s="469">
        <v>2941</v>
      </c>
      <c r="BX79" s="470">
        <v>2946</v>
      </c>
      <c r="BY79" s="470">
        <v>2949</v>
      </c>
      <c r="BZ79" s="470">
        <v>2962</v>
      </c>
      <c r="CA79" s="470">
        <v>2958</v>
      </c>
      <c r="CB79" s="470">
        <v>3024</v>
      </c>
      <c r="CC79" s="470">
        <v>2940</v>
      </c>
      <c r="CD79" s="470">
        <v>2967</v>
      </c>
      <c r="CE79" s="470">
        <v>2956</v>
      </c>
      <c r="CF79" s="470">
        <v>2967.2</v>
      </c>
      <c r="CG79" s="470">
        <v>2971.17</v>
      </c>
      <c r="CH79" s="471">
        <v>2959.03</v>
      </c>
      <c r="CI79" s="395">
        <v>2929</v>
      </c>
      <c r="CJ79" s="393">
        <v>2920</v>
      </c>
      <c r="CK79" s="393">
        <v>2918</v>
      </c>
      <c r="CL79" s="393">
        <v>2922</v>
      </c>
      <c r="CM79" s="393">
        <v>2884</v>
      </c>
      <c r="CN79" s="393">
        <v>2715</v>
      </c>
      <c r="CO79" s="393">
        <v>2900</v>
      </c>
      <c r="CP79" s="393">
        <v>2907</v>
      </c>
      <c r="CQ79" s="393">
        <v>2905</v>
      </c>
      <c r="CR79" s="393">
        <v>2915</v>
      </c>
      <c r="CS79" s="393">
        <v>2900</v>
      </c>
      <c r="CT79" s="394">
        <v>2913</v>
      </c>
      <c r="CU79" s="440">
        <v>2775</v>
      </c>
      <c r="CV79" s="393">
        <v>2931</v>
      </c>
      <c r="CW79" s="393">
        <v>2927</v>
      </c>
      <c r="CX79" s="393">
        <v>2935</v>
      </c>
      <c r="CY79" s="393">
        <v>2934</v>
      </c>
      <c r="CZ79" s="393">
        <v>2936</v>
      </c>
      <c r="DA79" s="393">
        <v>2937</v>
      </c>
      <c r="DB79" s="393">
        <v>2874</v>
      </c>
      <c r="DC79" s="393">
        <v>2955</v>
      </c>
      <c r="DD79" s="393">
        <v>2875</v>
      </c>
      <c r="DE79" s="393">
        <v>2867</v>
      </c>
      <c r="DF79" s="394">
        <v>2942</v>
      </c>
      <c r="DG79" s="440">
        <v>2308</v>
      </c>
      <c r="DH79" s="393">
        <v>2975</v>
      </c>
      <c r="DI79" s="393">
        <v>2951</v>
      </c>
      <c r="DJ79" s="476">
        <v>2878</v>
      </c>
      <c r="DK79" s="393">
        <v>2802</v>
      </c>
      <c r="DL79" s="393">
        <v>2979</v>
      </c>
      <c r="DM79" s="393">
        <v>2882</v>
      </c>
      <c r="DN79" s="393">
        <v>2977</v>
      </c>
      <c r="DO79" s="393">
        <v>2874</v>
      </c>
      <c r="DP79" s="393">
        <v>2784</v>
      </c>
      <c r="DQ79" s="393">
        <v>3025</v>
      </c>
      <c r="DR79" s="393">
        <v>2347</v>
      </c>
      <c r="DS79" s="393">
        <v>2787</v>
      </c>
      <c r="DT79" s="393">
        <v>2904</v>
      </c>
      <c r="DU79" s="393">
        <v>2991</v>
      </c>
      <c r="DV79" s="396">
        <v>2994</v>
      </c>
      <c r="DW79" s="477">
        <v>3002</v>
      </c>
      <c r="DX79" s="477">
        <v>2509</v>
      </c>
      <c r="DY79" s="477">
        <v>2994</v>
      </c>
      <c r="DZ79" s="477">
        <v>3008</v>
      </c>
      <c r="EA79" s="477">
        <v>3000</v>
      </c>
      <c r="EB79" s="393">
        <v>3011</v>
      </c>
      <c r="EC79" s="393">
        <v>3010</v>
      </c>
      <c r="ED79" s="393">
        <v>3018</v>
      </c>
      <c r="EE79" s="393">
        <v>3015</v>
      </c>
      <c r="EF79" s="393">
        <v>3011</v>
      </c>
      <c r="EG79" s="393">
        <v>3024</v>
      </c>
      <c r="EH79" s="393">
        <v>3037</v>
      </c>
      <c r="EI79" s="393">
        <v>3023</v>
      </c>
      <c r="EJ79" s="393">
        <v>3022</v>
      </c>
      <c r="EK79" s="393">
        <v>3032</v>
      </c>
      <c r="EL79" s="393">
        <v>3033</v>
      </c>
      <c r="EM79" s="393">
        <v>3043</v>
      </c>
      <c r="EN79" s="393">
        <v>3054</v>
      </c>
      <c r="EO79" s="393">
        <v>3010</v>
      </c>
      <c r="EP79" s="393">
        <v>3019</v>
      </c>
      <c r="EQ79" s="393">
        <v>2382</v>
      </c>
      <c r="ER79" s="393">
        <v>2810</v>
      </c>
      <c r="ES79" s="393">
        <v>2950</v>
      </c>
      <c r="ET79" s="393">
        <v>3052</v>
      </c>
      <c r="EU79" s="393">
        <v>3042</v>
      </c>
      <c r="EV79" s="393">
        <v>3044</v>
      </c>
      <c r="EW79" s="393">
        <v>3039</v>
      </c>
      <c r="EX79" s="393">
        <v>3045</v>
      </c>
      <c r="EY79" s="393">
        <v>3037</v>
      </c>
      <c r="EZ79" s="393">
        <v>3039</v>
      </c>
      <c r="FA79" s="393">
        <v>3040</v>
      </c>
      <c r="FB79" s="393">
        <v>3036</v>
      </c>
      <c r="FC79" s="393">
        <v>3074</v>
      </c>
      <c r="FD79" s="393">
        <v>3041</v>
      </c>
      <c r="FE79" s="393">
        <v>3042</v>
      </c>
      <c r="FF79" s="393">
        <v>2970</v>
      </c>
      <c r="FG79" s="393">
        <v>3042</v>
      </c>
      <c r="FH79" s="393">
        <v>3045</v>
      </c>
      <c r="FI79" s="393">
        <v>3045</v>
      </c>
      <c r="FJ79" s="393">
        <v>3051</v>
      </c>
      <c r="FK79" s="393">
        <v>3053</v>
      </c>
      <c r="FL79" s="393">
        <v>3059</v>
      </c>
      <c r="FM79" s="393">
        <v>3062</v>
      </c>
      <c r="FN79" s="393">
        <v>3064</v>
      </c>
      <c r="FO79" s="393">
        <v>3049</v>
      </c>
      <c r="FP79" s="393">
        <v>3052</v>
      </c>
      <c r="FQ79" s="393">
        <v>3058</v>
      </c>
      <c r="FR79" s="393">
        <v>3061</v>
      </c>
      <c r="FS79" s="393">
        <v>3064</v>
      </c>
      <c r="FT79" s="393">
        <v>3053</v>
      </c>
    </row>
    <row r="80" spans="2:176" s="387" customFormat="1" ht="13.5" customHeight="1" thickTop="1" x14ac:dyDescent="0.25">
      <c r="B80" s="443" t="s">
        <v>9</v>
      </c>
      <c r="C80" s="472">
        <f t="shared" ref="C80:Q80" si="394">SUM(C78:C79)</f>
        <v>649.26600000000008</v>
      </c>
      <c r="D80" s="473">
        <f t="shared" si="394"/>
        <v>805.54300000000001</v>
      </c>
      <c r="E80" s="473">
        <f t="shared" si="394"/>
        <v>662.09500000000003</v>
      </c>
      <c r="F80" s="473">
        <f t="shared" si="394"/>
        <v>4413.9690000000001</v>
      </c>
      <c r="G80" s="473">
        <f t="shared" si="394"/>
        <v>4390.3179999999993</v>
      </c>
      <c r="H80" s="473">
        <f t="shared" si="394"/>
        <v>9562.6080000000002</v>
      </c>
      <c r="I80" s="473">
        <f t="shared" si="394"/>
        <v>6311.2499999999991</v>
      </c>
      <c r="J80" s="473">
        <f t="shared" si="394"/>
        <v>5698.4650000000001</v>
      </c>
      <c r="K80" s="473">
        <f t="shared" si="394"/>
        <v>6283.527</v>
      </c>
      <c r="L80" s="473">
        <f t="shared" si="394"/>
        <v>5714.2620000000006</v>
      </c>
      <c r="M80" s="473">
        <f t="shared" si="394"/>
        <v>5709.7120000000004</v>
      </c>
      <c r="N80" s="474">
        <f t="shared" si="394"/>
        <v>5736.6359999999995</v>
      </c>
      <c r="O80" s="472">
        <f t="shared" si="394"/>
        <v>5692</v>
      </c>
      <c r="P80" s="473">
        <f t="shared" si="394"/>
        <v>5210</v>
      </c>
      <c r="Q80" s="473">
        <f t="shared" si="394"/>
        <v>5440</v>
      </c>
      <c r="R80" s="473">
        <f t="shared" ref="R80:W80" si="395">SUM(R78:R79)</f>
        <v>5350</v>
      </c>
      <c r="S80" s="473">
        <f t="shared" si="395"/>
        <v>5317</v>
      </c>
      <c r="T80" s="473">
        <f t="shared" si="395"/>
        <v>9456</v>
      </c>
      <c r="U80" s="473">
        <f t="shared" si="395"/>
        <v>5377</v>
      </c>
      <c r="V80" s="473">
        <f t="shared" si="395"/>
        <v>5263</v>
      </c>
      <c r="W80" s="473">
        <f t="shared" si="395"/>
        <v>5251</v>
      </c>
      <c r="X80" s="473">
        <v>5529</v>
      </c>
      <c r="Y80" s="473">
        <v>4678</v>
      </c>
      <c r="Z80" s="474">
        <v>5206</v>
      </c>
      <c r="AA80" s="472">
        <f t="shared" ref="AA80:AF80" si="396">SUM(AA78:AA79)</f>
        <v>4974</v>
      </c>
      <c r="AB80" s="473">
        <f t="shared" si="396"/>
        <v>4783</v>
      </c>
      <c r="AC80" s="473">
        <f t="shared" si="396"/>
        <v>5277</v>
      </c>
      <c r="AD80" s="473">
        <f t="shared" si="396"/>
        <v>4877</v>
      </c>
      <c r="AE80" s="473">
        <f t="shared" si="396"/>
        <v>4703</v>
      </c>
      <c r="AF80" s="473">
        <f t="shared" si="396"/>
        <v>5000</v>
      </c>
      <c r="AG80" s="473">
        <f t="shared" ref="AG80:AL80" si="397">SUM(AG78:AG79)</f>
        <v>4779</v>
      </c>
      <c r="AH80" s="473">
        <f t="shared" si="397"/>
        <v>4983</v>
      </c>
      <c r="AI80" s="473">
        <f t="shared" si="397"/>
        <v>4072</v>
      </c>
      <c r="AJ80" s="473">
        <f t="shared" si="397"/>
        <v>4746</v>
      </c>
      <c r="AK80" s="473">
        <f t="shared" si="397"/>
        <v>4569</v>
      </c>
      <c r="AL80" s="474">
        <f t="shared" si="397"/>
        <v>4562</v>
      </c>
      <c r="AM80" s="472">
        <f t="shared" ref="AM80:AR80" si="398">SUM(AM78:AM79)</f>
        <v>4705</v>
      </c>
      <c r="AN80" s="473">
        <f t="shared" si="398"/>
        <v>4329</v>
      </c>
      <c r="AO80" s="473">
        <f t="shared" si="398"/>
        <v>4740</v>
      </c>
      <c r="AP80" s="473">
        <f t="shared" si="398"/>
        <v>4553</v>
      </c>
      <c r="AQ80" s="473">
        <f t="shared" si="398"/>
        <v>4522</v>
      </c>
      <c r="AR80" s="473">
        <f t="shared" si="398"/>
        <v>4074</v>
      </c>
      <c r="AS80" s="473">
        <f t="shared" ref="AS80:AX80" si="399">SUM(AS78:AS79)</f>
        <v>4518</v>
      </c>
      <c r="AT80" s="473">
        <f t="shared" si="399"/>
        <v>4924</v>
      </c>
      <c r="AU80" s="473">
        <f t="shared" si="399"/>
        <v>4630</v>
      </c>
      <c r="AV80" s="473">
        <f t="shared" si="399"/>
        <v>4616</v>
      </c>
      <c r="AW80" s="473">
        <f t="shared" si="399"/>
        <v>4467</v>
      </c>
      <c r="AX80" s="474">
        <f t="shared" si="399"/>
        <v>4464</v>
      </c>
      <c r="AY80" s="472">
        <f t="shared" ref="AY80:BJ80" si="400">SUM(AY78:AY79)</f>
        <v>4590</v>
      </c>
      <c r="AZ80" s="473">
        <f t="shared" si="400"/>
        <v>4384</v>
      </c>
      <c r="BA80" s="473">
        <f t="shared" si="400"/>
        <v>4873</v>
      </c>
      <c r="BB80" s="473">
        <f t="shared" si="400"/>
        <v>4440</v>
      </c>
      <c r="BC80" s="473">
        <f t="shared" si="400"/>
        <v>4665</v>
      </c>
      <c r="BD80" s="473">
        <f t="shared" si="400"/>
        <v>4663</v>
      </c>
      <c r="BE80" s="473">
        <f t="shared" si="400"/>
        <v>4360</v>
      </c>
      <c r="BF80" s="473">
        <f t="shared" si="400"/>
        <v>4749</v>
      </c>
      <c r="BG80" s="473">
        <f t="shared" si="400"/>
        <v>4339</v>
      </c>
      <c r="BH80" s="473">
        <f t="shared" si="400"/>
        <v>4574</v>
      </c>
      <c r="BI80" s="473">
        <f t="shared" si="400"/>
        <v>4320</v>
      </c>
      <c r="BJ80" s="474">
        <f t="shared" si="400"/>
        <v>4164</v>
      </c>
      <c r="BK80" s="472">
        <f t="shared" ref="BK80:BP80" si="401">SUM(BK78:BK79)</f>
        <v>4433</v>
      </c>
      <c r="BL80" s="473">
        <f t="shared" si="401"/>
        <v>4278</v>
      </c>
      <c r="BM80" s="473">
        <f t="shared" si="401"/>
        <v>4545</v>
      </c>
      <c r="BN80" s="473">
        <f t="shared" si="401"/>
        <v>4292</v>
      </c>
      <c r="BO80" s="473">
        <f t="shared" si="401"/>
        <v>4516</v>
      </c>
      <c r="BP80" s="473">
        <f t="shared" si="401"/>
        <v>4373</v>
      </c>
      <c r="BQ80" s="473">
        <f t="shared" ref="BQ80:CB80" si="402">SUM(BQ78:BQ79)</f>
        <v>4377</v>
      </c>
      <c r="BR80" s="473">
        <f t="shared" si="402"/>
        <v>4633</v>
      </c>
      <c r="BS80" s="473">
        <f t="shared" si="402"/>
        <v>4109</v>
      </c>
      <c r="BT80" s="473">
        <f t="shared" si="402"/>
        <v>4353</v>
      </c>
      <c r="BU80" s="473">
        <f t="shared" si="402"/>
        <v>4346</v>
      </c>
      <c r="BV80" s="474">
        <f t="shared" si="402"/>
        <v>4323</v>
      </c>
      <c r="BW80" s="472">
        <f t="shared" si="402"/>
        <v>4328</v>
      </c>
      <c r="BX80" s="473">
        <f t="shared" si="402"/>
        <v>4310</v>
      </c>
      <c r="BY80" s="473">
        <f t="shared" si="402"/>
        <v>4293</v>
      </c>
      <c r="BZ80" s="473">
        <f t="shared" si="402"/>
        <v>4288</v>
      </c>
      <c r="CA80" s="473">
        <f t="shared" si="402"/>
        <v>4263</v>
      </c>
      <c r="CB80" s="473">
        <f t="shared" si="402"/>
        <v>4292</v>
      </c>
      <c r="CC80" s="473">
        <f t="shared" ref="CC80:DR80" si="403">SUM(CC78:CC79)</f>
        <v>4175</v>
      </c>
      <c r="CD80" s="473">
        <f t="shared" si="403"/>
        <v>4188</v>
      </c>
      <c r="CE80" s="473">
        <f t="shared" si="403"/>
        <v>4165</v>
      </c>
      <c r="CF80" s="473">
        <f t="shared" si="403"/>
        <v>4166.2</v>
      </c>
      <c r="CG80" s="473">
        <f t="shared" si="403"/>
        <v>4150.17</v>
      </c>
      <c r="CH80" s="473">
        <f t="shared" si="403"/>
        <v>4116.0300000000007</v>
      </c>
      <c r="CI80" s="401">
        <f t="shared" si="403"/>
        <v>4075</v>
      </c>
      <c r="CJ80" s="398">
        <f t="shared" si="403"/>
        <v>4056</v>
      </c>
      <c r="CK80" s="398">
        <f t="shared" si="403"/>
        <v>4049</v>
      </c>
      <c r="CL80" s="398">
        <f t="shared" si="403"/>
        <v>4041</v>
      </c>
      <c r="CM80" s="398">
        <f t="shared" si="403"/>
        <v>3986</v>
      </c>
      <c r="CN80" s="398">
        <f t="shared" si="403"/>
        <v>3810</v>
      </c>
      <c r="CO80" s="398">
        <f t="shared" si="403"/>
        <v>3976</v>
      </c>
      <c r="CP80" s="398">
        <f t="shared" si="403"/>
        <v>3976</v>
      </c>
      <c r="CQ80" s="398">
        <f t="shared" si="403"/>
        <v>3956</v>
      </c>
      <c r="CR80" s="398">
        <f t="shared" si="403"/>
        <v>3954</v>
      </c>
      <c r="CS80" s="398">
        <f t="shared" si="403"/>
        <v>3923</v>
      </c>
      <c r="CT80" s="442">
        <f t="shared" si="403"/>
        <v>3922</v>
      </c>
      <c r="CU80" s="398">
        <f t="shared" si="403"/>
        <v>3674</v>
      </c>
      <c r="CV80" s="398">
        <f t="shared" si="403"/>
        <v>3911</v>
      </c>
      <c r="CW80" s="398">
        <f t="shared" si="403"/>
        <v>3895</v>
      </c>
      <c r="CX80" s="398">
        <f t="shared" si="403"/>
        <v>3893</v>
      </c>
      <c r="CY80" s="398">
        <f t="shared" si="403"/>
        <v>3885</v>
      </c>
      <c r="CZ80" s="398">
        <f t="shared" si="403"/>
        <v>3886</v>
      </c>
      <c r="DA80" s="398">
        <f t="shared" si="403"/>
        <v>3858</v>
      </c>
      <c r="DB80" s="398">
        <f t="shared" si="403"/>
        <v>3734</v>
      </c>
      <c r="DC80" s="398">
        <f t="shared" si="403"/>
        <v>3863</v>
      </c>
      <c r="DD80" s="398">
        <f t="shared" si="403"/>
        <v>3724</v>
      </c>
      <c r="DE80" s="398">
        <f t="shared" si="403"/>
        <v>3698</v>
      </c>
      <c r="DF80" s="442">
        <f t="shared" si="403"/>
        <v>3808</v>
      </c>
      <c r="DG80" s="398">
        <f t="shared" si="403"/>
        <v>3073</v>
      </c>
      <c r="DH80" s="398">
        <f t="shared" si="403"/>
        <v>3815</v>
      </c>
      <c r="DI80" s="398">
        <f t="shared" si="403"/>
        <v>3784</v>
      </c>
      <c r="DJ80" s="398">
        <f t="shared" si="403"/>
        <v>3655</v>
      </c>
      <c r="DK80" s="398">
        <f t="shared" si="403"/>
        <v>3528</v>
      </c>
      <c r="DL80" s="398">
        <f t="shared" si="403"/>
        <v>3784</v>
      </c>
      <c r="DM80" s="398">
        <f t="shared" si="403"/>
        <v>3629</v>
      </c>
      <c r="DN80" s="398">
        <f t="shared" si="403"/>
        <v>3760</v>
      </c>
      <c r="DO80" s="398">
        <f t="shared" si="403"/>
        <v>3611</v>
      </c>
      <c r="DP80" s="398">
        <f t="shared" si="403"/>
        <v>3499</v>
      </c>
      <c r="DQ80" s="498">
        <f t="shared" si="403"/>
        <v>3776</v>
      </c>
      <c r="DR80" s="498">
        <f t="shared" si="403"/>
        <v>3015</v>
      </c>
      <c r="DS80" s="498">
        <f t="shared" ref="DS80:FK80" si="404">SUM(DS78:DS79)</f>
        <v>3431</v>
      </c>
      <c r="DT80" s="498">
        <f t="shared" si="404"/>
        <v>3604</v>
      </c>
      <c r="DU80" s="498">
        <f t="shared" si="404"/>
        <v>3715</v>
      </c>
      <c r="DV80" s="497">
        <f t="shared" si="404"/>
        <v>3718</v>
      </c>
      <c r="DW80" s="497">
        <f t="shared" si="404"/>
        <v>3711</v>
      </c>
      <c r="DX80" s="497">
        <f t="shared" si="404"/>
        <v>3213</v>
      </c>
      <c r="DY80" s="497">
        <f t="shared" si="404"/>
        <v>3692</v>
      </c>
      <c r="DZ80" s="497">
        <f t="shared" si="404"/>
        <v>3694</v>
      </c>
      <c r="EA80" s="497">
        <f t="shared" si="404"/>
        <v>3673</v>
      </c>
      <c r="EB80" s="497">
        <f t="shared" si="404"/>
        <v>3678</v>
      </c>
      <c r="EC80" s="464">
        <f t="shared" si="404"/>
        <v>3670</v>
      </c>
      <c r="ED80" s="497">
        <f t="shared" si="404"/>
        <v>3673</v>
      </c>
      <c r="EE80" s="497">
        <f t="shared" si="404"/>
        <v>3662</v>
      </c>
      <c r="EF80" s="497">
        <f t="shared" si="404"/>
        <v>3645</v>
      </c>
      <c r="EG80" s="497">
        <f t="shared" si="404"/>
        <v>3650</v>
      </c>
      <c r="EH80" s="497">
        <f t="shared" si="404"/>
        <v>3653</v>
      </c>
      <c r="EI80" s="497">
        <f t="shared" si="404"/>
        <v>3633</v>
      </c>
      <c r="EJ80" s="497">
        <f t="shared" si="404"/>
        <v>3626</v>
      </c>
      <c r="EK80" s="497">
        <f t="shared" si="404"/>
        <v>3624</v>
      </c>
      <c r="EL80" s="497">
        <f t="shared" si="404"/>
        <v>3628</v>
      </c>
      <c r="EM80" s="497">
        <f t="shared" si="404"/>
        <v>3622</v>
      </c>
      <c r="EN80" s="497">
        <f t="shared" si="404"/>
        <v>3624</v>
      </c>
      <c r="EO80" s="497">
        <f t="shared" si="404"/>
        <v>3577</v>
      </c>
      <c r="EP80" s="497">
        <f t="shared" si="404"/>
        <v>3577</v>
      </c>
      <c r="EQ80" s="497">
        <f t="shared" si="404"/>
        <v>2906</v>
      </c>
      <c r="ER80" s="497">
        <f t="shared" si="404"/>
        <v>3345</v>
      </c>
      <c r="ES80" s="497">
        <f t="shared" si="404"/>
        <v>3464</v>
      </c>
      <c r="ET80" s="497">
        <f t="shared" si="404"/>
        <v>3588</v>
      </c>
      <c r="EU80" s="497">
        <f t="shared" si="404"/>
        <v>3575</v>
      </c>
      <c r="EV80" s="497">
        <f t="shared" si="404"/>
        <v>3576</v>
      </c>
      <c r="EW80" s="497">
        <f t="shared" si="404"/>
        <v>3564</v>
      </c>
      <c r="EX80" s="497">
        <f t="shared" si="404"/>
        <v>3565</v>
      </c>
      <c r="EY80" s="497">
        <f t="shared" si="404"/>
        <v>3553</v>
      </c>
      <c r="EZ80" s="497">
        <f t="shared" si="404"/>
        <v>3553</v>
      </c>
      <c r="FA80" s="497">
        <f t="shared" si="404"/>
        <v>3552</v>
      </c>
      <c r="FB80" s="497">
        <f t="shared" si="404"/>
        <v>3541</v>
      </c>
      <c r="FC80" s="497">
        <f t="shared" si="404"/>
        <v>3577</v>
      </c>
      <c r="FD80" s="497">
        <f t="shared" si="404"/>
        <v>3545</v>
      </c>
      <c r="FE80" s="497">
        <f t="shared" si="404"/>
        <v>3536</v>
      </c>
      <c r="FF80" s="497">
        <f t="shared" si="404"/>
        <v>3461</v>
      </c>
      <c r="FG80" s="497">
        <f t="shared" si="404"/>
        <v>3530</v>
      </c>
      <c r="FH80" s="497">
        <f t="shared" si="404"/>
        <v>3529</v>
      </c>
      <c r="FI80" s="497">
        <f t="shared" si="404"/>
        <v>3525</v>
      </c>
      <c r="FJ80" s="497">
        <f t="shared" si="404"/>
        <v>3525</v>
      </c>
      <c r="FK80" s="497">
        <f t="shared" si="404"/>
        <v>3521</v>
      </c>
      <c r="FL80" s="497">
        <f t="shared" ref="FL80:FQ80" si="405">SUM(FL78:FL79)</f>
        <v>3525</v>
      </c>
      <c r="FM80" s="497">
        <f t="shared" si="405"/>
        <v>3521</v>
      </c>
      <c r="FN80" s="497">
        <f t="shared" si="405"/>
        <v>3516</v>
      </c>
      <c r="FO80" s="497">
        <f t="shared" si="405"/>
        <v>3498</v>
      </c>
      <c r="FP80" s="497">
        <f t="shared" si="405"/>
        <v>3494</v>
      </c>
      <c r="FQ80" s="497">
        <f t="shared" si="405"/>
        <v>3494</v>
      </c>
      <c r="FR80" s="497">
        <f t="shared" ref="FR80:FT80" si="406">SUM(FR78:FR79)</f>
        <v>3486</v>
      </c>
      <c r="FS80" s="497">
        <f t="shared" si="406"/>
        <v>3485</v>
      </c>
      <c r="FT80" s="497">
        <f t="shared" si="406"/>
        <v>3469</v>
      </c>
    </row>
    <row r="81" spans="2:176" s="345" customFormat="1" ht="13.5" customHeight="1" x14ac:dyDescent="0.25">
      <c r="B81" s="443" t="s">
        <v>10</v>
      </c>
      <c r="C81" s="475">
        <f t="shared" ref="C81:Q81" si="407">SUM(C78)/C80</f>
        <v>0.96880631359103964</v>
      </c>
      <c r="D81" s="445">
        <f t="shared" si="407"/>
        <v>0.7808558947194626</v>
      </c>
      <c r="E81" s="445">
        <f t="shared" si="407"/>
        <v>0.93249609195055094</v>
      </c>
      <c r="F81" s="445">
        <f t="shared" si="407"/>
        <v>0.95741406430357801</v>
      </c>
      <c r="G81" s="445">
        <f t="shared" si="407"/>
        <v>0.96096865876230386</v>
      </c>
      <c r="H81" s="445">
        <f t="shared" si="407"/>
        <v>0.97898303475369886</v>
      </c>
      <c r="I81" s="445">
        <f t="shared" si="407"/>
        <v>0.84496526044761344</v>
      </c>
      <c r="J81" s="445">
        <f t="shared" si="407"/>
        <v>0.92808414195752709</v>
      </c>
      <c r="K81" s="445">
        <f t="shared" si="407"/>
        <v>0.83796870770190057</v>
      </c>
      <c r="L81" s="445">
        <f t="shared" si="407"/>
        <v>0.91528284842382091</v>
      </c>
      <c r="M81" s="445">
        <f t="shared" si="407"/>
        <v>0.91403331726714054</v>
      </c>
      <c r="N81" s="447">
        <f t="shared" si="407"/>
        <v>0.91333143675143413</v>
      </c>
      <c r="O81" s="475">
        <f t="shared" si="407"/>
        <v>0.90021082220660575</v>
      </c>
      <c r="P81" s="445">
        <f t="shared" si="407"/>
        <v>0.89404990403071016</v>
      </c>
      <c r="Q81" s="445">
        <f t="shared" si="407"/>
        <v>0.88970588235294112</v>
      </c>
      <c r="R81" s="445">
        <f t="shared" ref="R81:W81" si="408">SUM(R78)/R80</f>
        <v>0.89196261682242994</v>
      </c>
      <c r="S81" s="445">
        <f t="shared" si="408"/>
        <v>0.81154786533759637</v>
      </c>
      <c r="T81" s="445">
        <f t="shared" si="408"/>
        <v>0.44987309644670048</v>
      </c>
      <c r="U81" s="445">
        <f t="shared" si="408"/>
        <v>0.80174818672122006</v>
      </c>
      <c r="V81" s="445">
        <f t="shared" si="408"/>
        <v>0.79688390651719554</v>
      </c>
      <c r="W81" s="445">
        <f t="shared" si="408"/>
        <v>0.78880213292706147</v>
      </c>
      <c r="X81" s="445">
        <f t="shared" ref="X81:AC81" si="409">SUM(X78)/X80</f>
        <v>0.78350515463917525</v>
      </c>
      <c r="Y81" s="445">
        <f t="shared" si="409"/>
        <v>0.77469003847798201</v>
      </c>
      <c r="Z81" s="447">
        <f t="shared" si="409"/>
        <v>0.77449097195543604</v>
      </c>
      <c r="AA81" s="475">
        <f t="shared" si="409"/>
        <v>0.72135102533172502</v>
      </c>
      <c r="AB81" s="445">
        <f t="shared" si="409"/>
        <v>0.58310683671335983</v>
      </c>
      <c r="AC81" s="445">
        <f t="shared" si="409"/>
        <v>0.60261512222853897</v>
      </c>
      <c r="AD81" s="445">
        <f t="shared" ref="AD81:AI81" si="410">SUM(AD78)/AD80</f>
        <v>0.58335042034037321</v>
      </c>
      <c r="AE81" s="445">
        <f t="shared" si="410"/>
        <v>0.57325111630873915</v>
      </c>
      <c r="AF81" s="445">
        <f t="shared" si="410"/>
        <v>0.57820000000000005</v>
      </c>
      <c r="AG81" s="445">
        <f t="shared" si="410"/>
        <v>0.56706423938062356</v>
      </c>
      <c r="AH81" s="445">
        <f t="shared" si="410"/>
        <v>0.56692755368252057</v>
      </c>
      <c r="AI81" s="445">
        <f t="shared" si="410"/>
        <v>0.64169941060903735</v>
      </c>
      <c r="AJ81" s="445">
        <f t="shared" ref="AJ81:AO81" si="411">SUM(AJ78)/AJ80</f>
        <v>0.54530130636325325</v>
      </c>
      <c r="AK81" s="445">
        <f t="shared" si="411"/>
        <v>0.53075071131538631</v>
      </c>
      <c r="AL81" s="447">
        <f t="shared" si="411"/>
        <v>0.52981148619026741</v>
      </c>
      <c r="AM81" s="475">
        <f t="shared" si="411"/>
        <v>0.53092454835281611</v>
      </c>
      <c r="AN81" s="445">
        <f t="shared" si="411"/>
        <v>0.51351351351351349</v>
      </c>
      <c r="AO81" s="445">
        <f t="shared" si="411"/>
        <v>0.52869198312236287</v>
      </c>
      <c r="AP81" s="445">
        <f t="shared" ref="AP81:AU81" si="412">SUM(AP78)/AP80</f>
        <v>0.51680210849989017</v>
      </c>
      <c r="AQ81" s="445">
        <f t="shared" si="412"/>
        <v>0.50818222025652371</v>
      </c>
      <c r="AR81" s="445">
        <f t="shared" si="412"/>
        <v>0.57952871870397649</v>
      </c>
      <c r="AS81" s="445">
        <f t="shared" si="412"/>
        <v>0.49490925188136342</v>
      </c>
      <c r="AT81" s="445">
        <f t="shared" si="412"/>
        <v>0.50203086921202278</v>
      </c>
      <c r="AU81" s="445">
        <f t="shared" si="412"/>
        <v>0.48941684665226781</v>
      </c>
      <c r="AV81" s="445">
        <f t="shared" ref="AV81:BJ81" si="413">SUM(AV78)/AV80</f>
        <v>0.48548526863084923</v>
      </c>
      <c r="AW81" s="445">
        <f t="shared" si="413"/>
        <v>0.47459144839937317</v>
      </c>
      <c r="AX81" s="447">
        <f t="shared" si="413"/>
        <v>0.47670250896057348</v>
      </c>
      <c r="AY81" s="475">
        <f t="shared" si="413"/>
        <v>0.47690631808278866</v>
      </c>
      <c r="AZ81" s="445">
        <f t="shared" si="413"/>
        <v>0.46213503649635035</v>
      </c>
      <c r="BA81" s="445">
        <f t="shared" si="413"/>
        <v>0.48163349066283606</v>
      </c>
      <c r="BB81" s="445">
        <f t="shared" si="413"/>
        <v>0.45698198198198198</v>
      </c>
      <c r="BC81" s="445">
        <f t="shared" si="413"/>
        <v>0.46066452304394429</v>
      </c>
      <c r="BD81" s="445">
        <f t="shared" si="413"/>
        <v>0.45357066266352136</v>
      </c>
      <c r="BE81" s="445">
        <f t="shared" si="413"/>
        <v>0.43876146788990827</v>
      </c>
      <c r="BF81" s="445">
        <f t="shared" si="413"/>
        <v>0.44072436302379447</v>
      </c>
      <c r="BG81" s="445">
        <f t="shared" si="413"/>
        <v>0.42083429361604058</v>
      </c>
      <c r="BH81" s="445">
        <f t="shared" si="413"/>
        <v>0.41014429383471795</v>
      </c>
      <c r="BI81" s="445">
        <f t="shared" si="413"/>
        <v>0.3888888888888889</v>
      </c>
      <c r="BJ81" s="447">
        <f t="shared" si="413"/>
        <v>0.38160422670509125</v>
      </c>
      <c r="BK81" s="475">
        <f t="shared" ref="BK81:BP81" si="414">SUM(BK78)/BK80</f>
        <v>0.38574328896909543</v>
      </c>
      <c r="BL81" s="445">
        <f t="shared" si="414"/>
        <v>0.3742402992052361</v>
      </c>
      <c r="BM81" s="445">
        <f t="shared" si="414"/>
        <v>0.37843784378437845</v>
      </c>
      <c r="BN81" s="445">
        <f t="shared" si="414"/>
        <v>0.36416589002795902</v>
      </c>
      <c r="BO81" s="445">
        <f t="shared" si="414"/>
        <v>0.37112488928255094</v>
      </c>
      <c r="BP81" s="445">
        <f t="shared" si="414"/>
        <v>0.3633661102218157</v>
      </c>
      <c r="BQ81" s="445">
        <f t="shared" ref="BQ81:CB81" si="415">SUM(BQ78)/BQ80</f>
        <v>0.3541238291066941</v>
      </c>
      <c r="BR81" s="445">
        <f t="shared" si="415"/>
        <v>0.346859486293978</v>
      </c>
      <c r="BS81" s="445">
        <f t="shared" si="415"/>
        <v>0.33000730104648335</v>
      </c>
      <c r="BT81" s="445">
        <f t="shared" si="415"/>
        <v>0.33057661382954284</v>
      </c>
      <c r="BU81" s="445">
        <f t="shared" si="415"/>
        <v>0.32857800276115967</v>
      </c>
      <c r="BV81" s="447">
        <f t="shared" si="415"/>
        <v>0.32199861207494795</v>
      </c>
      <c r="BW81" s="475">
        <f t="shared" si="415"/>
        <v>0.32047134935304988</v>
      </c>
      <c r="BX81" s="445">
        <f t="shared" si="415"/>
        <v>0.31647331786542926</v>
      </c>
      <c r="BY81" s="445">
        <f t="shared" si="415"/>
        <v>0.31306778476589797</v>
      </c>
      <c r="BZ81" s="445">
        <f t="shared" si="415"/>
        <v>0.30923507462686567</v>
      </c>
      <c r="CA81" s="445">
        <f t="shared" si="415"/>
        <v>0.30612244897959184</v>
      </c>
      <c r="CB81" s="445">
        <f t="shared" si="415"/>
        <v>0.29543336439888163</v>
      </c>
      <c r="CC81" s="445">
        <f t="shared" ref="CC81:DR81" si="416">SUM(CC78)/CC80</f>
        <v>0.29580838323353292</v>
      </c>
      <c r="CD81" s="445">
        <f t="shared" si="416"/>
        <v>0.29154727793696272</v>
      </c>
      <c r="CE81" s="445">
        <f t="shared" si="416"/>
        <v>0.29027611044417767</v>
      </c>
      <c r="CF81" s="445">
        <f t="shared" si="416"/>
        <v>0.28779223273006577</v>
      </c>
      <c r="CG81" s="445">
        <f t="shared" si="416"/>
        <v>0.28408474833561037</v>
      </c>
      <c r="CH81" s="445">
        <f t="shared" si="416"/>
        <v>0.28109610474170493</v>
      </c>
      <c r="CI81" s="407">
        <f t="shared" si="416"/>
        <v>0.28122699386503069</v>
      </c>
      <c r="CJ81" s="405">
        <f t="shared" si="416"/>
        <v>0.28007889546351084</v>
      </c>
      <c r="CK81" s="405">
        <f t="shared" si="416"/>
        <v>0.2793282291923932</v>
      </c>
      <c r="CL81" s="405">
        <f t="shared" si="416"/>
        <v>0.27691165553080921</v>
      </c>
      <c r="CM81" s="405">
        <f t="shared" si="416"/>
        <v>0.2764676367285499</v>
      </c>
      <c r="CN81" s="405">
        <f t="shared" si="416"/>
        <v>0.2874015748031496</v>
      </c>
      <c r="CO81" s="405">
        <f t="shared" si="416"/>
        <v>0.27062374245472837</v>
      </c>
      <c r="CP81" s="405">
        <f t="shared" si="416"/>
        <v>0.26886317907444668</v>
      </c>
      <c r="CQ81" s="405">
        <f t="shared" si="416"/>
        <v>0.26567239635995954</v>
      </c>
      <c r="CR81" s="405">
        <f t="shared" si="416"/>
        <v>0.2627718765806778</v>
      </c>
      <c r="CS81" s="405">
        <f t="shared" si="416"/>
        <v>0.26076981901605911</v>
      </c>
      <c r="CT81" s="406">
        <f t="shared" si="416"/>
        <v>0.25726670066292706</v>
      </c>
      <c r="CU81" s="405">
        <f t="shared" si="416"/>
        <v>0.24469243331518781</v>
      </c>
      <c r="CV81" s="405">
        <f t="shared" si="416"/>
        <v>0.25057530043467147</v>
      </c>
      <c r="CW81" s="405">
        <f t="shared" si="416"/>
        <v>0.24852374839537869</v>
      </c>
      <c r="CX81" s="405">
        <f t="shared" si="416"/>
        <v>0.24608271256100694</v>
      </c>
      <c r="CY81" s="405">
        <f t="shared" si="416"/>
        <v>0.24478764478764478</v>
      </c>
      <c r="CZ81" s="405">
        <f t="shared" si="416"/>
        <v>0.2444673185795162</v>
      </c>
      <c r="DA81" s="405">
        <f t="shared" si="416"/>
        <v>0.23872472783825816</v>
      </c>
      <c r="DB81" s="405">
        <f t="shared" si="416"/>
        <v>0.23031601499732191</v>
      </c>
      <c r="DC81" s="405">
        <f t="shared" si="416"/>
        <v>0.23505047890240746</v>
      </c>
      <c r="DD81" s="405">
        <f t="shared" si="416"/>
        <v>0.22798066595059077</v>
      </c>
      <c r="DE81" s="405">
        <f t="shared" si="416"/>
        <v>0.22471606273661437</v>
      </c>
      <c r="DF81" s="406">
        <f t="shared" si="416"/>
        <v>0.22741596638655462</v>
      </c>
      <c r="DG81" s="405">
        <f t="shared" si="416"/>
        <v>0.24894240156199154</v>
      </c>
      <c r="DH81" s="405">
        <f t="shared" si="416"/>
        <v>0.22018348623853212</v>
      </c>
      <c r="DI81" s="405">
        <f t="shared" si="416"/>
        <v>0.22013742071881606</v>
      </c>
      <c r="DJ81" s="405">
        <f t="shared" si="416"/>
        <v>0.21258549931600548</v>
      </c>
      <c r="DK81" s="405">
        <f t="shared" si="416"/>
        <v>0.20578231292517007</v>
      </c>
      <c r="DL81" s="405">
        <f t="shared" si="416"/>
        <v>0.21273784355179703</v>
      </c>
      <c r="DM81" s="405">
        <f t="shared" si="416"/>
        <v>0.20584182970515294</v>
      </c>
      <c r="DN81" s="405">
        <f t="shared" si="416"/>
        <v>0.20824468085106382</v>
      </c>
      <c r="DO81" s="405">
        <f t="shared" si="416"/>
        <v>0.20409858764885072</v>
      </c>
      <c r="DP81" s="405">
        <f t="shared" si="416"/>
        <v>0.20434409831380396</v>
      </c>
      <c r="DQ81" s="490">
        <f t="shared" si="416"/>
        <v>0.19888771186440679</v>
      </c>
      <c r="DR81" s="490">
        <f t="shared" si="416"/>
        <v>0.22155887230514096</v>
      </c>
      <c r="DS81" s="490">
        <f t="shared" ref="DS81:FH81" si="417">SUM(DS78)/DS80</f>
        <v>0.1877003788982804</v>
      </c>
      <c r="DT81" s="490">
        <f t="shared" si="417"/>
        <v>0.19422863485016648</v>
      </c>
      <c r="DU81" s="490">
        <f t="shared" si="417"/>
        <v>0.19488559892328397</v>
      </c>
      <c r="DV81" s="491">
        <f t="shared" si="417"/>
        <v>0.19472834857450241</v>
      </c>
      <c r="DW81" s="491">
        <f t="shared" si="417"/>
        <v>0.19105362436001078</v>
      </c>
      <c r="DX81" s="491">
        <f t="shared" si="417"/>
        <v>0.21910986616868969</v>
      </c>
      <c r="DY81" s="491">
        <f t="shared" si="417"/>
        <v>0.18905742145178764</v>
      </c>
      <c r="DZ81" s="491">
        <f t="shared" si="417"/>
        <v>0.1857065511640498</v>
      </c>
      <c r="EA81" s="491">
        <f t="shared" si="417"/>
        <v>0.18322896814592976</v>
      </c>
      <c r="EB81" s="491">
        <f t="shared" si="417"/>
        <v>0.18134855899945623</v>
      </c>
      <c r="EC81" s="408">
        <f t="shared" si="417"/>
        <v>0.17983651226158037</v>
      </c>
      <c r="ED81" s="491">
        <f t="shared" si="417"/>
        <v>0.17832834195480535</v>
      </c>
      <c r="EE81" s="491">
        <f t="shared" si="417"/>
        <v>0.1766794101583834</v>
      </c>
      <c r="EF81" s="491">
        <f t="shared" si="417"/>
        <v>0.17393689986282579</v>
      </c>
      <c r="EG81" s="491">
        <f t="shared" si="417"/>
        <v>0.17150684931506849</v>
      </c>
      <c r="EH81" s="491">
        <f t="shared" si="417"/>
        <v>0.16862852450041063</v>
      </c>
      <c r="EI81" s="491">
        <f t="shared" si="417"/>
        <v>0.16790531241398293</v>
      </c>
      <c r="EJ81" s="491">
        <f t="shared" si="417"/>
        <v>0.16657473800330944</v>
      </c>
      <c r="EK81" s="491">
        <f t="shared" si="417"/>
        <v>0.16335540838852097</v>
      </c>
      <c r="EL81" s="491">
        <f t="shared" si="417"/>
        <v>0.16400220507166482</v>
      </c>
      <c r="EM81" s="491">
        <f t="shared" si="417"/>
        <v>0.15985643290999449</v>
      </c>
      <c r="EN81" s="491">
        <f t="shared" si="417"/>
        <v>0.15728476821192053</v>
      </c>
      <c r="EO81" s="491">
        <f t="shared" si="417"/>
        <v>0.15851272015655576</v>
      </c>
      <c r="EP81" s="491">
        <f t="shared" si="417"/>
        <v>0.15599664523343584</v>
      </c>
      <c r="EQ81" s="491">
        <f t="shared" si="417"/>
        <v>0.18031658637302134</v>
      </c>
      <c r="ER81" s="491">
        <f t="shared" si="417"/>
        <v>0.15994020926756353</v>
      </c>
      <c r="ES81" s="491">
        <f t="shared" si="417"/>
        <v>0.14838337182448036</v>
      </c>
      <c r="ET81" s="491">
        <f t="shared" si="417"/>
        <v>0.14938684503901895</v>
      </c>
      <c r="EU81" s="491">
        <f t="shared" si="417"/>
        <v>0.14909090909090908</v>
      </c>
      <c r="EV81" s="491">
        <f t="shared" si="417"/>
        <v>0.14876957494407159</v>
      </c>
      <c r="EW81" s="491">
        <f t="shared" si="417"/>
        <v>0.1473063973063973</v>
      </c>
      <c r="EX81" s="491">
        <f t="shared" si="417"/>
        <v>0.1458625525946704</v>
      </c>
      <c r="EY81" s="491">
        <f t="shared" si="417"/>
        <v>0.14522938361947649</v>
      </c>
      <c r="EZ81" s="491">
        <f t="shared" si="417"/>
        <v>0.1446664790318041</v>
      </c>
      <c r="FA81" s="491">
        <f t="shared" si="417"/>
        <v>0.14414414414414414</v>
      </c>
      <c r="FB81" s="491">
        <f t="shared" si="417"/>
        <v>0.14261508048573848</v>
      </c>
      <c r="FC81" s="491">
        <f t="shared" si="417"/>
        <v>0.1406206318143696</v>
      </c>
      <c r="FD81" s="491">
        <f t="shared" si="417"/>
        <v>0.14217207334273624</v>
      </c>
      <c r="FE81" s="491">
        <f t="shared" si="417"/>
        <v>0.13970588235294118</v>
      </c>
      <c r="FF81" s="491">
        <f t="shared" si="417"/>
        <v>0.14186651256862179</v>
      </c>
      <c r="FG81" s="491">
        <f t="shared" si="417"/>
        <v>0.13824362606232293</v>
      </c>
      <c r="FH81" s="491">
        <f t="shared" si="417"/>
        <v>0.13714933408897706</v>
      </c>
      <c r="FI81" s="491">
        <f t="shared" ref="FI81:FK81" si="418">SUM(FI78)/FI80</f>
        <v>0.13617021276595745</v>
      </c>
      <c r="FJ81" s="491">
        <f t="shared" si="418"/>
        <v>0.13446808510638297</v>
      </c>
      <c r="FK81" s="491">
        <f t="shared" si="418"/>
        <v>0.13291678500426016</v>
      </c>
      <c r="FL81" s="491">
        <f t="shared" ref="FL81:FQ81" si="419">SUM(FL78)/FL80</f>
        <v>0.13219858156028369</v>
      </c>
      <c r="FM81" s="491">
        <f t="shared" si="419"/>
        <v>0.13036069298494746</v>
      </c>
      <c r="FN81" s="491">
        <f t="shared" si="419"/>
        <v>0.12855517633674629</v>
      </c>
      <c r="FO81" s="491">
        <f t="shared" si="419"/>
        <v>0.12835906232132646</v>
      </c>
      <c r="FP81" s="491">
        <f t="shared" si="419"/>
        <v>0.12650257584430452</v>
      </c>
      <c r="FQ81" s="491">
        <f t="shared" si="419"/>
        <v>0.1247853463079565</v>
      </c>
      <c r="FR81" s="491">
        <f t="shared" ref="FR81:FT81" si="420">SUM(FR78)/FR80</f>
        <v>0.1219162363740677</v>
      </c>
      <c r="FS81" s="491">
        <f t="shared" si="420"/>
        <v>0.12080344332855093</v>
      </c>
      <c r="FT81" s="491">
        <f t="shared" si="420"/>
        <v>0.11991928509656961</v>
      </c>
    </row>
    <row r="82" spans="2:176" s="345" customFormat="1" ht="13.5" customHeight="1" thickBot="1" x14ac:dyDescent="0.3">
      <c r="B82" s="443" t="s">
        <v>11</v>
      </c>
      <c r="C82" s="475">
        <f t="shared" ref="C82:Q82" si="421">SUM(C79/C80)</f>
        <v>3.119368640896027E-2</v>
      </c>
      <c r="D82" s="445">
        <f t="shared" si="421"/>
        <v>0.21914410528053749</v>
      </c>
      <c r="E82" s="445">
        <f t="shared" si="421"/>
        <v>6.7503908049449085E-2</v>
      </c>
      <c r="F82" s="445">
        <f t="shared" si="421"/>
        <v>4.2585935696421974E-2</v>
      </c>
      <c r="G82" s="445">
        <f t="shared" si="421"/>
        <v>3.9031341237696228E-2</v>
      </c>
      <c r="H82" s="445">
        <f t="shared" si="421"/>
        <v>2.1016965246301009E-2</v>
      </c>
      <c r="I82" s="445">
        <f t="shared" si="421"/>
        <v>0.15503473955238664</v>
      </c>
      <c r="J82" s="445">
        <f t="shared" si="421"/>
        <v>7.1915858042472844E-2</v>
      </c>
      <c r="K82" s="445">
        <f t="shared" si="421"/>
        <v>0.16203129229809946</v>
      </c>
      <c r="L82" s="445">
        <f t="shared" si="421"/>
        <v>8.4717151576179039E-2</v>
      </c>
      <c r="M82" s="445">
        <f t="shared" si="421"/>
        <v>8.5966682732859373E-2</v>
      </c>
      <c r="N82" s="447">
        <f t="shared" si="421"/>
        <v>8.6668563248565894E-2</v>
      </c>
      <c r="O82" s="475">
        <f t="shared" si="421"/>
        <v>9.9789177793394232E-2</v>
      </c>
      <c r="P82" s="445">
        <f t="shared" si="421"/>
        <v>0.10595009596928982</v>
      </c>
      <c r="Q82" s="445">
        <f t="shared" si="421"/>
        <v>0.11029411764705882</v>
      </c>
      <c r="R82" s="445">
        <f t="shared" ref="R82:W82" si="422">SUM(R79/R80)</f>
        <v>0.1080373831775701</v>
      </c>
      <c r="S82" s="445">
        <f t="shared" si="422"/>
        <v>0.1884521346624036</v>
      </c>
      <c r="T82" s="445">
        <f t="shared" si="422"/>
        <v>0.55012690355329952</v>
      </c>
      <c r="U82" s="445">
        <f t="shared" si="422"/>
        <v>0.19825181327878</v>
      </c>
      <c r="V82" s="445">
        <f t="shared" si="422"/>
        <v>0.20311609348280449</v>
      </c>
      <c r="W82" s="445">
        <f t="shared" si="422"/>
        <v>0.2111978670729385</v>
      </c>
      <c r="X82" s="445">
        <f t="shared" ref="X82:AC82" si="423">SUM(X79/X80)</f>
        <v>0.21649484536082475</v>
      </c>
      <c r="Y82" s="445">
        <f t="shared" si="423"/>
        <v>0.22530996152201796</v>
      </c>
      <c r="Z82" s="447">
        <f t="shared" si="423"/>
        <v>0.22550902804456396</v>
      </c>
      <c r="AA82" s="475">
        <f t="shared" si="423"/>
        <v>0.27864897466827504</v>
      </c>
      <c r="AB82" s="445">
        <f t="shared" si="423"/>
        <v>0.41689316328664017</v>
      </c>
      <c r="AC82" s="445">
        <f t="shared" si="423"/>
        <v>0.39738487777146103</v>
      </c>
      <c r="AD82" s="445">
        <f t="shared" ref="AD82:AI82" si="424">SUM(AD79/AD80)</f>
        <v>0.41664957965962685</v>
      </c>
      <c r="AE82" s="445">
        <f t="shared" si="424"/>
        <v>0.42674888369126091</v>
      </c>
      <c r="AF82" s="445">
        <f t="shared" si="424"/>
        <v>0.42180000000000001</v>
      </c>
      <c r="AG82" s="445">
        <f t="shared" si="424"/>
        <v>0.43293576061937644</v>
      </c>
      <c r="AH82" s="445">
        <f t="shared" si="424"/>
        <v>0.43307244631747943</v>
      </c>
      <c r="AI82" s="445">
        <f t="shared" si="424"/>
        <v>0.35830058939096265</v>
      </c>
      <c r="AJ82" s="445">
        <f t="shared" ref="AJ82:AO82" si="425">SUM(AJ79/AJ80)</f>
        <v>0.45469869363674675</v>
      </c>
      <c r="AK82" s="445">
        <f t="shared" si="425"/>
        <v>0.46924928868461369</v>
      </c>
      <c r="AL82" s="447">
        <f t="shared" si="425"/>
        <v>0.47018851380973259</v>
      </c>
      <c r="AM82" s="475">
        <f t="shared" si="425"/>
        <v>0.46907545164718384</v>
      </c>
      <c r="AN82" s="445">
        <f t="shared" si="425"/>
        <v>0.48648648648648651</v>
      </c>
      <c r="AO82" s="445">
        <f t="shared" si="425"/>
        <v>0.47130801687763713</v>
      </c>
      <c r="AP82" s="445">
        <f t="shared" ref="AP82:AU82" si="426">SUM(AP79/AP80)</f>
        <v>0.48319789150010983</v>
      </c>
      <c r="AQ82" s="445">
        <f t="shared" si="426"/>
        <v>0.49181777974347635</v>
      </c>
      <c r="AR82" s="445">
        <f t="shared" si="426"/>
        <v>0.42047128129602357</v>
      </c>
      <c r="AS82" s="445">
        <f t="shared" si="426"/>
        <v>0.50509074811863652</v>
      </c>
      <c r="AT82" s="445">
        <f t="shared" si="426"/>
        <v>0.49796913078797728</v>
      </c>
      <c r="AU82" s="445">
        <f t="shared" si="426"/>
        <v>0.51058315334773219</v>
      </c>
      <c r="AV82" s="445">
        <f>SUM(AV79/AV80)</f>
        <v>0.51451473136915082</v>
      </c>
      <c r="AW82" s="445">
        <f>SUM(AW79/AW80)</f>
        <v>0.52540855160062683</v>
      </c>
      <c r="AX82" s="447">
        <f>SUM(AX79/AX80)</f>
        <v>0.52329749103942658</v>
      </c>
      <c r="AY82" s="475">
        <f t="shared" ref="AY82:BG82" si="427">SUM(AY79/AY80)</f>
        <v>0.52309368191721128</v>
      </c>
      <c r="AZ82" s="445">
        <f t="shared" si="427"/>
        <v>0.53786496350364965</v>
      </c>
      <c r="BA82" s="445">
        <f t="shared" si="427"/>
        <v>0.51836650933716399</v>
      </c>
      <c r="BB82" s="445">
        <f t="shared" si="427"/>
        <v>0.54301801801801797</v>
      </c>
      <c r="BC82" s="445">
        <f t="shared" si="427"/>
        <v>0.53933547695605577</v>
      </c>
      <c r="BD82" s="445">
        <f t="shared" si="427"/>
        <v>0.54642933733647869</v>
      </c>
      <c r="BE82" s="445">
        <f t="shared" si="427"/>
        <v>0.56123853211009178</v>
      </c>
      <c r="BF82" s="445">
        <f t="shared" si="427"/>
        <v>0.55927563697620553</v>
      </c>
      <c r="BG82" s="445">
        <f t="shared" si="427"/>
        <v>0.57916570638395948</v>
      </c>
      <c r="BH82" s="445">
        <f t="shared" ref="BH82:BM82" si="428">SUM(BH79/BH80)</f>
        <v>0.58985570616528205</v>
      </c>
      <c r="BI82" s="445">
        <f t="shared" si="428"/>
        <v>0.61111111111111116</v>
      </c>
      <c r="BJ82" s="447">
        <f t="shared" si="428"/>
        <v>0.61839577329490869</v>
      </c>
      <c r="BK82" s="475">
        <f t="shared" si="428"/>
        <v>0.61425671103090462</v>
      </c>
      <c r="BL82" s="445">
        <f t="shared" si="428"/>
        <v>0.62575970079476395</v>
      </c>
      <c r="BM82" s="445">
        <f t="shared" si="428"/>
        <v>0.62156215621562161</v>
      </c>
      <c r="BN82" s="445">
        <f t="shared" ref="BN82:BS82" si="429">SUM(BN79/BN80)</f>
        <v>0.63583410997204104</v>
      </c>
      <c r="BO82" s="445">
        <f t="shared" si="429"/>
        <v>0.62887511071744906</v>
      </c>
      <c r="BP82" s="445">
        <f t="shared" si="429"/>
        <v>0.63663388977818436</v>
      </c>
      <c r="BQ82" s="445">
        <f t="shared" si="429"/>
        <v>0.64587617089330596</v>
      </c>
      <c r="BR82" s="445">
        <f t="shared" si="429"/>
        <v>0.653140513706022</v>
      </c>
      <c r="BS82" s="445">
        <f t="shared" si="429"/>
        <v>0.66999269895351665</v>
      </c>
      <c r="BT82" s="445">
        <f>SUM(BT79/BT80)</f>
        <v>0.66942338617045716</v>
      </c>
      <c r="BU82" s="445">
        <f>SUM(BU79/BU80)</f>
        <v>0.67142199723884033</v>
      </c>
      <c r="BV82" s="447">
        <f>SUM(BV79/BV80)</f>
        <v>0.67800138792505205</v>
      </c>
      <c r="BW82" s="475">
        <f t="shared" ref="BW82:CB82" si="430">SUM(BW79/BW80)</f>
        <v>0.67952865064695012</v>
      </c>
      <c r="BX82" s="445">
        <f t="shared" si="430"/>
        <v>0.6835266821345708</v>
      </c>
      <c r="BY82" s="445">
        <f t="shared" si="430"/>
        <v>0.68693221523410197</v>
      </c>
      <c r="BZ82" s="445">
        <f t="shared" si="430"/>
        <v>0.69076492537313428</v>
      </c>
      <c r="CA82" s="445">
        <f t="shared" si="430"/>
        <v>0.69387755102040816</v>
      </c>
      <c r="CB82" s="445">
        <f t="shared" si="430"/>
        <v>0.70456663560111832</v>
      </c>
      <c r="CC82" s="445">
        <f t="shared" ref="CC82:DR82" si="431">SUM(CC79/CC80)</f>
        <v>0.70419161676646702</v>
      </c>
      <c r="CD82" s="445">
        <f t="shared" si="431"/>
        <v>0.70845272206303722</v>
      </c>
      <c r="CE82" s="445">
        <f t="shared" si="431"/>
        <v>0.70972388955582233</v>
      </c>
      <c r="CF82" s="445">
        <f t="shared" si="431"/>
        <v>0.71220776726993418</v>
      </c>
      <c r="CG82" s="445">
        <f t="shared" si="431"/>
        <v>0.71591525166438963</v>
      </c>
      <c r="CH82" s="445">
        <f t="shared" si="431"/>
        <v>0.7189038952582949</v>
      </c>
      <c r="CI82" s="414">
        <f t="shared" si="431"/>
        <v>0.71877300613496931</v>
      </c>
      <c r="CJ82" s="412">
        <f t="shared" si="431"/>
        <v>0.71992110453648916</v>
      </c>
      <c r="CK82" s="412">
        <f t="shared" si="431"/>
        <v>0.7206717708076068</v>
      </c>
      <c r="CL82" s="412">
        <f t="shared" si="431"/>
        <v>0.72308834446919079</v>
      </c>
      <c r="CM82" s="412">
        <f t="shared" si="431"/>
        <v>0.7235323632714501</v>
      </c>
      <c r="CN82" s="412">
        <f t="shared" si="431"/>
        <v>0.71259842519685035</v>
      </c>
      <c r="CO82" s="412">
        <f t="shared" si="431"/>
        <v>0.72937625754527158</v>
      </c>
      <c r="CP82" s="412">
        <f t="shared" si="431"/>
        <v>0.73113682092555332</v>
      </c>
      <c r="CQ82" s="412">
        <f t="shared" si="431"/>
        <v>0.73432760364004046</v>
      </c>
      <c r="CR82" s="412">
        <f t="shared" si="431"/>
        <v>0.7372281234193222</v>
      </c>
      <c r="CS82" s="412">
        <f t="shared" si="431"/>
        <v>0.73923018098394089</v>
      </c>
      <c r="CT82" s="413">
        <f t="shared" si="431"/>
        <v>0.74273329933707288</v>
      </c>
      <c r="CU82" s="412">
        <f t="shared" si="431"/>
        <v>0.75530756668481225</v>
      </c>
      <c r="CV82" s="412">
        <f t="shared" si="431"/>
        <v>0.74942469956532853</v>
      </c>
      <c r="CW82" s="412">
        <f t="shared" si="431"/>
        <v>0.75147625160462128</v>
      </c>
      <c r="CX82" s="412">
        <f t="shared" si="431"/>
        <v>0.75391728743899311</v>
      </c>
      <c r="CY82" s="412">
        <f t="shared" si="431"/>
        <v>0.75521235521235519</v>
      </c>
      <c r="CZ82" s="412">
        <f t="shared" si="431"/>
        <v>0.7555326814204838</v>
      </c>
      <c r="DA82" s="412">
        <f t="shared" si="431"/>
        <v>0.76127527216174184</v>
      </c>
      <c r="DB82" s="412">
        <f t="shared" si="431"/>
        <v>0.76968398500267809</v>
      </c>
      <c r="DC82" s="412">
        <f t="shared" si="431"/>
        <v>0.76494952109759251</v>
      </c>
      <c r="DD82" s="412">
        <f t="shared" si="431"/>
        <v>0.77201933404940926</v>
      </c>
      <c r="DE82" s="412">
        <f t="shared" si="431"/>
        <v>0.77528393726338563</v>
      </c>
      <c r="DF82" s="413">
        <f t="shared" si="431"/>
        <v>0.77258403361344541</v>
      </c>
      <c r="DG82" s="412">
        <f t="shared" si="431"/>
        <v>0.75105759843800846</v>
      </c>
      <c r="DH82" s="412">
        <f t="shared" si="431"/>
        <v>0.77981651376146788</v>
      </c>
      <c r="DI82" s="412">
        <f t="shared" si="431"/>
        <v>0.77986257928118397</v>
      </c>
      <c r="DJ82" s="412">
        <f t="shared" si="431"/>
        <v>0.78741450068399454</v>
      </c>
      <c r="DK82" s="412">
        <f t="shared" si="431"/>
        <v>0.79421768707482998</v>
      </c>
      <c r="DL82" s="412">
        <f t="shared" si="431"/>
        <v>0.78726215644820297</v>
      </c>
      <c r="DM82" s="412">
        <f t="shared" si="431"/>
        <v>0.79415817029484703</v>
      </c>
      <c r="DN82" s="412">
        <f t="shared" si="431"/>
        <v>0.79175531914893615</v>
      </c>
      <c r="DO82" s="412">
        <f t="shared" si="431"/>
        <v>0.79590141235114931</v>
      </c>
      <c r="DP82" s="412">
        <f t="shared" si="431"/>
        <v>0.79565590168619604</v>
      </c>
      <c r="DQ82" s="492">
        <f t="shared" si="431"/>
        <v>0.80111228813559321</v>
      </c>
      <c r="DR82" s="492">
        <f t="shared" si="431"/>
        <v>0.77844112769485907</v>
      </c>
      <c r="DS82" s="492">
        <f t="shared" ref="DS82:FH82" si="432">SUM(DS79/DS80)</f>
        <v>0.8122996211017196</v>
      </c>
      <c r="DT82" s="492">
        <f t="shared" si="432"/>
        <v>0.8057713651498335</v>
      </c>
      <c r="DU82" s="492">
        <f t="shared" si="432"/>
        <v>0.80511440107671606</v>
      </c>
      <c r="DV82" s="493">
        <f t="shared" si="432"/>
        <v>0.80527165142549761</v>
      </c>
      <c r="DW82" s="493">
        <f t="shared" si="432"/>
        <v>0.80894637563998917</v>
      </c>
      <c r="DX82" s="493">
        <f t="shared" si="432"/>
        <v>0.78089013383131034</v>
      </c>
      <c r="DY82" s="493">
        <f t="shared" si="432"/>
        <v>0.81094257854821239</v>
      </c>
      <c r="DZ82" s="493">
        <f t="shared" si="432"/>
        <v>0.81429344883595023</v>
      </c>
      <c r="EA82" s="493">
        <f t="shared" si="432"/>
        <v>0.8167710318540703</v>
      </c>
      <c r="EB82" s="493">
        <f t="shared" si="432"/>
        <v>0.81865144100054377</v>
      </c>
      <c r="EC82" s="415">
        <f t="shared" si="432"/>
        <v>0.82016348773841963</v>
      </c>
      <c r="ED82" s="493">
        <f t="shared" si="432"/>
        <v>0.82167165804519471</v>
      </c>
      <c r="EE82" s="493">
        <f t="shared" si="432"/>
        <v>0.8233205898416166</v>
      </c>
      <c r="EF82" s="493">
        <f t="shared" si="432"/>
        <v>0.82606310013717421</v>
      </c>
      <c r="EG82" s="493">
        <f t="shared" si="432"/>
        <v>0.82849315068493146</v>
      </c>
      <c r="EH82" s="493">
        <f t="shared" si="432"/>
        <v>0.83137147549958934</v>
      </c>
      <c r="EI82" s="493">
        <f t="shared" si="432"/>
        <v>0.83209468758601701</v>
      </c>
      <c r="EJ82" s="493">
        <f t="shared" si="432"/>
        <v>0.83342526199669054</v>
      </c>
      <c r="EK82" s="493">
        <f t="shared" si="432"/>
        <v>0.83664459161147908</v>
      </c>
      <c r="EL82" s="493">
        <f t="shared" si="432"/>
        <v>0.83599779492833515</v>
      </c>
      <c r="EM82" s="493">
        <f t="shared" si="432"/>
        <v>0.84014356709000548</v>
      </c>
      <c r="EN82" s="493">
        <f t="shared" si="432"/>
        <v>0.8427152317880795</v>
      </c>
      <c r="EO82" s="493">
        <f t="shared" si="432"/>
        <v>0.84148727984344418</v>
      </c>
      <c r="EP82" s="493">
        <f t="shared" si="432"/>
        <v>0.84400335476656418</v>
      </c>
      <c r="EQ82" s="493">
        <f t="shared" si="432"/>
        <v>0.81968341362697872</v>
      </c>
      <c r="ER82" s="493">
        <f t="shared" si="432"/>
        <v>0.84005979073243642</v>
      </c>
      <c r="ES82" s="493">
        <f t="shared" si="432"/>
        <v>0.85161662817551964</v>
      </c>
      <c r="ET82" s="493">
        <f t="shared" si="432"/>
        <v>0.850613154960981</v>
      </c>
      <c r="EU82" s="493">
        <f t="shared" si="432"/>
        <v>0.85090909090909095</v>
      </c>
      <c r="EV82" s="493">
        <f t="shared" si="432"/>
        <v>0.85123042505592839</v>
      </c>
      <c r="EW82" s="493">
        <f t="shared" si="432"/>
        <v>0.85269360269360273</v>
      </c>
      <c r="EX82" s="493">
        <f t="shared" si="432"/>
        <v>0.8541374474053296</v>
      </c>
      <c r="EY82" s="493">
        <f t="shared" si="432"/>
        <v>0.85477061638052354</v>
      </c>
      <c r="EZ82" s="493">
        <f t="shared" si="432"/>
        <v>0.85533352096819593</v>
      </c>
      <c r="FA82" s="493">
        <f t="shared" si="432"/>
        <v>0.85585585585585588</v>
      </c>
      <c r="FB82" s="493">
        <f t="shared" si="432"/>
        <v>0.85738491951426155</v>
      </c>
      <c r="FC82" s="493">
        <f t="shared" si="432"/>
        <v>0.85937936818563043</v>
      </c>
      <c r="FD82" s="493">
        <f t="shared" si="432"/>
        <v>0.85782792665726371</v>
      </c>
      <c r="FE82" s="493">
        <f t="shared" si="432"/>
        <v>0.86029411764705888</v>
      </c>
      <c r="FF82" s="493">
        <f t="shared" si="432"/>
        <v>0.85813348743137818</v>
      </c>
      <c r="FG82" s="493">
        <f t="shared" si="432"/>
        <v>0.86175637393767701</v>
      </c>
      <c r="FH82" s="493">
        <f t="shared" si="432"/>
        <v>0.862850665911023</v>
      </c>
      <c r="FI82" s="493">
        <f t="shared" ref="FI82:FK82" si="433">SUM(FI79/FI80)</f>
        <v>0.86382978723404258</v>
      </c>
      <c r="FJ82" s="493">
        <f t="shared" si="433"/>
        <v>0.86553191489361703</v>
      </c>
      <c r="FK82" s="493">
        <f t="shared" si="433"/>
        <v>0.86708321499573981</v>
      </c>
      <c r="FL82" s="493">
        <f t="shared" ref="FL82:FQ82" si="434">SUM(FL79/FL80)</f>
        <v>0.86780141843971637</v>
      </c>
      <c r="FM82" s="493">
        <f t="shared" si="434"/>
        <v>0.86963930701505254</v>
      </c>
      <c r="FN82" s="493">
        <f t="shared" si="434"/>
        <v>0.87144482366325371</v>
      </c>
      <c r="FO82" s="493">
        <f t="shared" si="434"/>
        <v>0.87164093767867357</v>
      </c>
      <c r="FP82" s="493">
        <f t="shared" si="434"/>
        <v>0.87349742415569542</v>
      </c>
      <c r="FQ82" s="493">
        <f t="shared" si="434"/>
        <v>0.87521465369204354</v>
      </c>
      <c r="FR82" s="493">
        <f t="shared" ref="FR82:FT82" si="435">SUM(FR79/FR80)</f>
        <v>0.87808376362593232</v>
      </c>
      <c r="FS82" s="493">
        <f t="shared" si="435"/>
        <v>0.87919655667144903</v>
      </c>
      <c r="FT82" s="493">
        <f t="shared" si="435"/>
        <v>0.88008071490343043</v>
      </c>
    </row>
    <row r="83" spans="2:176" ht="13.5" customHeight="1" x14ac:dyDescent="0.25">
      <c r="B83" s="179"/>
      <c r="C83" s="86"/>
      <c r="D83" s="64"/>
      <c r="E83" s="64"/>
      <c r="F83" s="64"/>
      <c r="G83" s="64"/>
      <c r="H83" s="65"/>
      <c r="I83" s="64"/>
      <c r="J83" s="64"/>
      <c r="K83" s="64"/>
      <c r="L83" s="64"/>
      <c r="M83" s="64"/>
      <c r="N83" s="66"/>
      <c r="O83" s="86"/>
      <c r="P83" s="64"/>
      <c r="Q83" s="64"/>
      <c r="R83" s="64"/>
      <c r="S83" s="64"/>
      <c r="T83" s="65"/>
      <c r="U83" s="64"/>
      <c r="V83" s="64"/>
      <c r="W83" s="64"/>
      <c r="X83" s="64"/>
      <c r="Y83" s="64"/>
      <c r="Z83" s="66"/>
      <c r="AA83" s="86"/>
      <c r="AB83" s="64"/>
      <c r="AC83" s="64"/>
      <c r="AD83" s="64"/>
      <c r="AE83" s="64"/>
      <c r="AF83" s="65"/>
      <c r="AG83" s="64"/>
      <c r="AH83" s="64"/>
      <c r="AI83" s="64"/>
      <c r="AJ83" s="64"/>
      <c r="AK83" s="64"/>
      <c r="AL83" s="66"/>
      <c r="AM83" s="86"/>
      <c r="AN83" s="64"/>
      <c r="AO83" s="64"/>
      <c r="AP83" s="64"/>
      <c r="AQ83" s="64"/>
      <c r="AR83" s="65"/>
      <c r="AS83" s="64"/>
      <c r="AT83" s="64"/>
      <c r="AU83" s="64"/>
      <c r="AV83" s="64"/>
      <c r="AW83" s="64"/>
      <c r="AX83" s="66"/>
      <c r="AY83" s="86"/>
      <c r="AZ83" s="64"/>
      <c r="BA83" s="64"/>
      <c r="BB83" s="64"/>
      <c r="BC83" s="64"/>
      <c r="BD83" s="65"/>
      <c r="BE83" s="64"/>
      <c r="BF83" s="64"/>
      <c r="BG83" s="64"/>
      <c r="BH83" s="64"/>
      <c r="BI83" s="64"/>
      <c r="BJ83" s="66"/>
      <c r="BK83" s="86"/>
      <c r="BL83" s="64"/>
      <c r="BM83" s="64"/>
      <c r="BN83" s="64"/>
      <c r="BO83" s="64"/>
      <c r="BP83" s="65"/>
      <c r="BQ83" s="64"/>
      <c r="BR83" s="64"/>
      <c r="BS83" s="64"/>
      <c r="BT83" s="64"/>
      <c r="BU83" s="64"/>
      <c r="BV83" s="66"/>
      <c r="BW83" s="86"/>
      <c r="BX83" s="64"/>
      <c r="BY83" s="64"/>
      <c r="BZ83" s="64"/>
      <c r="CA83" s="64"/>
      <c r="CB83" s="65"/>
      <c r="CC83" s="64"/>
      <c r="CD83" s="64"/>
      <c r="CE83" s="64"/>
      <c r="CF83" s="64"/>
      <c r="CG83" s="64"/>
      <c r="CH83" s="66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58"/>
      <c r="DW83" s="358"/>
      <c r="DX83" s="358"/>
    </row>
    <row r="84" spans="2:176" s="68" customFormat="1" x14ac:dyDescent="0.25">
      <c r="B84" s="173" t="s">
        <v>56</v>
      </c>
      <c r="C84" s="81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20"/>
      <c r="O84" s="81"/>
      <c r="P84" s="18"/>
      <c r="Q84" s="18"/>
      <c r="R84" s="18"/>
      <c r="S84" s="18"/>
      <c r="T84" s="19"/>
      <c r="U84" s="18"/>
      <c r="V84" s="18"/>
      <c r="W84" s="18"/>
      <c r="X84" s="18"/>
      <c r="Y84" s="18"/>
      <c r="Z84" s="20"/>
      <c r="AA84" s="81"/>
      <c r="AB84" s="18"/>
      <c r="AC84" s="18"/>
      <c r="AD84" s="18"/>
      <c r="AE84" s="18"/>
      <c r="AF84" s="19"/>
      <c r="AG84" s="18"/>
      <c r="AH84" s="18"/>
      <c r="AI84" s="18"/>
      <c r="AJ84" s="18"/>
      <c r="AK84" s="18"/>
      <c r="AL84" s="20"/>
      <c r="AM84" s="81"/>
      <c r="AN84" s="18"/>
      <c r="AO84" s="18"/>
      <c r="AP84" s="18"/>
      <c r="AQ84" s="18"/>
      <c r="AR84" s="19"/>
      <c r="AS84" s="18"/>
      <c r="AT84" s="18"/>
      <c r="AU84" s="18"/>
      <c r="AV84" s="18"/>
      <c r="AW84" s="18"/>
      <c r="AX84" s="20"/>
      <c r="AY84" s="81"/>
      <c r="AZ84" s="18"/>
      <c r="BA84" s="18"/>
      <c r="BB84" s="18"/>
      <c r="BC84" s="18"/>
      <c r="BD84" s="19"/>
      <c r="BE84" s="18"/>
      <c r="BF84" s="18"/>
      <c r="BG84" s="18"/>
      <c r="BH84" s="18"/>
      <c r="BI84" s="18"/>
      <c r="BJ84" s="20"/>
      <c r="BK84" s="81"/>
      <c r="BL84" s="18"/>
      <c r="BM84" s="18"/>
      <c r="BN84" s="18"/>
      <c r="BO84" s="18"/>
      <c r="BP84" s="19"/>
      <c r="BQ84" s="18"/>
      <c r="BR84" s="18"/>
      <c r="BS84" s="18"/>
      <c r="BT84" s="18"/>
      <c r="BU84" s="18"/>
      <c r="BV84" s="20"/>
      <c r="BW84" s="81"/>
      <c r="BX84" s="18"/>
      <c r="BY84" s="18"/>
      <c r="BZ84" s="18"/>
      <c r="CA84" s="18"/>
      <c r="CB84" s="19"/>
      <c r="CC84" s="18"/>
      <c r="CD84" s="18"/>
      <c r="CE84" s="18"/>
      <c r="CF84" s="18"/>
      <c r="CG84" s="18"/>
      <c r="CH84" s="20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56"/>
      <c r="DW84" s="356"/>
      <c r="DX84" s="356"/>
      <c r="DZ84" s="302"/>
    </row>
    <row r="85" spans="2:176" s="68" customFormat="1" x14ac:dyDescent="0.25">
      <c r="B85" s="3" t="s">
        <v>1</v>
      </c>
      <c r="C85" s="121">
        <f>SUM(C51,C61,C71,C78)</f>
        <v>254424.45499999999</v>
      </c>
      <c r="D85" s="16">
        <f t="shared" ref="D85:N86" si="436">SUM(D51,D61,D71,D78)</f>
        <v>254424.45499999999</v>
      </c>
      <c r="E85" s="16">
        <f t="shared" si="436"/>
        <v>276287.54700000002</v>
      </c>
      <c r="F85" s="16">
        <f t="shared" si="436"/>
        <v>266041.473</v>
      </c>
      <c r="G85" s="16">
        <f t="shared" si="436"/>
        <v>250672.133</v>
      </c>
      <c r="H85" s="16">
        <f t="shared" si="436"/>
        <v>238515.79699999999</v>
      </c>
      <c r="I85" s="16">
        <f t="shared" si="436"/>
        <v>308601.81</v>
      </c>
      <c r="J85" s="16">
        <f t="shared" si="436"/>
        <v>326963.83100000006</v>
      </c>
      <c r="K85" s="16">
        <f t="shared" si="436"/>
        <v>324911.98600000003</v>
      </c>
      <c r="L85" s="16">
        <f t="shared" si="436"/>
        <v>239565.86699999994</v>
      </c>
      <c r="M85" s="16">
        <f t="shared" si="436"/>
        <v>184408.63200000001</v>
      </c>
      <c r="N85" s="21">
        <f t="shared" si="436"/>
        <v>235543.454</v>
      </c>
      <c r="O85" s="121">
        <f t="shared" ref="O85:Q86" si="437">O78+O71+O61+O51</f>
        <v>255305</v>
      </c>
      <c r="P85" s="16">
        <f t="shared" si="437"/>
        <v>199358</v>
      </c>
      <c r="Q85" s="16">
        <f t="shared" si="437"/>
        <v>196479</v>
      </c>
      <c r="R85" s="16">
        <f t="shared" ref="R85:T86" si="438">R78+R71+R61+R51</f>
        <v>174324</v>
      </c>
      <c r="S85" s="16">
        <f t="shared" si="438"/>
        <v>209407</v>
      </c>
      <c r="T85" s="16">
        <f t="shared" si="438"/>
        <v>235895</v>
      </c>
      <c r="U85" s="16">
        <f t="shared" ref="U85:W86" si="439">U51+U61+U71+U78</f>
        <v>269529</v>
      </c>
      <c r="V85" s="16">
        <f t="shared" si="439"/>
        <v>276561</v>
      </c>
      <c r="W85" s="16">
        <f t="shared" si="439"/>
        <v>232382</v>
      </c>
      <c r="X85" s="16">
        <f t="shared" ref="X85:Z86" si="440">X51+X61+X71+X78</f>
        <v>175178</v>
      </c>
      <c r="Y85" s="16">
        <f t="shared" si="440"/>
        <v>125879</v>
      </c>
      <c r="Z85" s="21">
        <f t="shared" si="440"/>
        <v>172873</v>
      </c>
      <c r="AA85" s="121">
        <f t="shared" ref="AA85:AC86" si="441">AA51+AA61+AA71+AA78</f>
        <v>187998</v>
      </c>
      <c r="AB85" s="16">
        <f t="shared" si="441"/>
        <v>156464</v>
      </c>
      <c r="AC85" s="16">
        <f t="shared" si="441"/>
        <v>158008</v>
      </c>
      <c r="AD85" s="16">
        <f t="shared" ref="AD85:AF86" si="442">AD51+AD61+AD71+AD78</f>
        <v>129878</v>
      </c>
      <c r="AE85" s="16">
        <f t="shared" si="442"/>
        <v>126485</v>
      </c>
      <c r="AF85" s="16">
        <f t="shared" si="442"/>
        <v>186797</v>
      </c>
      <c r="AG85" s="16">
        <f t="shared" ref="AG85:AI86" si="443">AG51+AG61+AG71+AG78</f>
        <v>191052</v>
      </c>
      <c r="AH85" s="16">
        <f t="shared" si="443"/>
        <v>188989</v>
      </c>
      <c r="AI85" s="16">
        <f t="shared" si="443"/>
        <v>158399</v>
      </c>
      <c r="AJ85" s="16">
        <f t="shared" ref="AJ85:AL86" si="444">AJ51+AJ61+AJ71+AJ78</f>
        <v>124147</v>
      </c>
      <c r="AK85" s="16">
        <f t="shared" si="444"/>
        <v>103201</v>
      </c>
      <c r="AL85" s="21">
        <f t="shared" si="444"/>
        <v>126683</v>
      </c>
      <c r="AM85" s="121">
        <f t="shared" ref="AM85:AO86" si="445">AM51+AM61+AM71+AM78</f>
        <v>153829</v>
      </c>
      <c r="AN85" s="16">
        <f t="shared" si="445"/>
        <v>116122</v>
      </c>
      <c r="AO85" s="16">
        <f t="shared" si="445"/>
        <v>110596</v>
      </c>
      <c r="AP85" s="16">
        <f t="shared" ref="AP85:AR86" si="446">AP51+AP61+AP71+AP78</f>
        <v>94203</v>
      </c>
      <c r="AQ85" s="16">
        <f t="shared" si="446"/>
        <v>98289</v>
      </c>
      <c r="AR85" s="16">
        <f t="shared" si="446"/>
        <v>136544</v>
      </c>
      <c r="AS85" s="16">
        <f t="shared" ref="AS85:AU86" si="447">AS51+AS61+AS71+AS78</f>
        <v>162421</v>
      </c>
      <c r="AT85" s="16">
        <f t="shared" si="447"/>
        <v>162879</v>
      </c>
      <c r="AU85" s="16">
        <f t="shared" si="447"/>
        <v>145510</v>
      </c>
      <c r="AV85" s="16">
        <f t="shared" ref="AV85:BG86" si="448">AV51+AV61+AV71+AV78</f>
        <v>118123</v>
      </c>
      <c r="AW85" s="16">
        <f t="shared" si="448"/>
        <v>88782</v>
      </c>
      <c r="AX85" s="21">
        <f t="shared" si="448"/>
        <v>111970</v>
      </c>
      <c r="AY85" s="121">
        <f t="shared" si="448"/>
        <v>122984</v>
      </c>
      <c r="AZ85" s="16">
        <f t="shared" si="448"/>
        <v>93184</v>
      </c>
      <c r="BA85" s="16">
        <f t="shared" si="448"/>
        <v>100442</v>
      </c>
      <c r="BB85" s="16">
        <f t="shared" si="448"/>
        <v>77618</v>
      </c>
      <c r="BC85" s="16">
        <f t="shared" si="448"/>
        <v>98179</v>
      </c>
      <c r="BD85" s="16">
        <f t="shared" si="448"/>
        <v>133778</v>
      </c>
      <c r="BE85" s="16">
        <f t="shared" si="448"/>
        <v>125380</v>
      </c>
      <c r="BF85" s="16">
        <f t="shared" si="448"/>
        <v>150662</v>
      </c>
      <c r="BG85" s="16">
        <f t="shared" si="448"/>
        <v>116069</v>
      </c>
      <c r="BH85" s="16">
        <f t="shared" ref="BH85:BM86" si="449">BH51+BH61+BH71+BH78</f>
        <v>84320</v>
      </c>
      <c r="BI85" s="16">
        <f t="shared" si="449"/>
        <v>63576</v>
      </c>
      <c r="BJ85" s="21">
        <f t="shared" si="449"/>
        <v>75872</v>
      </c>
      <c r="BK85" s="121">
        <f t="shared" si="449"/>
        <v>104129</v>
      </c>
      <c r="BL85" s="16">
        <f t="shared" si="449"/>
        <v>92069</v>
      </c>
      <c r="BM85" s="16">
        <f t="shared" si="449"/>
        <v>75546</v>
      </c>
      <c r="BN85" s="16">
        <f t="shared" ref="BN85:BP86" si="450">BN51+BN61+BN71+BN78</f>
        <v>62031</v>
      </c>
      <c r="BO85" s="16">
        <f t="shared" si="450"/>
        <v>66037</v>
      </c>
      <c r="BP85" s="16">
        <f t="shared" si="450"/>
        <v>77024</v>
      </c>
      <c r="BQ85" s="16">
        <f t="shared" ref="BQ85:BS86" si="451">BQ51+BQ61+BQ71+BQ78</f>
        <v>88781</v>
      </c>
      <c r="BR85" s="16">
        <f t="shared" si="451"/>
        <v>100408</v>
      </c>
      <c r="BS85" s="16">
        <f t="shared" si="451"/>
        <v>82849</v>
      </c>
      <c r="BT85" s="16">
        <f t="shared" ref="BT85:CB86" si="452">BT51+BT61+BT71+BT78</f>
        <v>79485</v>
      </c>
      <c r="BU85" s="16">
        <f t="shared" si="452"/>
        <v>59220</v>
      </c>
      <c r="BV85" s="21">
        <f t="shared" si="452"/>
        <v>72132</v>
      </c>
      <c r="BW85" s="121">
        <f t="shared" si="452"/>
        <v>87374</v>
      </c>
      <c r="BX85" s="16">
        <f t="shared" si="452"/>
        <v>72963</v>
      </c>
      <c r="BY85" s="16">
        <f t="shared" si="452"/>
        <v>62516</v>
      </c>
      <c r="BZ85" s="16">
        <f t="shared" si="452"/>
        <v>53913</v>
      </c>
      <c r="CA85" s="16">
        <f t="shared" si="452"/>
        <v>55310</v>
      </c>
      <c r="CB85" s="16">
        <f t="shared" si="452"/>
        <v>81941</v>
      </c>
      <c r="CC85" s="16">
        <f t="shared" ref="CC85:CH86" si="453">CC51+CC61+CC71+CC78</f>
        <v>86824</v>
      </c>
      <c r="CD85" s="16">
        <f t="shared" si="453"/>
        <v>89540</v>
      </c>
      <c r="CE85" s="16">
        <f t="shared" si="453"/>
        <v>74432</v>
      </c>
      <c r="CF85" s="16">
        <f t="shared" si="453"/>
        <v>56824</v>
      </c>
      <c r="CG85" s="16">
        <f t="shared" si="453"/>
        <v>46932</v>
      </c>
      <c r="CH85" s="16">
        <f t="shared" si="453"/>
        <v>60472</v>
      </c>
      <c r="CI85" s="201">
        <f t="shared" ref="CI85:CK86" si="454">SUM(CI51,CI61,CI71,CI78)</f>
        <v>71860</v>
      </c>
      <c r="CJ85" s="69">
        <f t="shared" si="454"/>
        <v>59746</v>
      </c>
      <c r="CK85" s="69">
        <f t="shared" si="454"/>
        <v>52016</v>
      </c>
      <c r="CL85" s="69">
        <f t="shared" ref="CL85:DR85" si="455">SUM(CL51,CL61,CL71,CL78)</f>
        <v>53242</v>
      </c>
      <c r="CM85" s="69">
        <f t="shared" si="455"/>
        <v>52779</v>
      </c>
      <c r="CN85" s="69">
        <f t="shared" si="455"/>
        <v>63347</v>
      </c>
      <c r="CO85" s="69">
        <f t="shared" si="455"/>
        <v>83738</v>
      </c>
      <c r="CP85" s="69">
        <f t="shared" si="455"/>
        <v>80124</v>
      </c>
      <c r="CQ85" s="69">
        <f t="shared" si="455"/>
        <v>72520</v>
      </c>
      <c r="CR85" s="69">
        <f t="shared" si="455"/>
        <v>48325</v>
      </c>
      <c r="CS85" s="69">
        <f t="shared" si="455"/>
        <v>39551</v>
      </c>
      <c r="CT85" s="89">
        <f t="shared" si="455"/>
        <v>54340</v>
      </c>
      <c r="CU85" s="69">
        <f t="shared" si="455"/>
        <v>64983</v>
      </c>
      <c r="CV85" s="69">
        <f t="shared" si="455"/>
        <v>59390</v>
      </c>
      <c r="CW85" s="69">
        <f t="shared" si="455"/>
        <v>50461</v>
      </c>
      <c r="CX85" s="69">
        <f t="shared" si="455"/>
        <v>40703</v>
      </c>
      <c r="CY85" s="69">
        <f t="shared" si="455"/>
        <v>37817</v>
      </c>
      <c r="CZ85" s="69">
        <f t="shared" si="455"/>
        <v>57960</v>
      </c>
      <c r="DA85" s="69">
        <f t="shared" si="455"/>
        <v>67808</v>
      </c>
      <c r="DB85" s="69">
        <f t="shared" si="455"/>
        <v>65293</v>
      </c>
      <c r="DC85" s="69">
        <f t="shared" si="455"/>
        <v>70172</v>
      </c>
      <c r="DD85" s="69">
        <f t="shared" si="455"/>
        <v>46067</v>
      </c>
      <c r="DE85" s="69">
        <f t="shared" si="455"/>
        <v>34160</v>
      </c>
      <c r="DF85" s="89">
        <f t="shared" si="455"/>
        <v>46764</v>
      </c>
      <c r="DG85" s="69">
        <f t="shared" si="455"/>
        <v>50810</v>
      </c>
      <c r="DH85" s="322">
        <f t="shared" si="455"/>
        <v>56728</v>
      </c>
      <c r="DI85" s="69">
        <f t="shared" si="455"/>
        <v>38671</v>
      </c>
      <c r="DJ85" s="322">
        <f t="shared" si="455"/>
        <v>36102</v>
      </c>
      <c r="DK85" s="69">
        <f t="shared" si="455"/>
        <v>40054</v>
      </c>
      <c r="DL85" s="69">
        <f t="shared" si="455"/>
        <v>64424</v>
      </c>
      <c r="DM85" s="69">
        <f t="shared" si="455"/>
        <v>78448</v>
      </c>
      <c r="DN85" s="69">
        <f t="shared" si="455"/>
        <v>80841</v>
      </c>
      <c r="DO85" s="69">
        <f t="shared" si="455"/>
        <v>66598</v>
      </c>
      <c r="DP85" s="69">
        <f t="shared" si="455"/>
        <v>43402</v>
      </c>
      <c r="DQ85" s="69">
        <f t="shared" si="455"/>
        <v>35631</v>
      </c>
      <c r="DR85" s="69">
        <f t="shared" si="455"/>
        <v>43517</v>
      </c>
      <c r="DS85" s="69">
        <f t="shared" ref="DS85:EH86" si="456">SUM(DS51,DS61,DS71,DS78)</f>
        <v>50150</v>
      </c>
      <c r="DT85" s="69">
        <f t="shared" si="456"/>
        <v>42795</v>
      </c>
      <c r="DU85" s="69">
        <f t="shared" si="456"/>
        <v>39542</v>
      </c>
      <c r="DV85" s="359">
        <f t="shared" si="456"/>
        <v>37136</v>
      </c>
      <c r="DW85" s="359">
        <f t="shared" si="456"/>
        <v>43199</v>
      </c>
      <c r="DX85" s="359">
        <f t="shared" si="456"/>
        <v>55562</v>
      </c>
      <c r="DY85" s="359">
        <f t="shared" si="456"/>
        <v>67640</v>
      </c>
      <c r="DZ85" s="359">
        <f t="shared" si="456"/>
        <v>70832</v>
      </c>
      <c r="EA85" s="359">
        <f t="shared" si="456"/>
        <v>62089</v>
      </c>
      <c r="EB85" s="359">
        <f t="shared" si="456"/>
        <v>42077</v>
      </c>
      <c r="EC85" s="359">
        <f t="shared" si="456"/>
        <v>35162</v>
      </c>
      <c r="ED85" s="359">
        <f t="shared" si="456"/>
        <v>40057</v>
      </c>
      <c r="EE85" s="359">
        <f t="shared" si="456"/>
        <v>57476</v>
      </c>
      <c r="EF85" s="359">
        <f t="shared" si="456"/>
        <v>42164</v>
      </c>
      <c r="EG85" s="359">
        <f t="shared" si="456"/>
        <v>38874</v>
      </c>
      <c r="EH85" s="359">
        <f t="shared" si="456"/>
        <v>35854</v>
      </c>
      <c r="EI85" s="359">
        <f t="shared" ref="EI85:EX86" si="457">SUM(EI51,EI61,EI71,EI78)</f>
        <v>36476</v>
      </c>
      <c r="EJ85" s="359">
        <f t="shared" si="457"/>
        <v>50946</v>
      </c>
      <c r="EK85" s="359">
        <f t="shared" si="457"/>
        <v>59291</v>
      </c>
      <c r="EL85" s="359">
        <f t="shared" si="457"/>
        <v>60970</v>
      </c>
      <c r="EM85" s="359">
        <f t="shared" si="457"/>
        <v>59602</v>
      </c>
      <c r="EN85" s="359">
        <f t="shared" si="457"/>
        <v>41324</v>
      </c>
      <c r="EO85" s="359">
        <f t="shared" si="457"/>
        <v>31237</v>
      </c>
      <c r="EP85" s="359">
        <f t="shared" si="457"/>
        <v>48758</v>
      </c>
      <c r="EQ85" s="359">
        <f t="shared" si="457"/>
        <v>53854</v>
      </c>
      <c r="ER85" s="359">
        <f t="shared" si="457"/>
        <v>48414</v>
      </c>
      <c r="ES85" s="359">
        <f t="shared" si="457"/>
        <v>37042</v>
      </c>
      <c r="ET85" s="359">
        <f t="shared" si="457"/>
        <v>31818</v>
      </c>
      <c r="EU85" s="359">
        <f t="shared" si="457"/>
        <v>35628</v>
      </c>
      <c r="EV85" s="359">
        <f t="shared" si="457"/>
        <v>44923</v>
      </c>
      <c r="EW85" s="359">
        <f t="shared" si="457"/>
        <v>52288</v>
      </c>
      <c r="EX85" s="359">
        <f t="shared" si="457"/>
        <v>54410</v>
      </c>
      <c r="EY85" s="359">
        <f t="shared" ref="EY85:FK86" si="458">SUM(EY51,EY61,EY71,EY78)</f>
        <v>53483</v>
      </c>
      <c r="EZ85" s="359">
        <f t="shared" si="458"/>
        <v>37258</v>
      </c>
      <c r="FA85" s="359">
        <f t="shared" si="458"/>
        <v>31373</v>
      </c>
      <c r="FB85" s="359">
        <f t="shared" si="458"/>
        <v>38899</v>
      </c>
      <c r="FC85" s="359">
        <f t="shared" si="458"/>
        <v>51280</v>
      </c>
      <c r="FD85" s="359">
        <f t="shared" si="458"/>
        <v>39917</v>
      </c>
      <c r="FE85" s="359">
        <f t="shared" si="458"/>
        <v>40412</v>
      </c>
      <c r="FF85" s="359">
        <f t="shared" si="458"/>
        <v>28834</v>
      </c>
      <c r="FG85" s="359">
        <f t="shared" si="458"/>
        <v>27702</v>
      </c>
      <c r="FH85" s="359">
        <f t="shared" si="458"/>
        <v>36263</v>
      </c>
      <c r="FI85" s="359">
        <f t="shared" si="458"/>
        <v>46980</v>
      </c>
      <c r="FJ85" s="359">
        <f t="shared" si="458"/>
        <v>54160</v>
      </c>
      <c r="FK85" s="359">
        <f t="shared" si="458"/>
        <v>49965</v>
      </c>
      <c r="FL85" s="359">
        <f t="shared" ref="FL85:FT85" si="459">SUM(FL51,FL61,FL71,FL78)</f>
        <v>36987</v>
      </c>
      <c r="FM85" s="359">
        <f t="shared" si="459"/>
        <v>25346</v>
      </c>
      <c r="FN85" s="359">
        <f t="shared" si="459"/>
        <v>33475</v>
      </c>
      <c r="FO85" s="359">
        <f t="shared" si="459"/>
        <v>41630</v>
      </c>
      <c r="FP85" s="359">
        <f t="shared" si="459"/>
        <v>32917</v>
      </c>
      <c r="FQ85" s="359">
        <f t="shared" si="459"/>
        <v>25188</v>
      </c>
      <c r="FR85" s="359">
        <f t="shared" si="459"/>
        <v>23746</v>
      </c>
      <c r="FS85" s="359">
        <f t="shared" si="459"/>
        <v>24222</v>
      </c>
      <c r="FT85" s="359">
        <f t="shared" si="459"/>
        <v>32645</v>
      </c>
    </row>
    <row r="86" spans="2:176" s="68" customFormat="1" ht="13.8" thickBot="1" x14ac:dyDescent="0.3">
      <c r="B86" s="5" t="s">
        <v>8</v>
      </c>
      <c r="C86" s="175">
        <f>SUM(C52,C62,C72,C79)</f>
        <v>10111.618000000002</v>
      </c>
      <c r="D86" s="17">
        <f t="shared" si="436"/>
        <v>35757.152000000002</v>
      </c>
      <c r="E86" s="17">
        <f t="shared" si="436"/>
        <v>65763.566999999995</v>
      </c>
      <c r="F86" s="17">
        <f t="shared" si="436"/>
        <v>74985.444999999992</v>
      </c>
      <c r="G86" s="17">
        <f t="shared" si="436"/>
        <v>119142.341</v>
      </c>
      <c r="H86" s="17">
        <f t="shared" si="436"/>
        <v>29468.940999999999</v>
      </c>
      <c r="I86" s="17">
        <f t="shared" si="436"/>
        <v>284200.01899999997</v>
      </c>
      <c r="J86" s="17">
        <f t="shared" si="436"/>
        <v>137513.42799999999</v>
      </c>
      <c r="K86" s="17">
        <f t="shared" si="436"/>
        <v>170727.74100000001</v>
      </c>
      <c r="L86" s="17">
        <f t="shared" si="436"/>
        <v>139457.28099999999</v>
      </c>
      <c r="M86" s="17">
        <f t="shared" si="436"/>
        <v>119826.217</v>
      </c>
      <c r="N86" s="22">
        <f t="shared" si="436"/>
        <v>153512.08999999997</v>
      </c>
      <c r="O86" s="175">
        <f t="shared" si="437"/>
        <v>148943</v>
      </c>
      <c r="P86" s="17">
        <f t="shared" si="437"/>
        <v>134476</v>
      </c>
      <c r="Q86" s="17">
        <f t="shared" si="437"/>
        <v>137142</v>
      </c>
      <c r="R86" s="17">
        <f t="shared" si="438"/>
        <v>136423</v>
      </c>
      <c r="S86" s="17">
        <f t="shared" si="438"/>
        <v>147043</v>
      </c>
      <c r="T86" s="17">
        <f t="shared" si="438"/>
        <v>170067</v>
      </c>
      <c r="U86" s="17">
        <f t="shared" si="439"/>
        <v>185577</v>
      </c>
      <c r="V86" s="17">
        <f t="shared" si="439"/>
        <v>198746</v>
      </c>
      <c r="W86" s="17">
        <f t="shared" si="439"/>
        <v>199484</v>
      </c>
      <c r="X86" s="17">
        <f t="shared" si="440"/>
        <v>190926</v>
      </c>
      <c r="Y86" s="17">
        <f t="shared" si="440"/>
        <v>147483</v>
      </c>
      <c r="Z86" s="22">
        <f t="shared" si="440"/>
        <v>175863</v>
      </c>
      <c r="AA86" s="175">
        <f t="shared" si="441"/>
        <v>194371</v>
      </c>
      <c r="AB86" s="17">
        <f t="shared" si="441"/>
        <v>166052</v>
      </c>
      <c r="AC86" s="17">
        <f t="shared" si="441"/>
        <v>195805</v>
      </c>
      <c r="AD86" s="17">
        <f t="shared" si="442"/>
        <v>172196</v>
      </c>
      <c r="AE86" s="17">
        <f t="shared" si="442"/>
        <v>182228</v>
      </c>
      <c r="AF86" s="17">
        <f t="shared" si="442"/>
        <v>242395</v>
      </c>
      <c r="AG86" s="17">
        <f t="shared" si="443"/>
        <v>246000</v>
      </c>
      <c r="AH86" s="17">
        <f t="shared" si="443"/>
        <v>257333</v>
      </c>
      <c r="AI86" s="17">
        <f t="shared" si="443"/>
        <v>233164</v>
      </c>
      <c r="AJ86" s="17">
        <f t="shared" si="444"/>
        <v>228972</v>
      </c>
      <c r="AK86" s="17">
        <f t="shared" si="444"/>
        <v>196898</v>
      </c>
      <c r="AL86" s="22">
        <f t="shared" si="444"/>
        <v>204948</v>
      </c>
      <c r="AM86" s="175">
        <f t="shared" si="445"/>
        <v>239162</v>
      </c>
      <c r="AN86" s="17">
        <f t="shared" si="445"/>
        <v>204745</v>
      </c>
      <c r="AO86" s="17">
        <f t="shared" si="445"/>
        <v>203614</v>
      </c>
      <c r="AP86" s="17">
        <f t="shared" si="446"/>
        <v>198894</v>
      </c>
      <c r="AQ86" s="17">
        <f t="shared" si="446"/>
        <v>210298</v>
      </c>
      <c r="AR86" s="17">
        <f t="shared" si="446"/>
        <v>264561</v>
      </c>
      <c r="AS86" s="17">
        <f t="shared" si="447"/>
        <v>288879</v>
      </c>
      <c r="AT86" s="17">
        <f t="shared" si="447"/>
        <v>297625</v>
      </c>
      <c r="AU86" s="17">
        <f t="shared" si="447"/>
        <v>291852</v>
      </c>
      <c r="AV86" s="17">
        <f t="shared" si="448"/>
        <v>260199</v>
      </c>
      <c r="AW86" s="17">
        <f t="shared" si="448"/>
        <v>221279</v>
      </c>
      <c r="AX86" s="22">
        <f t="shared" si="448"/>
        <v>244265</v>
      </c>
      <c r="AY86" s="175">
        <f t="shared" si="448"/>
        <v>264906</v>
      </c>
      <c r="AZ86" s="17">
        <f t="shared" si="448"/>
        <v>217156</v>
      </c>
      <c r="BA86" s="17">
        <f t="shared" si="448"/>
        <v>250046</v>
      </c>
      <c r="BB86" s="17">
        <f t="shared" si="448"/>
        <v>218664</v>
      </c>
      <c r="BC86" s="17">
        <f t="shared" si="448"/>
        <v>274010</v>
      </c>
      <c r="BD86" s="17">
        <f t="shared" si="448"/>
        <v>325611</v>
      </c>
      <c r="BE86" s="17">
        <f t="shared" si="448"/>
        <v>316194</v>
      </c>
      <c r="BF86" s="17">
        <f t="shared" si="448"/>
        <v>371453</v>
      </c>
      <c r="BG86" s="17">
        <f t="shared" si="448"/>
        <v>317338</v>
      </c>
      <c r="BH86" s="17">
        <f t="shared" si="449"/>
        <v>282694</v>
      </c>
      <c r="BI86" s="17">
        <f t="shared" si="449"/>
        <v>225091</v>
      </c>
      <c r="BJ86" s="22">
        <f t="shared" si="449"/>
        <v>257625</v>
      </c>
      <c r="BK86" s="175">
        <f t="shared" si="449"/>
        <v>295459</v>
      </c>
      <c r="BL86" s="17">
        <f t="shared" si="449"/>
        <v>267571</v>
      </c>
      <c r="BM86" s="17">
        <f t="shared" si="449"/>
        <v>263254</v>
      </c>
      <c r="BN86" s="17">
        <f t="shared" si="450"/>
        <v>241672</v>
      </c>
      <c r="BO86" s="17">
        <f t="shared" si="450"/>
        <v>265462</v>
      </c>
      <c r="BP86" s="17">
        <f t="shared" si="450"/>
        <v>295707</v>
      </c>
      <c r="BQ86" s="17">
        <f t="shared" si="451"/>
        <v>324662</v>
      </c>
      <c r="BR86" s="17">
        <f t="shared" si="451"/>
        <v>351278</v>
      </c>
      <c r="BS86" s="17">
        <f t="shared" si="451"/>
        <v>311487</v>
      </c>
      <c r="BT86" s="17">
        <f t="shared" si="452"/>
        <v>321878</v>
      </c>
      <c r="BU86" s="17">
        <f t="shared" si="452"/>
        <v>272489</v>
      </c>
      <c r="BV86" s="22">
        <f t="shared" si="452"/>
        <v>299378</v>
      </c>
      <c r="BW86" s="175">
        <f t="shared" si="452"/>
        <v>329861</v>
      </c>
      <c r="BX86" s="17">
        <f t="shared" si="452"/>
        <v>293285</v>
      </c>
      <c r="BY86" s="17">
        <f t="shared" si="452"/>
        <v>278494</v>
      </c>
      <c r="BZ86" s="17">
        <f t="shared" si="452"/>
        <v>272751</v>
      </c>
      <c r="CA86" s="17">
        <f t="shared" si="452"/>
        <v>290151</v>
      </c>
      <c r="CB86" s="17">
        <f t="shared" si="452"/>
        <v>362893</v>
      </c>
      <c r="CC86" s="17">
        <f t="shared" si="453"/>
        <v>375838</v>
      </c>
      <c r="CD86" s="17">
        <f t="shared" si="453"/>
        <v>384255</v>
      </c>
      <c r="CE86" s="17">
        <f t="shared" si="453"/>
        <v>358380</v>
      </c>
      <c r="CF86" s="17">
        <f t="shared" si="453"/>
        <v>312614.41000000003</v>
      </c>
      <c r="CG86" s="17">
        <f t="shared" si="453"/>
        <v>282775.76</v>
      </c>
      <c r="CH86" s="17">
        <f t="shared" si="453"/>
        <v>321362.5</v>
      </c>
      <c r="CI86" s="210">
        <f t="shared" si="454"/>
        <v>350312</v>
      </c>
      <c r="CJ86" s="92">
        <f t="shared" si="454"/>
        <v>296852</v>
      </c>
      <c r="CK86" s="92">
        <f t="shared" si="454"/>
        <v>282472</v>
      </c>
      <c r="CL86" s="92">
        <f t="shared" ref="CL86:DR86" si="460">SUM(CL52,CL62,CL72,CL79)</f>
        <v>282603</v>
      </c>
      <c r="CM86" s="92">
        <f t="shared" si="460"/>
        <v>304311</v>
      </c>
      <c r="CN86" s="92">
        <f t="shared" si="460"/>
        <v>342101</v>
      </c>
      <c r="CO86" s="92">
        <f t="shared" si="460"/>
        <v>407179</v>
      </c>
      <c r="CP86" s="92">
        <f t="shared" si="460"/>
        <v>395264</v>
      </c>
      <c r="CQ86" s="92">
        <f t="shared" si="460"/>
        <v>388426</v>
      </c>
      <c r="CR86" s="92">
        <f t="shared" si="460"/>
        <v>322078</v>
      </c>
      <c r="CS86" s="92">
        <f t="shared" si="460"/>
        <v>287727</v>
      </c>
      <c r="CT86" s="93">
        <f t="shared" si="460"/>
        <v>347417</v>
      </c>
      <c r="CU86" s="92">
        <f t="shared" si="460"/>
        <v>362879</v>
      </c>
      <c r="CV86" s="92">
        <f t="shared" si="460"/>
        <v>344907</v>
      </c>
      <c r="CW86" s="92">
        <f t="shared" si="460"/>
        <v>319254</v>
      </c>
      <c r="CX86" s="92">
        <f t="shared" si="460"/>
        <v>310329</v>
      </c>
      <c r="CY86" s="92">
        <f t="shared" si="460"/>
        <v>306161</v>
      </c>
      <c r="CZ86" s="92">
        <f t="shared" si="460"/>
        <v>389992</v>
      </c>
      <c r="DA86" s="92">
        <f t="shared" si="460"/>
        <v>422856</v>
      </c>
      <c r="DB86" s="92">
        <f t="shared" si="460"/>
        <v>391916</v>
      </c>
      <c r="DC86" s="92">
        <f t="shared" si="460"/>
        <v>438077</v>
      </c>
      <c r="DD86" s="92">
        <f t="shared" si="460"/>
        <v>332078</v>
      </c>
      <c r="DE86" s="92">
        <f t="shared" si="460"/>
        <v>287693</v>
      </c>
      <c r="DF86" s="93">
        <f t="shared" si="460"/>
        <v>331449</v>
      </c>
      <c r="DG86" s="318">
        <f t="shared" si="460"/>
        <v>334564</v>
      </c>
      <c r="DH86" s="92">
        <f t="shared" si="460"/>
        <v>361191</v>
      </c>
      <c r="DI86" s="92">
        <f t="shared" si="460"/>
        <v>299567</v>
      </c>
      <c r="DJ86" s="92">
        <f t="shared" si="460"/>
        <v>296947</v>
      </c>
      <c r="DK86" s="318">
        <f t="shared" si="460"/>
        <v>319874</v>
      </c>
      <c r="DL86" s="318">
        <f t="shared" si="460"/>
        <v>426632</v>
      </c>
      <c r="DM86" s="318">
        <f t="shared" si="460"/>
        <v>452241</v>
      </c>
      <c r="DN86" s="318">
        <f t="shared" si="460"/>
        <v>462456</v>
      </c>
      <c r="DO86" s="318">
        <f t="shared" si="460"/>
        <v>424998</v>
      </c>
      <c r="DP86" s="318">
        <f t="shared" si="460"/>
        <v>338713</v>
      </c>
      <c r="DQ86" s="318">
        <f t="shared" si="460"/>
        <v>280059</v>
      </c>
      <c r="DR86" s="318">
        <f t="shared" si="460"/>
        <v>319040</v>
      </c>
      <c r="DS86" s="318">
        <f>SUM(DS52,DS62,DS72,DS79)</f>
        <v>355453</v>
      </c>
      <c r="DT86" s="318">
        <f>SUM(DT52,DT62,DT72,DT79)</f>
        <v>326100</v>
      </c>
      <c r="DU86" s="318">
        <f>SUM(DU52,DU62,DU72,DU79)</f>
        <v>324198</v>
      </c>
      <c r="DV86" s="365">
        <f t="shared" si="456"/>
        <v>335445</v>
      </c>
      <c r="DW86" s="365">
        <f t="shared" si="456"/>
        <v>363404</v>
      </c>
      <c r="DX86" s="365">
        <f t="shared" si="456"/>
        <v>413256</v>
      </c>
      <c r="DY86" s="365">
        <f t="shared" si="456"/>
        <v>453287</v>
      </c>
      <c r="DZ86" s="365">
        <f t="shared" si="456"/>
        <v>459063</v>
      </c>
      <c r="EA86" s="365">
        <f t="shared" si="456"/>
        <v>441048</v>
      </c>
      <c r="EB86" s="365">
        <f t="shared" si="456"/>
        <v>361483</v>
      </c>
      <c r="EC86" s="365">
        <f t="shared" si="456"/>
        <v>334468</v>
      </c>
      <c r="ED86" s="365">
        <f t="shared" si="456"/>
        <v>362090</v>
      </c>
      <c r="EE86" s="365">
        <f t="shared" si="456"/>
        <v>399297</v>
      </c>
      <c r="EF86" s="365">
        <f t="shared" si="456"/>
        <v>342236</v>
      </c>
      <c r="EG86" s="365">
        <f t="shared" si="456"/>
        <v>332365</v>
      </c>
      <c r="EH86" s="365">
        <f t="shared" si="456"/>
        <v>325257</v>
      </c>
      <c r="EI86" s="365">
        <f t="shared" si="457"/>
        <v>342166</v>
      </c>
      <c r="EJ86" s="365">
        <f t="shared" si="457"/>
        <v>414536</v>
      </c>
      <c r="EK86" s="365">
        <f t="shared" si="457"/>
        <v>450970</v>
      </c>
      <c r="EL86" s="365">
        <f t="shared" si="457"/>
        <v>452864</v>
      </c>
      <c r="EM86" s="365">
        <f t="shared" si="457"/>
        <v>463881</v>
      </c>
      <c r="EN86" s="365">
        <f t="shared" si="457"/>
        <v>391789</v>
      </c>
      <c r="EO86" s="365">
        <f t="shared" si="457"/>
        <v>343496</v>
      </c>
      <c r="EP86" s="365">
        <f t="shared" si="457"/>
        <v>419511</v>
      </c>
      <c r="EQ86" s="365">
        <f t="shared" si="457"/>
        <v>421129</v>
      </c>
      <c r="ER86" s="365">
        <f t="shared" si="457"/>
        <v>407268</v>
      </c>
      <c r="ES86" s="365">
        <f t="shared" si="457"/>
        <v>354579</v>
      </c>
      <c r="ET86" s="365">
        <f t="shared" si="457"/>
        <v>361939</v>
      </c>
      <c r="EU86" s="365">
        <f t="shared" si="457"/>
        <v>387477</v>
      </c>
      <c r="EV86" s="365">
        <f t="shared" si="457"/>
        <v>425963</v>
      </c>
      <c r="EW86" s="365">
        <f t="shared" si="457"/>
        <v>463944</v>
      </c>
      <c r="EX86" s="365">
        <f t="shared" si="457"/>
        <v>469797</v>
      </c>
      <c r="EY86" s="365">
        <f t="shared" si="458"/>
        <v>472699</v>
      </c>
      <c r="EZ86" s="365">
        <f t="shared" si="458"/>
        <v>403783</v>
      </c>
      <c r="FA86" s="365">
        <f t="shared" si="458"/>
        <v>372586</v>
      </c>
      <c r="FB86" s="365">
        <f t="shared" si="458"/>
        <v>415746</v>
      </c>
      <c r="FC86" s="365">
        <f t="shared" si="458"/>
        <v>452009</v>
      </c>
      <c r="FD86" s="365">
        <f t="shared" si="458"/>
        <v>394148</v>
      </c>
      <c r="FE86" s="365">
        <f t="shared" si="458"/>
        <v>401940</v>
      </c>
      <c r="FF86" s="365">
        <f t="shared" si="458"/>
        <v>373848</v>
      </c>
      <c r="FG86" s="365">
        <f t="shared" si="458"/>
        <v>360374</v>
      </c>
      <c r="FH86" s="365">
        <f t="shared" si="458"/>
        <v>426183</v>
      </c>
      <c r="FI86" s="365">
        <f t="shared" si="458"/>
        <v>484172</v>
      </c>
      <c r="FJ86" s="365">
        <f t="shared" si="458"/>
        <v>503457</v>
      </c>
      <c r="FK86" s="365">
        <f t="shared" si="458"/>
        <v>497922</v>
      </c>
      <c r="FL86" s="365">
        <f t="shared" ref="FL86:FT86" si="461">SUM(FL52,FL62,FL72,FL79)</f>
        <v>432438</v>
      </c>
      <c r="FM86" s="365">
        <f t="shared" si="461"/>
        <v>364754</v>
      </c>
      <c r="FN86" s="365">
        <f t="shared" si="461"/>
        <v>411620</v>
      </c>
      <c r="FO86" s="365">
        <f t="shared" si="461"/>
        <v>441495</v>
      </c>
      <c r="FP86" s="365">
        <f t="shared" si="461"/>
        <v>393401</v>
      </c>
      <c r="FQ86" s="365">
        <f t="shared" si="461"/>
        <v>359610</v>
      </c>
      <c r="FR86" s="365">
        <f t="shared" si="461"/>
        <v>362580</v>
      </c>
      <c r="FS86" s="365">
        <f t="shared" si="461"/>
        <v>365276</v>
      </c>
      <c r="FT86" s="365">
        <f t="shared" si="461"/>
        <v>428021</v>
      </c>
    </row>
    <row r="87" spans="2:176" s="68" customFormat="1" ht="13.8" thickTop="1" x14ac:dyDescent="0.25">
      <c r="B87" s="3" t="s">
        <v>9</v>
      </c>
      <c r="C87" s="176">
        <f t="shared" ref="C87:Q87" si="462">SUM(C85:C86)</f>
        <v>264536.07299999997</v>
      </c>
      <c r="D87" s="8">
        <f t="shared" si="462"/>
        <v>290181.60699999996</v>
      </c>
      <c r="E87" s="8">
        <f t="shared" si="462"/>
        <v>342051.114</v>
      </c>
      <c r="F87" s="8">
        <f t="shared" si="462"/>
        <v>341026.91800000001</v>
      </c>
      <c r="G87" s="8">
        <f t="shared" si="462"/>
        <v>369814.47399999999</v>
      </c>
      <c r="H87" s="8">
        <f t="shared" si="462"/>
        <v>267984.73800000001</v>
      </c>
      <c r="I87" s="8">
        <f t="shared" si="462"/>
        <v>592801.82899999991</v>
      </c>
      <c r="J87" s="8">
        <f t="shared" si="462"/>
        <v>464477.25900000008</v>
      </c>
      <c r="K87" s="8">
        <f t="shared" si="462"/>
        <v>495639.72700000007</v>
      </c>
      <c r="L87" s="8">
        <f t="shared" si="462"/>
        <v>379023.14799999993</v>
      </c>
      <c r="M87" s="8">
        <f t="shared" si="462"/>
        <v>304234.84900000005</v>
      </c>
      <c r="N87" s="10">
        <f t="shared" si="462"/>
        <v>389055.54399999999</v>
      </c>
      <c r="O87" s="176">
        <f t="shared" si="462"/>
        <v>404248</v>
      </c>
      <c r="P87" s="8">
        <f t="shared" si="462"/>
        <v>333834</v>
      </c>
      <c r="Q87" s="8">
        <f t="shared" si="462"/>
        <v>333621</v>
      </c>
      <c r="R87" s="8">
        <f t="shared" ref="R87:W87" si="463">SUM(R85:R86)</f>
        <v>310747</v>
      </c>
      <c r="S87" s="8">
        <f t="shared" si="463"/>
        <v>356450</v>
      </c>
      <c r="T87" s="8">
        <f t="shared" si="463"/>
        <v>405962</v>
      </c>
      <c r="U87" s="8">
        <f t="shared" si="463"/>
        <v>455106</v>
      </c>
      <c r="V87" s="8">
        <f t="shared" si="463"/>
        <v>475307</v>
      </c>
      <c r="W87" s="8">
        <f t="shared" si="463"/>
        <v>431866</v>
      </c>
      <c r="X87" s="8">
        <f t="shared" ref="X87:AC87" si="464">SUM(X85:X86)</f>
        <v>366104</v>
      </c>
      <c r="Y87" s="8">
        <f t="shared" si="464"/>
        <v>273362</v>
      </c>
      <c r="Z87" s="10">
        <f t="shared" si="464"/>
        <v>348736</v>
      </c>
      <c r="AA87" s="176">
        <f t="shared" si="464"/>
        <v>382369</v>
      </c>
      <c r="AB87" s="8">
        <f t="shared" si="464"/>
        <v>322516</v>
      </c>
      <c r="AC87" s="8">
        <f t="shared" si="464"/>
        <v>353813</v>
      </c>
      <c r="AD87" s="8">
        <f t="shared" ref="AD87:AI87" si="465">SUM(AD85:AD86)</f>
        <v>302074</v>
      </c>
      <c r="AE87" s="8">
        <f t="shared" si="465"/>
        <v>308713</v>
      </c>
      <c r="AF87" s="8">
        <f t="shared" si="465"/>
        <v>429192</v>
      </c>
      <c r="AG87" s="8">
        <f t="shared" si="465"/>
        <v>437052</v>
      </c>
      <c r="AH87" s="8">
        <f t="shared" si="465"/>
        <v>446322</v>
      </c>
      <c r="AI87" s="8">
        <f t="shared" si="465"/>
        <v>391563</v>
      </c>
      <c r="AJ87" s="8">
        <f t="shared" ref="AJ87:AO87" si="466">SUM(AJ85:AJ86)</f>
        <v>353119</v>
      </c>
      <c r="AK87" s="8">
        <f t="shared" si="466"/>
        <v>300099</v>
      </c>
      <c r="AL87" s="10">
        <f t="shared" si="466"/>
        <v>331631</v>
      </c>
      <c r="AM87" s="176">
        <f t="shared" si="466"/>
        <v>392991</v>
      </c>
      <c r="AN87" s="8">
        <f t="shared" si="466"/>
        <v>320867</v>
      </c>
      <c r="AO87" s="8">
        <f t="shared" si="466"/>
        <v>314210</v>
      </c>
      <c r="AP87" s="8">
        <f t="shared" ref="AP87:AU87" si="467">SUM(AP85:AP86)</f>
        <v>293097</v>
      </c>
      <c r="AQ87" s="8">
        <f t="shared" si="467"/>
        <v>308587</v>
      </c>
      <c r="AR87" s="8">
        <f t="shared" si="467"/>
        <v>401105</v>
      </c>
      <c r="AS87" s="8">
        <f t="shared" si="467"/>
        <v>451300</v>
      </c>
      <c r="AT87" s="8">
        <f t="shared" si="467"/>
        <v>460504</v>
      </c>
      <c r="AU87" s="8">
        <f t="shared" si="467"/>
        <v>437362</v>
      </c>
      <c r="AV87" s="8">
        <f t="shared" ref="AV87:BJ87" si="468">SUM(AV85:AV86)</f>
        <v>378322</v>
      </c>
      <c r="AW87" s="8">
        <f t="shared" si="468"/>
        <v>310061</v>
      </c>
      <c r="AX87" s="10">
        <f t="shared" si="468"/>
        <v>356235</v>
      </c>
      <c r="AY87" s="176">
        <f t="shared" si="468"/>
        <v>387890</v>
      </c>
      <c r="AZ87" s="8">
        <f t="shared" si="468"/>
        <v>310340</v>
      </c>
      <c r="BA87" s="8">
        <f t="shared" si="468"/>
        <v>350488</v>
      </c>
      <c r="BB87" s="8">
        <f t="shared" si="468"/>
        <v>296282</v>
      </c>
      <c r="BC87" s="8">
        <f t="shared" si="468"/>
        <v>372189</v>
      </c>
      <c r="BD87" s="8">
        <f t="shared" si="468"/>
        <v>459389</v>
      </c>
      <c r="BE87" s="8">
        <f t="shared" si="468"/>
        <v>441574</v>
      </c>
      <c r="BF87" s="8">
        <f t="shared" si="468"/>
        <v>522115</v>
      </c>
      <c r="BG87" s="8">
        <f t="shared" si="468"/>
        <v>433407</v>
      </c>
      <c r="BH87" s="8">
        <f t="shared" si="468"/>
        <v>367014</v>
      </c>
      <c r="BI87" s="8">
        <f t="shared" si="468"/>
        <v>288667</v>
      </c>
      <c r="BJ87" s="10">
        <f t="shared" si="468"/>
        <v>333497</v>
      </c>
      <c r="BK87" s="176">
        <f t="shared" ref="BK87:BP87" si="469">SUM(BK85:BK86)</f>
        <v>399588</v>
      </c>
      <c r="BL87" s="8">
        <f t="shared" si="469"/>
        <v>359640</v>
      </c>
      <c r="BM87" s="8">
        <f t="shared" si="469"/>
        <v>338800</v>
      </c>
      <c r="BN87" s="8">
        <f t="shared" si="469"/>
        <v>303703</v>
      </c>
      <c r="BO87" s="8">
        <f t="shared" si="469"/>
        <v>331499</v>
      </c>
      <c r="BP87" s="8">
        <f t="shared" si="469"/>
        <v>372731</v>
      </c>
      <c r="BQ87" s="8">
        <f t="shared" ref="BQ87:CB87" si="470">SUM(BQ85:BQ86)</f>
        <v>413443</v>
      </c>
      <c r="BR87" s="8">
        <f t="shared" si="470"/>
        <v>451686</v>
      </c>
      <c r="BS87" s="8">
        <f t="shared" si="470"/>
        <v>394336</v>
      </c>
      <c r="BT87" s="8">
        <f t="shared" si="470"/>
        <v>401363</v>
      </c>
      <c r="BU87" s="8">
        <f t="shared" si="470"/>
        <v>331709</v>
      </c>
      <c r="BV87" s="10">
        <f t="shared" si="470"/>
        <v>371510</v>
      </c>
      <c r="BW87" s="176">
        <f t="shared" si="470"/>
        <v>417235</v>
      </c>
      <c r="BX87" s="8">
        <f t="shared" si="470"/>
        <v>366248</v>
      </c>
      <c r="BY87" s="8">
        <f t="shared" si="470"/>
        <v>341010</v>
      </c>
      <c r="BZ87" s="8">
        <f t="shared" si="470"/>
        <v>326664</v>
      </c>
      <c r="CA87" s="8">
        <f t="shared" si="470"/>
        <v>345461</v>
      </c>
      <c r="CB87" s="8">
        <f t="shared" si="470"/>
        <v>444834</v>
      </c>
      <c r="CC87" s="8">
        <f t="shared" ref="CC87:DR87" si="471">SUM(CC85:CC86)</f>
        <v>462662</v>
      </c>
      <c r="CD87" s="8">
        <f t="shared" si="471"/>
        <v>473795</v>
      </c>
      <c r="CE87" s="8">
        <f t="shared" si="471"/>
        <v>432812</v>
      </c>
      <c r="CF87" s="8">
        <f t="shared" si="471"/>
        <v>369438.41000000003</v>
      </c>
      <c r="CG87" s="8">
        <f t="shared" si="471"/>
        <v>329707.76</v>
      </c>
      <c r="CH87" s="8">
        <f t="shared" si="471"/>
        <v>381834.5</v>
      </c>
      <c r="CI87" s="115">
        <f t="shared" si="471"/>
        <v>422172</v>
      </c>
      <c r="CJ87" s="94">
        <f t="shared" si="471"/>
        <v>356598</v>
      </c>
      <c r="CK87" s="94">
        <f t="shared" si="471"/>
        <v>334488</v>
      </c>
      <c r="CL87" s="94">
        <f t="shared" si="471"/>
        <v>335845</v>
      </c>
      <c r="CM87" s="94">
        <f t="shared" si="471"/>
        <v>357090</v>
      </c>
      <c r="CN87" s="94">
        <f t="shared" si="471"/>
        <v>405448</v>
      </c>
      <c r="CO87" s="94">
        <f t="shared" si="471"/>
        <v>490917</v>
      </c>
      <c r="CP87" s="94">
        <f t="shared" si="471"/>
        <v>475388</v>
      </c>
      <c r="CQ87" s="94">
        <f t="shared" si="471"/>
        <v>460946</v>
      </c>
      <c r="CR87" s="94">
        <f t="shared" si="471"/>
        <v>370403</v>
      </c>
      <c r="CS87" s="94">
        <f t="shared" si="471"/>
        <v>327278</v>
      </c>
      <c r="CT87" s="96">
        <f t="shared" si="471"/>
        <v>401757</v>
      </c>
      <c r="CU87" s="94">
        <f t="shared" si="471"/>
        <v>427862</v>
      </c>
      <c r="CV87" s="94">
        <f t="shared" si="471"/>
        <v>404297</v>
      </c>
      <c r="CW87" s="94">
        <f t="shared" si="471"/>
        <v>369715</v>
      </c>
      <c r="CX87" s="94">
        <f t="shared" si="471"/>
        <v>351032</v>
      </c>
      <c r="CY87" s="94">
        <f t="shared" si="471"/>
        <v>343978</v>
      </c>
      <c r="CZ87" s="94">
        <f t="shared" si="471"/>
        <v>447952</v>
      </c>
      <c r="DA87" s="94">
        <f t="shared" si="471"/>
        <v>490664</v>
      </c>
      <c r="DB87" s="94">
        <f t="shared" si="471"/>
        <v>457209</v>
      </c>
      <c r="DC87" s="94">
        <f t="shared" si="471"/>
        <v>508249</v>
      </c>
      <c r="DD87" s="94">
        <f t="shared" si="471"/>
        <v>378145</v>
      </c>
      <c r="DE87" s="94">
        <f t="shared" si="471"/>
        <v>321853</v>
      </c>
      <c r="DF87" s="96">
        <f t="shared" si="471"/>
        <v>378213</v>
      </c>
      <c r="DG87" s="94">
        <f t="shared" si="471"/>
        <v>385374</v>
      </c>
      <c r="DH87" s="94">
        <f t="shared" si="471"/>
        <v>417919</v>
      </c>
      <c r="DI87" s="94">
        <f t="shared" si="471"/>
        <v>338238</v>
      </c>
      <c r="DJ87" s="94">
        <f t="shared" si="471"/>
        <v>333049</v>
      </c>
      <c r="DK87" s="94">
        <f t="shared" si="471"/>
        <v>359928</v>
      </c>
      <c r="DL87" s="94">
        <f t="shared" si="471"/>
        <v>491056</v>
      </c>
      <c r="DM87" s="94">
        <f t="shared" si="471"/>
        <v>530689</v>
      </c>
      <c r="DN87" s="94">
        <f t="shared" si="471"/>
        <v>543297</v>
      </c>
      <c r="DO87" s="94">
        <f t="shared" si="471"/>
        <v>491596</v>
      </c>
      <c r="DP87" s="94">
        <f t="shared" si="471"/>
        <v>382115</v>
      </c>
      <c r="DQ87" s="94">
        <f t="shared" si="471"/>
        <v>315690</v>
      </c>
      <c r="DR87" s="94">
        <f t="shared" si="471"/>
        <v>362557</v>
      </c>
      <c r="DS87" s="94">
        <f t="shared" ref="DS87:FK87" si="472">SUM(DS85:DS86)</f>
        <v>405603</v>
      </c>
      <c r="DT87" s="94">
        <f t="shared" si="472"/>
        <v>368895</v>
      </c>
      <c r="DU87" s="94">
        <f t="shared" si="472"/>
        <v>363740</v>
      </c>
      <c r="DV87" s="358">
        <f t="shared" si="472"/>
        <v>372581</v>
      </c>
      <c r="DW87" s="358">
        <f t="shared" si="472"/>
        <v>406603</v>
      </c>
      <c r="DX87" s="358">
        <f t="shared" si="472"/>
        <v>468818</v>
      </c>
      <c r="DY87" s="358">
        <f t="shared" si="472"/>
        <v>520927</v>
      </c>
      <c r="DZ87" s="358">
        <f t="shared" si="472"/>
        <v>529895</v>
      </c>
      <c r="EA87" s="358">
        <f t="shared" si="472"/>
        <v>503137</v>
      </c>
      <c r="EB87" s="358">
        <f t="shared" si="472"/>
        <v>403560</v>
      </c>
      <c r="EC87" s="358">
        <f t="shared" si="472"/>
        <v>369630</v>
      </c>
      <c r="ED87" s="358">
        <f t="shared" si="472"/>
        <v>402147</v>
      </c>
      <c r="EE87" s="358">
        <f t="shared" si="472"/>
        <v>456773</v>
      </c>
      <c r="EF87" s="358">
        <f t="shared" si="472"/>
        <v>384400</v>
      </c>
      <c r="EG87" s="358">
        <f t="shared" si="472"/>
        <v>371239</v>
      </c>
      <c r="EH87" s="358">
        <f t="shared" si="472"/>
        <v>361111</v>
      </c>
      <c r="EI87" s="358">
        <f t="shared" si="472"/>
        <v>378642</v>
      </c>
      <c r="EJ87" s="358">
        <f t="shared" si="472"/>
        <v>465482</v>
      </c>
      <c r="EK87" s="358">
        <f t="shared" si="472"/>
        <v>510261</v>
      </c>
      <c r="EL87" s="358">
        <f t="shared" si="472"/>
        <v>513834</v>
      </c>
      <c r="EM87" s="358">
        <f t="shared" si="472"/>
        <v>523483</v>
      </c>
      <c r="EN87" s="358">
        <f t="shared" si="472"/>
        <v>433113</v>
      </c>
      <c r="EO87" s="358">
        <f t="shared" si="472"/>
        <v>374733</v>
      </c>
      <c r="EP87" s="358">
        <f t="shared" si="472"/>
        <v>468269</v>
      </c>
      <c r="EQ87" s="358">
        <f t="shared" si="472"/>
        <v>474983</v>
      </c>
      <c r="ER87" s="358">
        <f t="shared" si="472"/>
        <v>455682</v>
      </c>
      <c r="ES87" s="358">
        <f t="shared" si="472"/>
        <v>391621</v>
      </c>
      <c r="ET87" s="358">
        <f t="shared" si="472"/>
        <v>393757</v>
      </c>
      <c r="EU87" s="358">
        <f t="shared" si="472"/>
        <v>423105</v>
      </c>
      <c r="EV87" s="358">
        <f t="shared" si="472"/>
        <v>470886</v>
      </c>
      <c r="EW87" s="358">
        <f t="shared" si="472"/>
        <v>516232</v>
      </c>
      <c r="EX87" s="358">
        <f t="shared" si="472"/>
        <v>524207</v>
      </c>
      <c r="EY87" s="358">
        <f t="shared" si="472"/>
        <v>526182</v>
      </c>
      <c r="EZ87" s="358">
        <f t="shared" si="472"/>
        <v>441041</v>
      </c>
      <c r="FA87" s="358">
        <f t="shared" si="472"/>
        <v>403959</v>
      </c>
      <c r="FB87" s="358">
        <f t="shared" si="472"/>
        <v>454645</v>
      </c>
      <c r="FC87" s="358">
        <f t="shared" si="472"/>
        <v>503289</v>
      </c>
      <c r="FD87" s="358">
        <f t="shared" si="472"/>
        <v>434065</v>
      </c>
      <c r="FE87" s="358">
        <f t="shared" si="472"/>
        <v>442352</v>
      </c>
      <c r="FF87" s="358">
        <f t="shared" si="472"/>
        <v>402682</v>
      </c>
      <c r="FG87" s="358">
        <f t="shared" si="472"/>
        <v>388076</v>
      </c>
      <c r="FH87" s="358">
        <f t="shared" si="472"/>
        <v>462446</v>
      </c>
      <c r="FI87" s="358">
        <f t="shared" si="472"/>
        <v>531152</v>
      </c>
      <c r="FJ87" s="358">
        <f t="shared" si="472"/>
        <v>557617</v>
      </c>
      <c r="FK87" s="358">
        <f t="shared" si="472"/>
        <v>547887</v>
      </c>
      <c r="FL87" s="358">
        <f t="shared" ref="FL87:FT87" si="473">SUM(FL85:FL86)</f>
        <v>469425</v>
      </c>
      <c r="FM87" s="358">
        <f t="shared" si="473"/>
        <v>390100</v>
      </c>
      <c r="FN87" s="358">
        <f t="shared" si="473"/>
        <v>445095</v>
      </c>
      <c r="FO87" s="358">
        <f t="shared" si="473"/>
        <v>483125</v>
      </c>
      <c r="FP87" s="358">
        <f t="shared" si="473"/>
        <v>426318</v>
      </c>
      <c r="FQ87" s="358">
        <f t="shared" si="473"/>
        <v>384798</v>
      </c>
      <c r="FR87" s="358">
        <f t="shared" si="473"/>
        <v>386326</v>
      </c>
      <c r="FS87" s="358">
        <f t="shared" si="473"/>
        <v>389498</v>
      </c>
      <c r="FT87" s="358">
        <f t="shared" si="473"/>
        <v>460666</v>
      </c>
    </row>
    <row r="88" spans="2:176" x14ac:dyDescent="0.25">
      <c r="B88" s="3" t="s">
        <v>10</v>
      </c>
      <c r="C88" s="177">
        <f t="shared" ref="C88:Q88" si="474">SUM(C85)/C87</f>
        <v>0.96177603347124618</v>
      </c>
      <c r="D88" s="14">
        <f t="shared" si="474"/>
        <v>0.87677664215292606</v>
      </c>
      <c r="E88" s="14">
        <f t="shared" si="474"/>
        <v>0.80773760321681054</v>
      </c>
      <c r="F88" s="14">
        <f t="shared" si="474"/>
        <v>0.78011869139315271</v>
      </c>
      <c r="G88" s="14">
        <f t="shared" si="474"/>
        <v>0.67783213103768358</v>
      </c>
      <c r="H88" s="14">
        <f t="shared" si="474"/>
        <v>0.89003500266496516</v>
      </c>
      <c r="I88" s="14">
        <f t="shared" si="474"/>
        <v>0.52058174402157598</v>
      </c>
      <c r="J88" s="14">
        <f t="shared" si="474"/>
        <v>0.70393937413413821</v>
      </c>
      <c r="K88" s="14">
        <f t="shared" si="474"/>
        <v>0.65554064434387038</v>
      </c>
      <c r="L88" s="14">
        <f t="shared" si="474"/>
        <v>0.63206130882539124</v>
      </c>
      <c r="M88" s="14">
        <f t="shared" si="474"/>
        <v>0.60613908171972763</v>
      </c>
      <c r="N88" s="23">
        <f t="shared" si="474"/>
        <v>0.60542371811054307</v>
      </c>
      <c r="O88" s="177">
        <f t="shared" si="474"/>
        <v>0.63155538184480808</v>
      </c>
      <c r="P88" s="14">
        <f t="shared" si="474"/>
        <v>0.59717704008579109</v>
      </c>
      <c r="Q88" s="14">
        <f t="shared" si="474"/>
        <v>0.58892875448487958</v>
      </c>
      <c r="R88" s="14">
        <f t="shared" ref="R88:W88" si="475">SUM(R85)/R87</f>
        <v>0.56098369413059501</v>
      </c>
      <c r="S88" s="14">
        <f t="shared" si="475"/>
        <v>0.58747930986113062</v>
      </c>
      <c r="T88" s="14">
        <f t="shared" si="475"/>
        <v>0.58107655396317881</v>
      </c>
      <c r="U88" s="14">
        <f t="shared" si="475"/>
        <v>0.59223345769996438</v>
      </c>
      <c r="V88" s="14">
        <f t="shared" si="475"/>
        <v>0.58185762044320832</v>
      </c>
      <c r="W88" s="14">
        <f t="shared" si="475"/>
        <v>0.53808820328527829</v>
      </c>
      <c r="X88" s="14">
        <f t="shared" ref="X88:AC88" si="476">SUM(X85)/X87</f>
        <v>0.47849245023272075</v>
      </c>
      <c r="Y88" s="14">
        <f t="shared" si="476"/>
        <v>0.46048463209956031</v>
      </c>
      <c r="Z88" s="23">
        <f t="shared" si="476"/>
        <v>0.49571308955771703</v>
      </c>
      <c r="AA88" s="177">
        <f t="shared" si="476"/>
        <v>0.49166642693314572</v>
      </c>
      <c r="AB88" s="14">
        <f t="shared" si="476"/>
        <v>0.48513562117848419</v>
      </c>
      <c r="AC88" s="14">
        <f t="shared" si="476"/>
        <v>0.44658619101050556</v>
      </c>
      <c r="AD88" s="14">
        <f t="shared" ref="AD88:AI88" si="477">SUM(AD85)/AD87</f>
        <v>0.4299542496209538</v>
      </c>
      <c r="AE88" s="14">
        <f t="shared" si="477"/>
        <v>0.40971711589728971</v>
      </c>
      <c r="AF88" s="14">
        <f t="shared" si="477"/>
        <v>0.43522945441667132</v>
      </c>
      <c r="AG88" s="14">
        <f t="shared" si="477"/>
        <v>0.43713791493918341</v>
      </c>
      <c r="AH88" s="14">
        <f t="shared" si="477"/>
        <v>0.42343644274761272</v>
      </c>
      <c r="AI88" s="14">
        <f t="shared" si="477"/>
        <v>0.40453005008134069</v>
      </c>
      <c r="AJ88" s="14">
        <f t="shared" ref="AJ88:AO88" si="478">SUM(AJ85)/AJ87</f>
        <v>0.35157269928834189</v>
      </c>
      <c r="AK88" s="14">
        <f t="shared" si="478"/>
        <v>0.34388984968293795</v>
      </c>
      <c r="AL88" s="23">
        <f t="shared" si="478"/>
        <v>0.38199987335321489</v>
      </c>
      <c r="AM88" s="177">
        <f t="shared" si="478"/>
        <v>0.39143135593435979</v>
      </c>
      <c r="AN88" s="14">
        <f t="shared" si="478"/>
        <v>0.36190072522260003</v>
      </c>
      <c r="AO88" s="14">
        <f t="shared" si="478"/>
        <v>0.35198115909741895</v>
      </c>
      <c r="AP88" s="14">
        <f t="shared" ref="AP88:AU88" si="479">SUM(AP85)/AP87</f>
        <v>0.3214055415101485</v>
      </c>
      <c r="AQ88" s="14">
        <f t="shared" si="479"/>
        <v>0.31851309355222351</v>
      </c>
      <c r="AR88" s="14">
        <f t="shared" si="479"/>
        <v>0.34041959088019347</v>
      </c>
      <c r="AS88" s="14">
        <f t="shared" si="479"/>
        <v>0.35989585641480171</v>
      </c>
      <c r="AT88" s="14">
        <f t="shared" si="479"/>
        <v>0.35369725344405262</v>
      </c>
      <c r="AU88" s="14">
        <f t="shared" si="479"/>
        <v>0.33269922855666473</v>
      </c>
      <c r="AV88" s="14">
        <f t="shared" ref="AV88:BJ88" si="480">SUM(AV85)/AV87</f>
        <v>0.31222873636743304</v>
      </c>
      <c r="AW88" s="14">
        <f t="shared" si="480"/>
        <v>0.28633720461457585</v>
      </c>
      <c r="AX88" s="23">
        <f t="shared" si="480"/>
        <v>0.31431498870127866</v>
      </c>
      <c r="AY88" s="177">
        <f t="shared" si="480"/>
        <v>0.31705896001443706</v>
      </c>
      <c r="AZ88" s="14">
        <f t="shared" si="480"/>
        <v>0.30026422633240962</v>
      </c>
      <c r="BA88" s="14">
        <f t="shared" si="480"/>
        <v>0.28657757184268789</v>
      </c>
      <c r="BB88" s="14">
        <f t="shared" si="480"/>
        <v>0.26197339021607791</v>
      </c>
      <c r="BC88" s="14">
        <f t="shared" si="480"/>
        <v>0.26378802167715865</v>
      </c>
      <c r="BD88" s="14">
        <f t="shared" si="480"/>
        <v>0.29120854003905189</v>
      </c>
      <c r="BE88" s="14">
        <f t="shared" si="480"/>
        <v>0.28393881886161776</v>
      </c>
      <c r="BF88" s="14">
        <f t="shared" si="480"/>
        <v>0.28856094921616887</v>
      </c>
      <c r="BG88" s="14">
        <f t="shared" si="480"/>
        <v>0.26780601143959371</v>
      </c>
      <c r="BH88" s="14">
        <f t="shared" si="480"/>
        <v>0.2297460042396203</v>
      </c>
      <c r="BI88" s="14">
        <f t="shared" si="480"/>
        <v>0.22023993043887941</v>
      </c>
      <c r="BJ88" s="23">
        <f t="shared" si="480"/>
        <v>0.22750429539096303</v>
      </c>
      <c r="BK88" s="177">
        <f t="shared" ref="BK88:BP88" si="481">SUM(BK85)/BK87</f>
        <v>0.26059090863589496</v>
      </c>
      <c r="BL88" s="14">
        <f t="shared" si="481"/>
        <v>0.2560032254476699</v>
      </c>
      <c r="BM88" s="14">
        <f t="shared" si="481"/>
        <v>0.22298110979929162</v>
      </c>
      <c r="BN88" s="14">
        <f t="shared" si="481"/>
        <v>0.20424888789376464</v>
      </c>
      <c r="BO88" s="14">
        <f t="shared" si="481"/>
        <v>0.19920723742756388</v>
      </c>
      <c r="BP88" s="14">
        <f t="shared" si="481"/>
        <v>0.20664768962066477</v>
      </c>
      <c r="BQ88" s="14">
        <f t="shared" ref="BQ88:CB88" si="482">SUM(BQ85)/BQ87</f>
        <v>0.21473576768744421</v>
      </c>
      <c r="BR88" s="14">
        <f t="shared" si="482"/>
        <v>0.22229601980136643</v>
      </c>
      <c r="BS88" s="14">
        <f t="shared" si="482"/>
        <v>0.21009748032135031</v>
      </c>
      <c r="BT88" s="14">
        <f t="shared" si="482"/>
        <v>0.19803768658296853</v>
      </c>
      <c r="BU88" s="14">
        <f t="shared" si="482"/>
        <v>0.17852997657585415</v>
      </c>
      <c r="BV88" s="23">
        <f t="shared" si="482"/>
        <v>0.19415897284056957</v>
      </c>
      <c r="BW88" s="177">
        <f t="shared" si="482"/>
        <v>0.20941196208371782</v>
      </c>
      <c r="BX88" s="14">
        <f t="shared" si="482"/>
        <v>0.19921747012952973</v>
      </c>
      <c r="BY88" s="14">
        <f t="shared" si="482"/>
        <v>0.18332600217002434</v>
      </c>
      <c r="BZ88" s="14">
        <f t="shared" si="482"/>
        <v>0.16504114319300567</v>
      </c>
      <c r="CA88" s="14">
        <f t="shared" si="482"/>
        <v>0.16010490330312249</v>
      </c>
      <c r="CB88" s="14">
        <f t="shared" si="482"/>
        <v>0.18420579362189041</v>
      </c>
      <c r="CC88" s="14">
        <f t="shared" ref="CC88:DR88" si="483">SUM(CC85)/CC87</f>
        <v>0.1876618352058306</v>
      </c>
      <c r="CD88" s="14">
        <f t="shared" si="483"/>
        <v>0.18898468747031943</v>
      </c>
      <c r="CE88" s="14">
        <f t="shared" si="483"/>
        <v>0.17197305065478777</v>
      </c>
      <c r="CF88" s="14">
        <f t="shared" si="483"/>
        <v>0.15381183564535153</v>
      </c>
      <c r="CG88" s="14">
        <f t="shared" si="483"/>
        <v>0.14234423842496155</v>
      </c>
      <c r="CH88" s="14">
        <f t="shared" si="483"/>
        <v>0.15837227908950083</v>
      </c>
      <c r="CI88" s="177">
        <f t="shared" si="483"/>
        <v>0.17021498346645444</v>
      </c>
      <c r="CJ88" s="14">
        <f t="shared" si="483"/>
        <v>0.16754440574540519</v>
      </c>
      <c r="CK88" s="14">
        <f t="shared" si="483"/>
        <v>0.15550931573031021</v>
      </c>
      <c r="CL88" s="14">
        <f t="shared" si="483"/>
        <v>0.15853146540814958</v>
      </c>
      <c r="CM88" s="14">
        <f t="shared" si="483"/>
        <v>0.14780307485507854</v>
      </c>
      <c r="CN88" s="14">
        <f t="shared" si="483"/>
        <v>0.15623951776799985</v>
      </c>
      <c r="CO88" s="14">
        <f t="shared" si="483"/>
        <v>0.17057465926011933</v>
      </c>
      <c r="CP88" s="14">
        <f t="shared" si="483"/>
        <v>0.168544431075248</v>
      </c>
      <c r="CQ88" s="14">
        <f t="shared" si="483"/>
        <v>0.1573286241772355</v>
      </c>
      <c r="CR88" s="14">
        <f t="shared" si="483"/>
        <v>0.13046600594487626</v>
      </c>
      <c r="CS88" s="14">
        <f t="shared" si="483"/>
        <v>0.12084833077689304</v>
      </c>
      <c r="CT88" s="23">
        <f t="shared" si="483"/>
        <v>0.13525588850972106</v>
      </c>
      <c r="CU88" s="14">
        <f t="shared" si="483"/>
        <v>0.15187840939368302</v>
      </c>
      <c r="CV88" s="14">
        <f t="shared" si="483"/>
        <v>0.14689695941350048</v>
      </c>
      <c r="CW88" s="14">
        <f t="shared" si="483"/>
        <v>0.13648621235275821</v>
      </c>
      <c r="CX88" s="14">
        <f t="shared" si="483"/>
        <v>0.11595239180473575</v>
      </c>
      <c r="CY88" s="14">
        <f t="shared" si="483"/>
        <v>0.10994017059230532</v>
      </c>
      <c r="CZ88" s="14">
        <f t="shared" si="483"/>
        <v>0.12938886309247419</v>
      </c>
      <c r="DA88" s="14">
        <f t="shared" si="483"/>
        <v>0.13819640324132196</v>
      </c>
      <c r="DB88" s="14">
        <f t="shared" si="483"/>
        <v>0.14280777500005468</v>
      </c>
      <c r="DC88" s="14">
        <f t="shared" si="483"/>
        <v>0.13806618409480392</v>
      </c>
      <c r="DD88" s="14">
        <f t="shared" si="483"/>
        <v>0.121823639080247</v>
      </c>
      <c r="DE88" s="14">
        <f t="shared" si="483"/>
        <v>0.10613540964353292</v>
      </c>
      <c r="DF88" s="23">
        <f t="shared" si="483"/>
        <v>0.12364461295619135</v>
      </c>
      <c r="DG88" s="14">
        <f t="shared" si="483"/>
        <v>0.13184594705403063</v>
      </c>
      <c r="DH88" s="14">
        <f t="shared" si="483"/>
        <v>0.13573922219377438</v>
      </c>
      <c r="DI88" s="14">
        <f t="shared" si="483"/>
        <v>0.11433073752801282</v>
      </c>
      <c r="DJ88" s="14">
        <f t="shared" si="483"/>
        <v>0.10839846388969791</v>
      </c>
      <c r="DK88" s="14">
        <f t="shared" si="483"/>
        <v>0.11128336778466805</v>
      </c>
      <c r="DL88" s="14">
        <f t="shared" si="483"/>
        <v>0.13119481281157341</v>
      </c>
      <c r="DM88" s="14">
        <f t="shared" si="483"/>
        <v>0.14782292453772361</v>
      </c>
      <c r="DN88" s="14">
        <f t="shared" si="483"/>
        <v>0.14879706679771837</v>
      </c>
      <c r="DO88" s="14">
        <f t="shared" si="483"/>
        <v>0.13547303070000569</v>
      </c>
      <c r="DP88" s="14">
        <f t="shared" si="483"/>
        <v>0.11358360702929746</v>
      </c>
      <c r="DQ88" s="14">
        <f t="shared" si="483"/>
        <v>0.11286705312173334</v>
      </c>
      <c r="DR88" s="14">
        <f t="shared" si="483"/>
        <v>0.12002802317980345</v>
      </c>
      <c r="DS88" s="14">
        <f t="shared" ref="DS88:FK88" si="484">SUM(DS85)/DS87</f>
        <v>0.12364306970116098</v>
      </c>
      <c r="DT88" s="14">
        <f t="shared" si="484"/>
        <v>0.11600862033912089</v>
      </c>
      <c r="DU88" s="14">
        <f t="shared" si="484"/>
        <v>0.10870951778743058</v>
      </c>
      <c r="DV88" s="280">
        <f t="shared" si="484"/>
        <v>9.9672286026394261E-2</v>
      </c>
      <c r="DW88" s="280">
        <f t="shared" si="484"/>
        <v>0.10624368241257443</v>
      </c>
      <c r="DX88" s="280">
        <f t="shared" si="484"/>
        <v>0.11851507407992014</v>
      </c>
      <c r="DY88" s="280">
        <f t="shared" si="484"/>
        <v>0.12984544859452476</v>
      </c>
      <c r="DZ88" s="280">
        <f t="shared" si="484"/>
        <v>0.13367176516102247</v>
      </c>
      <c r="EA88" s="280">
        <f t="shared" si="484"/>
        <v>0.12340376477977172</v>
      </c>
      <c r="EB88" s="280">
        <f t="shared" si="484"/>
        <v>0.10426454554465259</v>
      </c>
      <c r="EC88" s="280">
        <f t="shared" si="484"/>
        <v>9.5127559992424851E-2</v>
      </c>
      <c r="ED88" s="280">
        <f t="shared" si="484"/>
        <v>9.9607854839150856E-2</v>
      </c>
      <c r="EE88" s="280">
        <f t="shared" si="484"/>
        <v>0.1258305547832293</v>
      </c>
      <c r="EF88" s="280">
        <f t="shared" si="484"/>
        <v>0.10968782518210198</v>
      </c>
      <c r="EG88" s="280">
        <f t="shared" si="484"/>
        <v>0.10471421375448162</v>
      </c>
      <c r="EH88" s="280">
        <f t="shared" si="484"/>
        <v>9.9288030550163248E-2</v>
      </c>
      <c r="EI88" s="280">
        <f t="shared" si="484"/>
        <v>9.6333740049968045E-2</v>
      </c>
      <c r="EJ88" s="280">
        <f t="shared" si="484"/>
        <v>0.10944784116249393</v>
      </c>
      <c r="EK88" s="280">
        <f t="shared" si="484"/>
        <v>0.11619739701838863</v>
      </c>
      <c r="EL88" s="280">
        <f t="shared" si="484"/>
        <v>0.11865699817450771</v>
      </c>
      <c r="EM88" s="280">
        <f t="shared" si="484"/>
        <v>0.11385661043434075</v>
      </c>
      <c r="EN88" s="280">
        <f t="shared" si="484"/>
        <v>9.5411590046939249E-2</v>
      </c>
      <c r="EO88" s="280">
        <f t="shared" si="484"/>
        <v>8.3358017575180202E-2</v>
      </c>
      <c r="EP88" s="280">
        <f t="shared" si="484"/>
        <v>0.10412391168324189</v>
      </c>
      <c r="EQ88" s="280">
        <f t="shared" si="484"/>
        <v>0.11338089994799815</v>
      </c>
      <c r="ER88" s="280">
        <f t="shared" si="484"/>
        <v>0.10624514464034129</v>
      </c>
      <c r="ES88" s="280">
        <f t="shared" si="484"/>
        <v>9.458634751456127E-2</v>
      </c>
      <c r="ET88" s="280">
        <f t="shared" si="484"/>
        <v>8.0806182493263615E-2</v>
      </c>
      <c r="EU88" s="280">
        <f t="shared" si="484"/>
        <v>8.4206048144077714E-2</v>
      </c>
      <c r="EV88" s="280">
        <f t="shared" si="484"/>
        <v>9.5401010010915596E-2</v>
      </c>
      <c r="EW88" s="280">
        <f t="shared" si="484"/>
        <v>0.10128779308527949</v>
      </c>
      <c r="EX88" s="280">
        <f t="shared" si="484"/>
        <v>0.10379487492536345</v>
      </c>
      <c r="EY88" s="280">
        <f t="shared" si="484"/>
        <v>0.10164353778730553</v>
      </c>
      <c r="EZ88" s="280">
        <f t="shared" si="484"/>
        <v>8.4477406862400545E-2</v>
      </c>
      <c r="FA88" s="280">
        <f t="shared" si="484"/>
        <v>7.7663822318601639E-2</v>
      </c>
      <c r="FB88" s="280">
        <f t="shared" si="484"/>
        <v>8.5559062565298202E-2</v>
      </c>
      <c r="FC88" s="280">
        <f t="shared" si="484"/>
        <v>0.10188976909886766</v>
      </c>
      <c r="FD88" s="280">
        <f t="shared" si="484"/>
        <v>9.1960881434808156E-2</v>
      </c>
      <c r="FE88" s="280">
        <f t="shared" si="484"/>
        <v>9.1357109270445255E-2</v>
      </c>
      <c r="FF88" s="280">
        <f t="shared" si="484"/>
        <v>7.160488921779469E-2</v>
      </c>
      <c r="FG88" s="280">
        <f t="shared" si="484"/>
        <v>7.1382924994073324E-2</v>
      </c>
      <c r="FH88" s="280">
        <f t="shared" si="484"/>
        <v>7.8415642042530376E-2</v>
      </c>
      <c r="FI88" s="280">
        <f t="shared" si="484"/>
        <v>8.8449257463023762E-2</v>
      </c>
      <c r="FJ88" s="280">
        <f t="shared" si="484"/>
        <v>9.7127598333623263E-2</v>
      </c>
      <c r="FK88" s="280">
        <f t="shared" si="484"/>
        <v>9.1195812275158925E-2</v>
      </c>
      <c r="FL88" s="280">
        <f t="shared" ref="FL88:FT88" si="485">SUM(FL85)/FL87</f>
        <v>7.8792139319380089E-2</v>
      </c>
      <c r="FM88" s="280">
        <f t="shared" si="485"/>
        <v>6.4973083824660341E-2</v>
      </c>
      <c r="FN88" s="280">
        <f t="shared" si="485"/>
        <v>7.5208663319066713E-2</v>
      </c>
      <c r="FO88" s="280">
        <f t="shared" si="485"/>
        <v>8.6168175937904268E-2</v>
      </c>
      <c r="FP88" s="280">
        <f t="shared" si="485"/>
        <v>7.721231568922729E-2</v>
      </c>
      <c r="FQ88" s="280">
        <f t="shared" si="485"/>
        <v>6.5457720674223882E-2</v>
      </c>
      <c r="FR88" s="280">
        <f t="shared" si="485"/>
        <v>6.1466222827353062E-2</v>
      </c>
      <c r="FS88" s="280">
        <f t="shared" si="485"/>
        <v>6.2187739089802775E-2</v>
      </c>
      <c r="FT88" s="280">
        <f t="shared" si="485"/>
        <v>7.0864791410696681E-2</v>
      </c>
    </row>
    <row r="89" spans="2:176" ht="13.8" thickBot="1" x14ac:dyDescent="0.3">
      <c r="B89" s="4" t="s">
        <v>11</v>
      </c>
      <c r="C89" s="178">
        <f t="shared" ref="C89:Q89" si="486">SUM(C86/C87)</f>
        <v>3.8223966528753921E-2</v>
      </c>
      <c r="D89" s="15">
        <f t="shared" si="486"/>
        <v>0.12322335784707404</v>
      </c>
      <c r="E89" s="15">
        <f t="shared" si="486"/>
        <v>0.19226239678318954</v>
      </c>
      <c r="F89" s="15">
        <f t="shared" si="486"/>
        <v>0.21988130860684724</v>
      </c>
      <c r="G89" s="15">
        <f t="shared" si="486"/>
        <v>0.32216786896231653</v>
      </c>
      <c r="H89" s="15">
        <f t="shared" si="486"/>
        <v>0.1099649973350348</v>
      </c>
      <c r="I89" s="15">
        <f t="shared" si="486"/>
        <v>0.47941825597842413</v>
      </c>
      <c r="J89" s="15">
        <f t="shared" si="486"/>
        <v>0.29606062586586174</v>
      </c>
      <c r="K89" s="15">
        <f t="shared" si="486"/>
        <v>0.34445935565612962</v>
      </c>
      <c r="L89" s="15">
        <f t="shared" si="486"/>
        <v>0.3679386911746087</v>
      </c>
      <c r="M89" s="15">
        <f t="shared" si="486"/>
        <v>0.39386091828027231</v>
      </c>
      <c r="N89" s="24">
        <f t="shared" si="486"/>
        <v>0.39457628188945681</v>
      </c>
      <c r="O89" s="178">
        <f t="shared" si="486"/>
        <v>0.36844461815519186</v>
      </c>
      <c r="P89" s="15">
        <f t="shared" si="486"/>
        <v>0.40282295991420886</v>
      </c>
      <c r="Q89" s="15">
        <f t="shared" si="486"/>
        <v>0.41107124551512048</v>
      </c>
      <c r="R89" s="15">
        <f t="shared" ref="R89:W89" si="487">SUM(R86/R87)</f>
        <v>0.43901630586940499</v>
      </c>
      <c r="S89" s="15">
        <f t="shared" si="487"/>
        <v>0.41252069013886938</v>
      </c>
      <c r="T89" s="15">
        <f t="shared" si="487"/>
        <v>0.41892344603682119</v>
      </c>
      <c r="U89" s="15">
        <f t="shared" si="487"/>
        <v>0.40776654230003562</v>
      </c>
      <c r="V89" s="15">
        <f t="shared" si="487"/>
        <v>0.41814237955679173</v>
      </c>
      <c r="W89" s="15">
        <f t="shared" si="487"/>
        <v>0.46191179671472171</v>
      </c>
      <c r="X89" s="15">
        <f t="shared" ref="X89:AC89" si="488">SUM(X86/X87)</f>
        <v>0.5215075497672792</v>
      </c>
      <c r="Y89" s="15">
        <f t="shared" si="488"/>
        <v>0.53951536790043975</v>
      </c>
      <c r="Z89" s="24">
        <f t="shared" si="488"/>
        <v>0.50428691044228302</v>
      </c>
      <c r="AA89" s="178">
        <f t="shared" si="488"/>
        <v>0.50833357306685423</v>
      </c>
      <c r="AB89" s="15">
        <f t="shared" si="488"/>
        <v>0.51486437882151581</v>
      </c>
      <c r="AC89" s="15">
        <f t="shared" si="488"/>
        <v>0.55341380898949444</v>
      </c>
      <c r="AD89" s="15">
        <f t="shared" ref="AD89:AI89" si="489">SUM(AD86/AD87)</f>
        <v>0.57004575037904615</v>
      </c>
      <c r="AE89" s="15">
        <f t="shared" si="489"/>
        <v>0.59028288410271024</v>
      </c>
      <c r="AF89" s="15">
        <f t="shared" si="489"/>
        <v>0.56477054558332862</v>
      </c>
      <c r="AG89" s="15">
        <f t="shared" si="489"/>
        <v>0.56286208506081659</v>
      </c>
      <c r="AH89" s="15">
        <f t="shared" si="489"/>
        <v>0.57656355725238728</v>
      </c>
      <c r="AI89" s="15">
        <f t="shared" si="489"/>
        <v>0.59546994991865931</v>
      </c>
      <c r="AJ89" s="15">
        <f t="shared" ref="AJ89:AO89" si="490">SUM(AJ86/AJ87)</f>
        <v>0.64842730071165811</v>
      </c>
      <c r="AK89" s="15">
        <f t="shared" si="490"/>
        <v>0.65611015031706199</v>
      </c>
      <c r="AL89" s="24">
        <f t="shared" si="490"/>
        <v>0.61800012664678516</v>
      </c>
      <c r="AM89" s="178">
        <f t="shared" si="490"/>
        <v>0.60856864406564015</v>
      </c>
      <c r="AN89" s="15">
        <f t="shared" si="490"/>
        <v>0.63809927477740003</v>
      </c>
      <c r="AO89" s="15">
        <f t="shared" si="490"/>
        <v>0.64801884090258111</v>
      </c>
      <c r="AP89" s="15">
        <f t="shared" ref="AP89:AU89" si="491">SUM(AP86/AP87)</f>
        <v>0.67859445848985145</v>
      </c>
      <c r="AQ89" s="15">
        <f t="shared" si="491"/>
        <v>0.68148690644777643</v>
      </c>
      <c r="AR89" s="15">
        <f t="shared" si="491"/>
        <v>0.65958040911980653</v>
      </c>
      <c r="AS89" s="15">
        <f t="shared" si="491"/>
        <v>0.64010414358519829</v>
      </c>
      <c r="AT89" s="15">
        <f t="shared" si="491"/>
        <v>0.64630274655594744</v>
      </c>
      <c r="AU89" s="15">
        <f t="shared" si="491"/>
        <v>0.66730077144333522</v>
      </c>
      <c r="AV89" s="15">
        <f>SUM(AV86/AV87)</f>
        <v>0.68777126363256702</v>
      </c>
      <c r="AW89" s="15">
        <f>SUM(AW86/AW87)</f>
        <v>0.71366279538542421</v>
      </c>
      <c r="AX89" s="24">
        <f>SUM(AX86/AX87)</f>
        <v>0.68568501129872139</v>
      </c>
      <c r="AY89" s="178">
        <f t="shared" ref="AY89:BG89" si="492">SUM(AY86/AY87)</f>
        <v>0.68294103998556288</v>
      </c>
      <c r="AZ89" s="15">
        <f t="shared" si="492"/>
        <v>0.69973577366759043</v>
      </c>
      <c r="BA89" s="15">
        <f t="shared" si="492"/>
        <v>0.71342242815731205</v>
      </c>
      <c r="BB89" s="15">
        <f t="shared" si="492"/>
        <v>0.73802660978392209</v>
      </c>
      <c r="BC89" s="15">
        <f t="shared" si="492"/>
        <v>0.73621197832284135</v>
      </c>
      <c r="BD89" s="15">
        <f t="shared" si="492"/>
        <v>0.70879145996094817</v>
      </c>
      <c r="BE89" s="15">
        <f t="shared" si="492"/>
        <v>0.71606118113838224</v>
      </c>
      <c r="BF89" s="15">
        <f t="shared" si="492"/>
        <v>0.71143905078383118</v>
      </c>
      <c r="BG89" s="15">
        <f t="shared" si="492"/>
        <v>0.73219398856040629</v>
      </c>
      <c r="BH89" s="15">
        <f t="shared" ref="BH89:BM89" si="493">SUM(BH86/BH87)</f>
        <v>0.77025399576037967</v>
      </c>
      <c r="BI89" s="15">
        <f t="shared" si="493"/>
        <v>0.77976006956112065</v>
      </c>
      <c r="BJ89" s="24">
        <f t="shared" si="493"/>
        <v>0.77249570460903694</v>
      </c>
      <c r="BK89" s="178">
        <f t="shared" si="493"/>
        <v>0.73940909136410504</v>
      </c>
      <c r="BL89" s="15">
        <f t="shared" si="493"/>
        <v>0.74399677455233015</v>
      </c>
      <c r="BM89" s="15">
        <f t="shared" si="493"/>
        <v>0.77701889020070836</v>
      </c>
      <c r="BN89" s="15">
        <f t="shared" ref="BN89:BS89" si="494">SUM(BN86/BN87)</f>
        <v>0.79575111210623539</v>
      </c>
      <c r="BO89" s="15">
        <f t="shared" si="494"/>
        <v>0.80079276257243615</v>
      </c>
      <c r="BP89" s="15">
        <f t="shared" si="494"/>
        <v>0.79335231037933518</v>
      </c>
      <c r="BQ89" s="15">
        <f t="shared" si="494"/>
        <v>0.78526423231255582</v>
      </c>
      <c r="BR89" s="15">
        <f t="shared" si="494"/>
        <v>0.77770398019863352</v>
      </c>
      <c r="BS89" s="15">
        <f t="shared" si="494"/>
        <v>0.78990251967864966</v>
      </c>
      <c r="BT89" s="15">
        <f>SUM(BT86/BT87)</f>
        <v>0.8019623134170315</v>
      </c>
      <c r="BU89" s="15">
        <f>SUM(BU86/BU87)</f>
        <v>0.82147002342414588</v>
      </c>
      <c r="BV89" s="24">
        <f>SUM(BV86/BV87)</f>
        <v>0.8058410271594304</v>
      </c>
      <c r="BW89" s="178">
        <f t="shared" ref="BW89:CB89" si="495">SUM(BW86/BW87)</f>
        <v>0.79058803791628218</v>
      </c>
      <c r="BX89" s="15">
        <f t="shared" si="495"/>
        <v>0.80078252987047027</v>
      </c>
      <c r="BY89" s="15">
        <f t="shared" si="495"/>
        <v>0.81667399782997563</v>
      </c>
      <c r="BZ89" s="15">
        <f t="shared" si="495"/>
        <v>0.83495885680699433</v>
      </c>
      <c r="CA89" s="15">
        <f t="shared" si="495"/>
        <v>0.83989509669687745</v>
      </c>
      <c r="CB89" s="15">
        <f t="shared" si="495"/>
        <v>0.81579420637810962</v>
      </c>
      <c r="CC89" s="15">
        <f t="shared" ref="CC89:DR89" si="496">SUM(CC86/CC87)</f>
        <v>0.81233816479416943</v>
      </c>
      <c r="CD89" s="15">
        <f t="shared" si="496"/>
        <v>0.81101531252968051</v>
      </c>
      <c r="CE89" s="15">
        <f t="shared" si="496"/>
        <v>0.82802694934521226</v>
      </c>
      <c r="CF89" s="15">
        <f t="shared" si="496"/>
        <v>0.8461881643546485</v>
      </c>
      <c r="CG89" s="15">
        <f t="shared" si="496"/>
        <v>0.85765576157503842</v>
      </c>
      <c r="CH89" s="15">
        <f t="shared" si="496"/>
        <v>0.8416277209104992</v>
      </c>
      <c r="CI89" s="178">
        <f t="shared" si="496"/>
        <v>0.82978501653354553</v>
      </c>
      <c r="CJ89" s="15">
        <f t="shared" si="496"/>
        <v>0.83245559425459481</v>
      </c>
      <c r="CK89" s="15">
        <f t="shared" si="496"/>
        <v>0.84449068426968976</v>
      </c>
      <c r="CL89" s="15">
        <f t="shared" si="496"/>
        <v>0.84146853459185045</v>
      </c>
      <c r="CM89" s="15">
        <f t="shared" si="496"/>
        <v>0.8521969251449214</v>
      </c>
      <c r="CN89" s="15">
        <f t="shared" si="496"/>
        <v>0.84376048223200018</v>
      </c>
      <c r="CO89" s="15">
        <f t="shared" si="496"/>
        <v>0.82942534073988072</v>
      </c>
      <c r="CP89" s="15">
        <f t="shared" si="496"/>
        <v>0.83145556892475203</v>
      </c>
      <c r="CQ89" s="15">
        <f t="shared" si="496"/>
        <v>0.84267137582276452</v>
      </c>
      <c r="CR89" s="15">
        <f t="shared" si="496"/>
        <v>0.86953399405512377</v>
      </c>
      <c r="CS89" s="15">
        <f t="shared" si="496"/>
        <v>0.87915166922310695</v>
      </c>
      <c r="CT89" s="24">
        <f t="shared" si="496"/>
        <v>0.86474411149027897</v>
      </c>
      <c r="CU89" s="15">
        <f t="shared" si="496"/>
        <v>0.84812159060631698</v>
      </c>
      <c r="CV89" s="15">
        <f t="shared" si="496"/>
        <v>0.85310304058649955</v>
      </c>
      <c r="CW89" s="15">
        <f t="shared" si="496"/>
        <v>0.86351378764724185</v>
      </c>
      <c r="CX89" s="15">
        <f t="shared" si="496"/>
        <v>0.88404760819526429</v>
      </c>
      <c r="CY89" s="15">
        <f t="shared" si="496"/>
        <v>0.89005982940769468</v>
      </c>
      <c r="CZ89" s="15">
        <f t="shared" si="496"/>
        <v>0.87061113690752578</v>
      </c>
      <c r="DA89" s="15">
        <f t="shared" si="496"/>
        <v>0.86180359675867801</v>
      </c>
      <c r="DB89" s="15">
        <f t="shared" si="496"/>
        <v>0.8571922249999453</v>
      </c>
      <c r="DC89" s="15">
        <f t="shared" si="496"/>
        <v>0.86193381590519602</v>
      </c>
      <c r="DD89" s="15">
        <f t="shared" si="496"/>
        <v>0.87817636091975304</v>
      </c>
      <c r="DE89" s="15">
        <f t="shared" si="496"/>
        <v>0.89386459035646704</v>
      </c>
      <c r="DF89" s="24">
        <f t="shared" si="496"/>
        <v>0.87635538704380866</v>
      </c>
      <c r="DG89" s="15">
        <f t="shared" si="496"/>
        <v>0.86815405294596937</v>
      </c>
      <c r="DH89" s="15">
        <f t="shared" si="496"/>
        <v>0.86426077780622557</v>
      </c>
      <c r="DI89" s="15">
        <f t="shared" si="496"/>
        <v>0.88566926247198718</v>
      </c>
      <c r="DJ89" s="15">
        <f t="shared" si="496"/>
        <v>0.89160153611030213</v>
      </c>
      <c r="DK89" s="15">
        <f t="shared" si="496"/>
        <v>0.88871663221533193</v>
      </c>
      <c r="DL89" s="15">
        <f t="shared" si="496"/>
        <v>0.86880518718842659</v>
      </c>
      <c r="DM89" s="15">
        <f t="shared" si="496"/>
        <v>0.85217707546227639</v>
      </c>
      <c r="DN89" s="15">
        <f t="shared" si="496"/>
        <v>0.85120293320228158</v>
      </c>
      <c r="DO89" s="15">
        <f t="shared" si="496"/>
        <v>0.86452696929999429</v>
      </c>
      <c r="DP89" s="15">
        <f t="shared" si="496"/>
        <v>0.88641639297070252</v>
      </c>
      <c r="DQ89" s="15">
        <f t="shared" si="496"/>
        <v>0.8871329468782666</v>
      </c>
      <c r="DR89" s="15">
        <f t="shared" si="496"/>
        <v>0.87997197682019657</v>
      </c>
      <c r="DS89" s="15">
        <f t="shared" ref="DS89:FK89" si="497">SUM(DS86/DS87)</f>
        <v>0.87635693029883899</v>
      </c>
      <c r="DT89" s="15">
        <f t="shared" si="497"/>
        <v>0.88399137966087915</v>
      </c>
      <c r="DU89" s="15">
        <f t="shared" si="497"/>
        <v>0.89129048221256946</v>
      </c>
      <c r="DV89" s="361">
        <f t="shared" si="497"/>
        <v>0.90032771397360578</v>
      </c>
      <c r="DW89" s="361">
        <f t="shared" si="497"/>
        <v>0.89375631758742557</v>
      </c>
      <c r="DX89" s="361">
        <f t="shared" si="497"/>
        <v>0.88148492592007988</v>
      </c>
      <c r="DY89" s="361">
        <f t="shared" si="497"/>
        <v>0.87015455140547526</v>
      </c>
      <c r="DZ89" s="361">
        <f t="shared" si="497"/>
        <v>0.86632823483897758</v>
      </c>
      <c r="EA89" s="361">
        <f t="shared" si="497"/>
        <v>0.87659623522022834</v>
      </c>
      <c r="EB89" s="361">
        <f t="shared" si="497"/>
        <v>0.89573545445534741</v>
      </c>
      <c r="EC89" s="361">
        <f t="shared" si="497"/>
        <v>0.90487244000757516</v>
      </c>
      <c r="ED89" s="361">
        <f t="shared" si="497"/>
        <v>0.90039214516084909</v>
      </c>
      <c r="EE89" s="361">
        <f t="shared" si="497"/>
        <v>0.87416944521677065</v>
      </c>
      <c r="EF89" s="361">
        <f t="shared" si="497"/>
        <v>0.89031217481789804</v>
      </c>
      <c r="EG89" s="361">
        <f t="shared" si="497"/>
        <v>0.89528578624551836</v>
      </c>
      <c r="EH89" s="361">
        <f t="shared" si="497"/>
        <v>0.90071196944983678</v>
      </c>
      <c r="EI89" s="361">
        <f t="shared" si="497"/>
        <v>0.90366625995003191</v>
      </c>
      <c r="EJ89" s="361">
        <f t="shared" si="497"/>
        <v>0.89055215883750605</v>
      </c>
      <c r="EK89" s="361">
        <f t="shared" si="497"/>
        <v>0.8838026029816114</v>
      </c>
      <c r="EL89" s="361">
        <f t="shared" si="497"/>
        <v>0.8813430018254923</v>
      </c>
      <c r="EM89" s="361">
        <f t="shared" si="497"/>
        <v>0.8861433895656593</v>
      </c>
      <c r="EN89" s="361">
        <f t="shared" si="497"/>
        <v>0.90458840995306078</v>
      </c>
      <c r="EO89" s="361">
        <f t="shared" si="497"/>
        <v>0.91664198242481976</v>
      </c>
      <c r="EP89" s="361">
        <f t="shared" si="497"/>
        <v>0.89587608831675813</v>
      </c>
      <c r="EQ89" s="361">
        <f t="shared" si="497"/>
        <v>0.88661910005200184</v>
      </c>
      <c r="ER89" s="361">
        <f t="shared" si="497"/>
        <v>0.89375485535965871</v>
      </c>
      <c r="ES89" s="361">
        <f t="shared" si="497"/>
        <v>0.9054136524854387</v>
      </c>
      <c r="ET89" s="361">
        <f t="shared" si="497"/>
        <v>0.91919381750673634</v>
      </c>
      <c r="EU89" s="361">
        <f t="shared" si="497"/>
        <v>0.91579395185592227</v>
      </c>
      <c r="EV89" s="361">
        <f t="shared" si="497"/>
        <v>0.90459898998908439</v>
      </c>
      <c r="EW89" s="361">
        <f t="shared" si="497"/>
        <v>0.89871220691472053</v>
      </c>
      <c r="EX89" s="361">
        <f t="shared" si="497"/>
        <v>0.89620512507463657</v>
      </c>
      <c r="EY89" s="361">
        <f t="shared" si="497"/>
        <v>0.8983564622126945</v>
      </c>
      <c r="EZ89" s="361">
        <f t="shared" si="497"/>
        <v>0.91552259313759943</v>
      </c>
      <c r="FA89" s="361">
        <f t="shared" si="497"/>
        <v>0.92233617768139831</v>
      </c>
      <c r="FB89" s="361">
        <f t="shared" si="497"/>
        <v>0.91444093743470178</v>
      </c>
      <c r="FC89" s="361">
        <f t="shared" si="497"/>
        <v>0.8981102309011324</v>
      </c>
      <c r="FD89" s="361">
        <f t="shared" si="497"/>
        <v>0.90803911856519182</v>
      </c>
      <c r="FE89" s="361">
        <f t="shared" si="497"/>
        <v>0.90864289072955473</v>
      </c>
      <c r="FF89" s="361">
        <f t="shared" si="497"/>
        <v>0.92839511078220527</v>
      </c>
      <c r="FG89" s="361">
        <f t="shared" si="497"/>
        <v>0.92861707500592672</v>
      </c>
      <c r="FH89" s="361">
        <f t="shared" si="497"/>
        <v>0.92158435795746962</v>
      </c>
      <c r="FI89" s="361">
        <f t="shared" si="497"/>
        <v>0.91155074253697621</v>
      </c>
      <c r="FJ89" s="361">
        <f t="shared" si="497"/>
        <v>0.90287240166637672</v>
      </c>
      <c r="FK89" s="361">
        <f t="shared" si="497"/>
        <v>0.90880418772484106</v>
      </c>
      <c r="FL89" s="361">
        <f t="shared" ref="FL89:FT89" si="498">SUM(FL86/FL87)</f>
        <v>0.92120786068061988</v>
      </c>
      <c r="FM89" s="361">
        <f t="shared" si="498"/>
        <v>0.93502691617533962</v>
      </c>
      <c r="FN89" s="361">
        <f t="shared" si="498"/>
        <v>0.92479133668093327</v>
      </c>
      <c r="FO89" s="361">
        <f t="shared" si="498"/>
        <v>0.91383182406209573</v>
      </c>
      <c r="FP89" s="361">
        <f t="shared" si="498"/>
        <v>0.92278768431077274</v>
      </c>
      <c r="FQ89" s="361">
        <f t="shared" si="498"/>
        <v>0.93454227932577616</v>
      </c>
      <c r="FR89" s="361">
        <f t="shared" si="498"/>
        <v>0.93853377717264697</v>
      </c>
      <c r="FS89" s="361">
        <f t="shared" si="498"/>
        <v>0.9378122609101972</v>
      </c>
      <c r="FT89" s="361">
        <f t="shared" si="498"/>
        <v>0.92913520858930332</v>
      </c>
    </row>
    <row r="90" spans="2:176" x14ac:dyDescent="0.25">
      <c r="K90" s="38"/>
      <c r="DQ90" s="18"/>
    </row>
    <row r="91" spans="2:176" x14ac:dyDescent="0.25">
      <c r="K91" s="38"/>
    </row>
    <row r="92" spans="2:176" x14ac:dyDescent="0.25">
      <c r="K92" s="38"/>
    </row>
    <row r="93" spans="2:176" x14ac:dyDescent="0.25">
      <c r="K93" s="38"/>
    </row>
    <row r="94" spans="2:176" x14ac:dyDescent="0.25">
      <c r="K94" s="38"/>
    </row>
    <row r="95" spans="2:176" x14ac:dyDescent="0.25">
      <c r="K95" s="38"/>
    </row>
    <row r="96" spans="2:176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C2bm/Ij5/Fdfr1KtC7Yg6486cIwM/9JIRWNInTJUn+F+cSGVyKo3XffBnekLirgx4TQhXFnSquHi2iQACIjHdA==" saltValue="0CAY1tHo2pjd2RaBgl0bxQ==" spinCount="100000" sheet="1" objects="1" scenarios="1"/>
  <mergeCells count="90">
    <mergeCell ref="FO47:FZ47"/>
    <mergeCell ref="FO2:FZ2"/>
    <mergeCell ref="FO3:FZ3"/>
    <mergeCell ref="FO4:FZ4"/>
    <mergeCell ref="FO45:FZ45"/>
    <mergeCell ref="FO46:FZ46"/>
    <mergeCell ref="CI47:CT47"/>
    <mergeCell ref="CI2:CT2"/>
    <mergeCell ref="CI3:CT3"/>
    <mergeCell ref="CI4:CT4"/>
    <mergeCell ref="CI45:CT45"/>
    <mergeCell ref="CI46:CT46"/>
    <mergeCell ref="AY45:BJ45"/>
    <mergeCell ref="AY46:BJ46"/>
    <mergeCell ref="AY47:BJ47"/>
    <mergeCell ref="BK45:BV45"/>
    <mergeCell ref="BK46:BV46"/>
    <mergeCell ref="AM2:AX2"/>
    <mergeCell ref="BK4:BV4"/>
    <mergeCell ref="AA4:AL4"/>
    <mergeCell ref="AM4:AX4"/>
    <mergeCell ref="C3:N3"/>
    <mergeCell ref="O3:Z3"/>
    <mergeCell ref="AA3:AL3"/>
    <mergeCell ref="AM3:AX3"/>
    <mergeCell ref="AY2:BJ2"/>
    <mergeCell ref="AY3:BJ3"/>
    <mergeCell ref="AY4:BJ4"/>
    <mergeCell ref="C4:N4"/>
    <mergeCell ref="O4:Z4"/>
    <mergeCell ref="C2:N2"/>
    <mergeCell ref="O2:Z2"/>
    <mergeCell ref="AA2:AL2"/>
    <mergeCell ref="C46:N46"/>
    <mergeCell ref="O46:Z46"/>
    <mergeCell ref="AA46:AL46"/>
    <mergeCell ref="AM46:AX46"/>
    <mergeCell ref="C45:N45"/>
    <mergeCell ref="O45:Z45"/>
    <mergeCell ref="AA45:AL45"/>
    <mergeCell ref="AM45:AX45"/>
    <mergeCell ref="BW47:CH47"/>
    <mergeCell ref="C47:N47"/>
    <mergeCell ref="O47:Z47"/>
    <mergeCell ref="AA47:AL47"/>
    <mergeCell ref="AM47:AX47"/>
    <mergeCell ref="BK47:BV47"/>
    <mergeCell ref="BW45:CH45"/>
    <mergeCell ref="BW46:CH46"/>
    <mergeCell ref="BK2:BV2"/>
    <mergeCell ref="BK3:BV3"/>
    <mergeCell ref="BW2:CH2"/>
    <mergeCell ref="BW3:CH3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</mergeCells>
  <phoneticPr fontId="7" type="noConversion"/>
  <pageMargins left="0.75" right="0.75" top="1" bottom="1" header="0.5" footer="0.5"/>
  <pageSetup scale="41" fitToWidth="3" orientation="landscape" r:id="rId1"/>
  <headerFooter alignWithMargins="0"/>
  <ignoredErrors>
    <ignoredError sqref="DV24 DX24 EO24 EJ25 FA16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2:FZ99"/>
  <sheetViews>
    <sheetView zoomScaleNormal="100" workbookViewId="0">
      <pane xSplit="2" ySplit="5" topLeftCell="FK57" activePane="bottomRight" state="frozen"/>
      <selection activeCell="AY2" sqref="AY2:BJ3"/>
      <selection pane="topRight" activeCell="AY2" sqref="AY2:BJ3"/>
      <selection pane="bottomLeft" activeCell="AY2" sqref="AY2:BJ3"/>
      <selection pane="bottomRight" activeCell="A69" sqref="A69:XFD75"/>
    </sheetView>
  </sheetViews>
  <sheetFormatPr defaultColWidth="9.109375" defaultRowHeight="13.2" x14ac:dyDescent="0.25"/>
  <cols>
    <col min="1" max="1" width="9.109375" style="2"/>
    <col min="2" max="2" width="25.6640625" style="1" customWidth="1"/>
    <col min="3" max="3" width="11.44140625" style="2" bestFit="1" customWidth="1"/>
    <col min="4" max="4" width="10.44140625" style="2" customWidth="1"/>
    <col min="5" max="6" width="10.5546875" style="2" customWidth="1"/>
    <col min="7" max="7" width="11.109375" style="2" customWidth="1"/>
    <col min="8" max="8" width="10.5546875" style="6" customWidth="1"/>
    <col min="9" max="9" width="10.5546875" style="2" customWidth="1"/>
    <col min="10" max="13" width="11.44140625" style="2" bestFit="1" customWidth="1"/>
    <col min="14" max="14" width="10.88671875" style="2" customWidth="1"/>
    <col min="15" max="15" width="11.44140625" style="2" bestFit="1" customWidth="1"/>
    <col min="16" max="16" width="10.44140625" style="2" customWidth="1"/>
    <col min="17" max="17" width="10.5546875" style="2" customWidth="1"/>
    <col min="18" max="18" width="10.33203125" style="2" bestFit="1" customWidth="1"/>
    <col min="19" max="20" width="10.44140625" style="2" bestFit="1" customWidth="1"/>
    <col min="21" max="25" width="10.5546875" style="2" bestFit="1" customWidth="1"/>
    <col min="26" max="26" width="11.33203125" style="2" bestFit="1" customWidth="1"/>
    <col min="27" max="29" width="10.5546875" style="2" bestFit="1" customWidth="1"/>
    <col min="30" max="30" width="11.33203125" style="2" bestFit="1" customWidth="1"/>
    <col min="31" max="31" width="10.44140625" style="2" bestFit="1" customWidth="1"/>
    <col min="32" max="32" width="11.33203125" style="2" bestFit="1" customWidth="1"/>
    <col min="33" max="33" width="10.33203125" style="2" customWidth="1"/>
    <col min="34" max="38" width="11.33203125" style="2" bestFit="1" customWidth="1"/>
    <col min="39" max="39" width="11.44140625" style="2" bestFit="1" customWidth="1"/>
    <col min="40" max="41" width="11.5546875" style="2" bestFit="1" customWidth="1"/>
    <col min="42" max="44" width="11.33203125" style="2" bestFit="1" customWidth="1"/>
    <col min="45" max="47" width="10.109375" style="2" customWidth="1"/>
    <col min="48" max="48" width="9.88671875" style="2" customWidth="1"/>
    <col min="49" max="50" width="10.33203125" style="2" customWidth="1"/>
    <col min="51" max="62" width="10.109375" style="2" customWidth="1"/>
    <col min="63" max="64" width="11.44140625" style="2" bestFit="1" customWidth="1"/>
    <col min="65" max="67" width="11.33203125" style="2" bestFit="1" customWidth="1"/>
    <col min="68" max="68" width="11.44140625" style="2" bestFit="1" customWidth="1"/>
    <col min="69" max="74" width="11.33203125" style="2" bestFit="1" customWidth="1"/>
    <col min="75" max="80" width="13" style="2" customWidth="1"/>
    <col min="81" max="81" width="13" style="18" customWidth="1"/>
    <col min="82" max="86" width="13" style="2" customWidth="1"/>
    <col min="87" max="91" width="13.6640625" style="2" customWidth="1"/>
    <col min="92" max="92" width="13.6640625" style="6" customWidth="1"/>
    <col min="93" max="106" width="13.6640625" style="2" customWidth="1"/>
    <col min="107" max="107" width="11.6640625" style="2" customWidth="1"/>
    <col min="108" max="108" width="10.33203125" style="2" customWidth="1"/>
    <col min="109" max="109" width="9.33203125" style="2" customWidth="1"/>
    <col min="110" max="110" width="9.44140625" style="2" customWidth="1"/>
    <col min="111" max="117" width="13" style="2" customWidth="1"/>
    <col min="118" max="119" width="13" style="302" customWidth="1"/>
    <col min="120" max="122" width="13" style="2" customWidth="1"/>
    <col min="123" max="123" width="10.33203125" style="2" customWidth="1"/>
    <col min="124" max="125" width="9.44140625" style="2" bestFit="1" customWidth="1"/>
    <col min="126" max="128" width="9.109375" style="2"/>
    <col min="129" max="129" width="11.44140625" style="2" bestFit="1" customWidth="1"/>
    <col min="130" max="130" width="11.44140625" style="302" bestFit="1" customWidth="1"/>
    <col min="131" max="131" width="11.44140625" style="2" customWidth="1"/>
    <col min="132" max="132" width="11.88671875" style="302" customWidth="1"/>
    <col min="133" max="134" width="11.33203125" style="2" customWidth="1"/>
    <col min="135" max="136" width="11.44140625" style="2" bestFit="1" customWidth="1"/>
    <col min="137" max="137" width="10.44140625" style="2" bestFit="1" customWidth="1"/>
    <col min="138" max="141" width="11.44140625" style="2" bestFit="1" customWidth="1"/>
    <col min="142" max="142" width="10.44140625" style="2" bestFit="1" customWidth="1"/>
    <col min="143" max="143" width="12.88671875" style="2" customWidth="1"/>
    <col min="144" max="144" width="11.44140625" style="2" bestFit="1" customWidth="1"/>
    <col min="145" max="145" width="11.33203125" style="2" customWidth="1"/>
    <col min="146" max="150" width="11.44140625" style="2" bestFit="1" customWidth="1"/>
    <col min="151" max="151" width="10.44140625" style="2" customWidth="1"/>
    <col min="152" max="152" width="9.44140625" style="2" bestFit="1" customWidth="1"/>
    <col min="153" max="154" width="11.44140625" style="2" bestFit="1" customWidth="1"/>
    <col min="155" max="155" width="11.6640625" style="2" customWidth="1"/>
    <col min="156" max="156" width="11.44140625" style="2" bestFit="1" customWidth="1"/>
    <col min="157" max="157" width="11.6640625" style="2" customWidth="1"/>
    <col min="158" max="158" width="9.88671875" style="2" customWidth="1"/>
    <col min="159" max="160" width="11.44140625" style="2" bestFit="1" customWidth="1"/>
    <col min="161" max="161" width="12.88671875" style="2" customWidth="1"/>
    <col min="162" max="162" width="12.44140625" style="2" bestFit="1" customWidth="1"/>
    <col min="163" max="163" width="11.44140625" style="2" bestFit="1" customWidth="1"/>
    <col min="164" max="164" width="10.44140625" style="2" bestFit="1" customWidth="1"/>
    <col min="165" max="166" width="11.44140625" style="2" bestFit="1" customWidth="1"/>
    <col min="167" max="167" width="11.33203125" style="2" customWidth="1"/>
    <col min="168" max="176" width="11.44140625" style="2" bestFit="1" customWidth="1"/>
    <col min="177" max="16384" width="9.109375" style="2"/>
  </cols>
  <sheetData>
    <row r="2" spans="2:182" x14ac:dyDescent="0.25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ht="13.8" thickBot="1" x14ac:dyDescent="0.3">
      <c r="B3" s="2"/>
      <c r="C3" s="582" t="s">
        <v>80</v>
      </c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82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 t="s">
        <v>82</v>
      </c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 t="s">
        <v>82</v>
      </c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 t="s">
        <v>82</v>
      </c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 t="s">
        <v>82</v>
      </c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82" t="s">
        <v>82</v>
      </c>
      <c r="BX3" s="582"/>
      <c r="BY3" s="582"/>
      <c r="BZ3" s="582"/>
      <c r="CA3" s="582"/>
      <c r="CB3" s="582"/>
      <c r="CC3" s="582"/>
      <c r="CD3" s="582"/>
      <c r="CE3" s="582"/>
      <c r="CF3" s="582"/>
      <c r="CG3" s="582"/>
      <c r="CH3" s="582"/>
      <c r="CI3" s="576" t="s">
        <v>0</v>
      </c>
      <c r="CJ3" s="576"/>
      <c r="CK3" s="576"/>
      <c r="CL3" s="576"/>
      <c r="CM3" s="576"/>
      <c r="CN3" s="576"/>
      <c r="CO3" s="576"/>
      <c r="CP3" s="576"/>
      <c r="CQ3" s="576"/>
      <c r="CR3" s="576"/>
      <c r="CS3" s="576"/>
      <c r="CT3" s="576"/>
      <c r="CU3" s="576" t="s">
        <v>0</v>
      </c>
      <c r="CV3" s="576"/>
      <c r="CW3" s="576"/>
      <c r="CX3" s="576"/>
      <c r="CY3" s="576"/>
      <c r="CZ3" s="576"/>
      <c r="DA3" s="576"/>
      <c r="DB3" s="576"/>
      <c r="DC3" s="576"/>
      <c r="DD3" s="576"/>
      <c r="DE3" s="576"/>
      <c r="DF3" s="576"/>
      <c r="DG3" s="576" t="s">
        <v>0</v>
      </c>
      <c r="DH3" s="576"/>
      <c r="DI3" s="576"/>
      <c r="DJ3" s="576"/>
      <c r="DK3" s="576"/>
      <c r="DL3" s="576"/>
      <c r="DM3" s="576"/>
      <c r="DN3" s="576"/>
      <c r="DO3" s="576"/>
      <c r="DP3" s="576"/>
      <c r="DQ3" s="576"/>
      <c r="DR3" s="576"/>
      <c r="DS3" s="576" t="s">
        <v>0</v>
      </c>
      <c r="DT3" s="576"/>
      <c r="DU3" s="576"/>
      <c r="DV3" s="576"/>
      <c r="DW3" s="576"/>
      <c r="DX3" s="576"/>
      <c r="DY3" s="576"/>
      <c r="DZ3" s="576"/>
      <c r="EA3" s="576"/>
      <c r="EB3" s="576"/>
      <c r="EC3" s="576"/>
      <c r="ED3" s="576"/>
      <c r="EE3" s="576" t="s">
        <v>0</v>
      </c>
      <c r="EF3" s="576"/>
      <c r="EG3" s="576"/>
      <c r="EH3" s="576"/>
      <c r="EI3" s="576"/>
      <c r="EJ3" s="576"/>
      <c r="EK3" s="576"/>
      <c r="EL3" s="576"/>
      <c r="EM3" s="576"/>
      <c r="EN3" s="576"/>
      <c r="EO3" s="576"/>
      <c r="EP3" s="576"/>
      <c r="EQ3" s="576" t="s">
        <v>0</v>
      </c>
      <c r="ER3" s="576"/>
      <c r="ES3" s="576"/>
      <c r="ET3" s="576"/>
      <c r="EU3" s="576"/>
      <c r="EV3" s="576"/>
      <c r="EW3" s="576"/>
      <c r="EX3" s="576"/>
      <c r="EY3" s="576"/>
      <c r="EZ3" s="576"/>
      <c r="FA3" s="576"/>
      <c r="FB3" s="576"/>
      <c r="FC3" s="576" t="s">
        <v>0</v>
      </c>
      <c r="FD3" s="576"/>
      <c r="FE3" s="576"/>
      <c r="FF3" s="576"/>
      <c r="FG3" s="576"/>
      <c r="FH3" s="576"/>
      <c r="FI3" s="576"/>
      <c r="FJ3" s="576"/>
      <c r="FK3" s="576"/>
      <c r="FL3" s="576"/>
      <c r="FM3" s="576"/>
      <c r="FN3" s="576"/>
      <c r="FO3" s="576" t="s">
        <v>0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2:182" ht="13.8" thickBot="1" x14ac:dyDescent="0.3">
      <c r="B4" s="2"/>
      <c r="C4" s="579">
        <v>2002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1"/>
      <c r="O4" s="579">
        <v>2003</v>
      </c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1"/>
      <c r="AA4" s="579">
        <v>2004</v>
      </c>
      <c r="AB4" s="580"/>
      <c r="AC4" s="580"/>
      <c r="AD4" s="580"/>
      <c r="AE4" s="580"/>
      <c r="AF4" s="580"/>
      <c r="AG4" s="580"/>
      <c r="AH4" s="580"/>
      <c r="AI4" s="580"/>
      <c r="AJ4" s="580"/>
      <c r="AK4" s="580"/>
      <c r="AL4" s="581"/>
      <c r="AM4" s="579">
        <v>2005</v>
      </c>
      <c r="AN4" s="580"/>
      <c r="AO4" s="580"/>
      <c r="AP4" s="580"/>
      <c r="AQ4" s="580"/>
      <c r="AR4" s="580"/>
      <c r="AS4" s="580"/>
      <c r="AT4" s="580"/>
      <c r="AU4" s="580"/>
      <c r="AV4" s="580"/>
      <c r="AW4" s="580"/>
      <c r="AX4" s="581"/>
      <c r="AY4" s="579">
        <v>2006</v>
      </c>
      <c r="AZ4" s="580"/>
      <c r="BA4" s="580"/>
      <c r="BB4" s="580"/>
      <c r="BC4" s="580"/>
      <c r="BD4" s="580"/>
      <c r="BE4" s="580"/>
      <c r="BF4" s="580"/>
      <c r="BG4" s="580"/>
      <c r="BH4" s="580"/>
      <c r="BI4" s="580"/>
      <c r="BJ4" s="581"/>
      <c r="BK4" s="579">
        <v>2007</v>
      </c>
      <c r="BL4" s="580"/>
      <c r="BM4" s="580"/>
      <c r="BN4" s="580"/>
      <c r="BO4" s="580"/>
      <c r="BP4" s="580"/>
      <c r="BQ4" s="580"/>
      <c r="BR4" s="580"/>
      <c r="BS4" s="580"/>
      <c r="BT4" s="580"/>
      <c r="BU4" s="580"/>
      <c r="BV4" s="581"/>
      <c r="BW4" s="602">
        <v>2008</v>
      </c>
      <c r="BX4" s="603"/>
      <c r="BY4" s="603"/>
      <c r="BZ4" s="603"/>
      <c r="CA4" s="603"/>
      <c r="CB4" s="603"/>
      <c r="CC4" s="603"/>
      <c r="CD4" s="603"/>
      <c r="CE4" s="603"/>
      <c r="CF4" s="603"/>
      <c r="CG4" s="603"/>
      <c r="CH4" s="604"/>
      <c r="CI4" s="572">
        <v>2009</v>
      </c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4"/>
      <c r="CU4" s="579">
        <v>2010</v>
      </c>
      <c r="CV4" s="580"/>
      <c r="CW4" s="580"/>
      <c r="CX4" s="580"/>
      <c r="CY4" s="580"/>
      <c r="CZ4" s="580"/>
      <c r="DA4" s="580"/>
      <c r="DB4" s="580"/>
      <c r="DC4" s="580"/>
      <c r="DD4" s="580"/>
      <c r="DE4" s="580"/>
      <c r="DF4" s="581"/>
      <c r="DG4" s="579">
        <v>2011</v>
      </c>
      <c r="DH4" s="580"/>
      <c r="DI4" s="580"/>
      <c r="DJ4" s="580"/>
      <c r="DK4" s="580"/>
      <c r="DL4" s="580"/>
      <c r="DM4" s="580"/>
      <c r="DN4" s="580"/>
      <c r="DO4" s="580"/>
      <c r="DP4" s="580"/>
      <c r="DQ4" s="580"/>
      <c r="DR4" s="581"/>
      <c r="DS4" s="579">
        <v>2012</v>
      </c>
      <c r="DT4" s="580"/>
      <c r="DU4" s="580"/>
      <c r="DV4" s="580"/>
      <c r="DW4" s="580"/>
      <c r="DX4" s="580"/>
      <c r="DY4" s="580"/>
      <c r="DZ4" s="580"/>
      <c r="EA4" s="580"/>
      <c r="EB4" s="580"/>
      <c r="EC4" s="580"/>
      <c r="ED4" s="581"/>
      <c r="EE4" s="579">
        <v>2013</v>
      </c>
      <c r="EF4" s="580"/>
      <c r="EG4" s="580"/>
      <c r="EH4" s="580"/>
      <c r="EI4" s="580"/>
      <c r="EJ4" s="580"/>
      <c r="EK4" s="580"/>
      <c r="EL4" s="580"/>
      <c r="EM4" s="580"/>
      <c r="EN4" s="580"/>
      <c r="EO4" s="580"/>
      <c r="EP4" s="581"/>
      <c r="EQ4" s="579">
        <v>2014</v>
      </c>
      <c r="ER4" s="580"/>
      <c r="ES4" s="580"/>
      <c r="ET4" s="580"/>
      <c r="EU4" s="580"/>
      <c r="EV4" s="580"/>
      <c r="EW4" s="580"/>
      <c r="EX4" s="580"/>
      <c r="EY4" s="580"/>
      <c r="EZ4" s="580"/>
      <c r="FA4" s="580"/>
      <c r="FB4" s="581"/>
      <c r="FC4" s="579">
        <v>2015</v>
      </c>
      <c r="FD4" s="580"/>
      <c r="FE4" s="580"/>
      <c r="FF4" s="580"/>
      <c r="FG4" s="580"/>
      <c r="FH4" s="580"/>
      <c r="FI4" s="580"/>
      <c r="FJ4" s="580"/>
      <c r="FK4" s="580"/>
      <c r="FL4" s="580"/>
      <c r="FM4" s="580"/>
      <c r="FN4" s="581"/>
      <c r="FO4" s="579">
        <v>2016</v>
      </c>
      <c r="FP4" s="580"/>
      <c r="FQ4" s="580"/>
      <c r="FR4" s="580"/>
      <c r="FS4" s="580"/>
      <c r="FT4" s="580"/>
      <c r="FU4" s="580"/>
      <c r="FV4" s="580"/>
      <c r="FW4" s="580"/>
      <c r="FX4" s="580"/>
      <c r="FY4" s="580"/>
      <c r="FZ4" s="581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212" t="s">
        <v>72</v>
      </c>
      <c r="EF5" s="212" t="s">
        <v>73</v>
      </c>
      <c r="EG5" s="212" t="s">
        <v>2</v>
      </c>
      <c r="EH5" s="212" t="s">
        <v>3</v>
      </c>
      <c r="EI5" s="212" t="s">
        <v>4</v>
      </c>
      <c r="EJ5" s="212" t="s">
        <v>5</v>
      </c>
      <c r="EK5" s="212" t="s">
        <v>6</v>
      </c>
      <c r="EL5" s="212" t="s">
        <v>7</v>
      </c>
      <c r="EM5" s="212" t="s">
        <v>68</v>
      </c>
      <c r="EN5" s="212" t="s">
        <v>69</v>
      </c>
      <c r="EO5" s="212" t="s">
        <v>70</v>
      </c>
      <c r="EP5" s="212" t="s">
        <v>71</v>
      </c>
      <c r="EQ5" s="212" t="s">
        <v>72</v>
      </c>
      <c r="ER5" s="212" t="s">
        <v>73</v>
      </c>
      <c r="ES5" s="212" t="s">
        <v>2</v>
      </c>
      <c r="ET5" s="212" t="s">
        <v>3</v>
      </c>
      <c r="EU5" s="212" t="s">
        <v>4</v>
      </c>
      <c r="EV5" s="212" t="s">
        <v>5</v>
      </c>
      <c r="EW5" s="212" t="s">
        <v>6</v>
      </c>
      <c r="EX5" s="212" t="s">
        <v>7</v>
      </c>
      <c r="EY5" s="212" t="s">
        <v>68</v>
      </c>
      <c r="EZ5" s="212" t="s">
        <v>69</v>
      </c>
      <c r="FA5" s="212" t="s">
        <v>70</v>
      </c>
      <c r="FB5" s="212" t="s">
        <v>71</v>
      </c>
      <c r="FC5" s="212" t="s">
        <v>72</v>
      </c>
      <c r="FD5" s="212" t="s">
        <v>73</v>
      </c>
      <c r="FE5" s="212" t="s">
        <v>2</v>
      </c>
      <c r="FF5" s="212" t="s">
        <v>3</v>
      </c>
      <c r="FG5" s="212" t="s">
        <v>4</v>
      </c>
      <c r="FH5" s="212" t="s">
        <v>5</v>
      </c>
      <c r="FI5" s="212" t="s">
        <v>6</v>
      </c>
      <c r="FJ5" s="212" t="s">
        <v>7</v>
      </c>
      <c r="FK5" s="212" t="s">
        <v>68</v>
      </c>
      <c r="FL5" s="212" t="s">
        <v>69</v>
      </c>
      <c r="FM5" s="212" t="s">
        <v>70</v>
      </c>
      <c r="FN5" s="212" t="s">
        <v>71</v>
      </c>
      <c r="FO5" s="212" t="s">
        <v>72</v>
      </c>
      <c r="FP5" s="212" t="s">
        <v>73</v>
      </c>
      <c r="FQ5" s="212" t="s">
        <v>2</v>
      </c>
      <c r="FR5" s="212" t="s">
        <v>3</v>
      </c>
      <c r="FS5" s="212" t="s">
        <v>4</v>
      </c>
      <c r="FT5" s="212" t="s">
        <v>5</v>
      </c>
    </row>
    <row r="6" spans="2:182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Z6" s="66"/>
      <c r="AM6" s="174"/>
      <c r="AY6" s="174"/>
      <c r="BJ6" s="66"/>
      <c r="BV6" s="66"/>
      <c r="BW6" s="74"/>
      <c r="BX6" s="18"/>
      <c r="BY6" s="18"/>
      <c r="BZ6" s="64"/>
      <c r="CA6" s="64"/>
      <c r="CB6" s="64"/>
      <c r="CD6" s="18"/>
      <c r="CE6" s="18"/>
      <c r="CF6" s="18"/>
      <c r="CG6" s="18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DF6" s="66"/>
    </row>
    <row r="7" spans="2:182" x14ac:dyDescent="0.25">
      <c r="B7" s="3"/>
      <c r="C7" s="42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42"/>
      <c r="P7" s="18"/>
      <c r="Q7" s="18"/>
      <c r="Z7" s="20"/>
      <c r="AM7" s="74"/>
      <c r="AY7" s="74"/>
      <c r="BJ7" s="20"/>
      <c r="BV7" s="20"/>
      <c r="BW7" s="74"/>
      <c r="BX7" s="18"/>
      <c r="BY7" s="18"/>
      <c r="BZ7" s="18"/>
      <c r="CA7" s="18"/>
      <c r="CB7" s="18"/>
      <c r="CD7" s="18"/>
      <c r="CE7" s="18"/>
      <c r="CF7" s="18"/>
      <c r="CG7" s="18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DF7" s="20"/>
    </row>
    <row r="8" spans="2:182" x14ac:dyDescent="0.25">
      <c r="B8" s="3" t="s">
        <v>1</v>
      </c>
      <c r="C8" s="33">
        <f>D8</f>
        <v>162669</v>
      </c>
      <c r="D8" s="12">
        <v>162669</v>
      </c>
      <c r="E8" s="12">
        <v>161013</v>
      </c>
      <c r="F8" s="12">
        <v>162718</v>
      </c>
      <c r="G8" s="12">
        <v>162549</v>
      </c>
      <c r="H8" s="12">
        <v>162222</v>
      </c>
      <c r="I8" s="12">
        <v>162142</v>
      </c>
      <c r="J8" s="12">
        <v>168044</v>
      </c>
      <c r="K8" s="12">
        <v>169429</v>
      </c>
      <c r="L8" s="16">
        <v>169404</v>
      </c>
      <c r="M8" s="16">
        <v>168652</v>
      </c>
      <c r="N8" s="21">
        <v>167280</v>
      </c>
      <c r="O8" s="33">
        <v>159158</v>
      </c>
      <c r="P8" s="12">
        <f>158949</f>
        <v>158949</v>
      </c>
      <c r="Q8" s="12">
        <v>159101</v>
      </c>
      <c r="R8" s="12">
        <v>159258</v>
      </c>
      <c r="S8" s="12">
        <v>159770</v>
      </c>
      <c r="T8" s="12">
        <v>158892</v>
      </c>
      <c r="U8" s="12">
        <v>156331</v>
      </c>
      <c r="V8" s="12">
        <v>155133</v>
      </c>
      <c r="W8" s="12">
        <v>153748</v>
      </c>
      <c r="X8" s="12">
        <v>152547</v>
      </c>
      <c r="Y8" s="12">
        <v>150514</v>
      </c>
      <c r="Z8" s="207">
        <v>150261</v>
      </c>
      <c r="AA8" s="33">
        <v>148642</v>
      </c>
      <c r="AB8" s="33">
        <v>148195</v>
      </c>
      <c r="AC8" s="33">
        <v>148085</v>
      </c>
      <c r="AD8" s="33">
        <v>147246</v>
      </c>
      <c r="AE8" s="33">
        <v>145846</v>
      </c>
      <c r="AF8" s="33">
        <v>145526</v>
      </c>
      <c r="AG8" s="33">
        <v>143092</v>
      </c>
      <c r="AH8" s="33">
        <v>141553</v>
      </c>
      <c r="AI8" s="33">
        <v>139978</v>
      </c>
      <c r="AJ8" s="33">
        <v>139343</v>
      </c>
      <c r="AK8" s="33">
        <v>138796</v>
      </c>
      <c r="AL8" s="33">
        <v>137683</v>
      </c>
      <c r="AM8" s="206">
        <v>137187</v>
      </c>
      <c r="AN8" s="33">
        <v>136667</v>
      </c>
      <c r="AO8" s="33">
        <v>136148</v>
      </c>
      <c r="AP8" s="33">
        <v>136140</v>
      </c>
      <c r="AQ8" s="33">
        <v>135395</v>
      </c>
      <c r="AR8" s="33">
        <v>134674</v>
      </c>
      <c r="AS8" s="33">
        <v>133515</v>
      </c>
      <c r="AT8" s="33">
        <v>132490</v>
      </c>
      <c r="AU8" s="33">
        <v>130849</v>
      </c>
      <c r="AV8" s="33">
        <v>130092</v>
      </c>
      <c r="AW8" s="33">
        <v>128969</v>
      </c>
      <c r="AX8" s="33">
        <v>129042</v>
      </c>
      <c r="AY8" s="206">
        <v>127080</v>
      </c>
      <c r="AZ8" s="33">
        <v>126129</v>
      </c>
      <c r="BA8" s="33">
        <v>125566</v>
      </c>
      <c r="BB8" s="33">
        <v>125120</v>
      </c>
      <c r="BC8" s="33">
        <v>124137</v>
      </c>
      <c r="BD8" s="33">
        <v>123257</v>
      </c>
      <c r="BE8" s="33">
        <v>121884</v>
      </c>
      <c r="BF8" s="33">
        <v>120974</v>
      </c>
      <c r="BG8" s="33">
        <v>120283</v>
      </c>
      <c r="BH8" s="33">
        <v>117942</v>
      </c>
      <c r="BI8" s="33">
        <v>117098</v>
      </c>
      <c r="BJ8" s="205">
        <v>116913</v>
      </c>
      <c r="BK8" s="33">
        <v>115430</v>
      </c>
      <c r="BL8" s="33">
        <v>114619</v>
      </c>
      <c r="BM8" s="33">
        <v>113888</v>
      </c>
      <c r="BN8" s="33">
        <v>112784</v>
      </c>
      <c r="BO8" s="33">
        <v>111624</v>
      </c>
      <c r="BP8" s="33">
        <v>110800</v>
      </c>
      <c r="BQ8" s="71">
        <v>109064</v>
      </c>
      <c r="BR8" s="71">
        <v>107898</v>
      </c>
      <c r="BS8" s="71">
        <v>106624</v>
      </c>
      <c r="BT8" s="71">
        <v>106052</v>
      </c>
      <c r="BU8" s="71">
        <v>104592</v>
      </c>
      <c r="BV8" s="190">
        <v>102909</v>
      </c>
      <c r="BW8" s="201">
        <v>101200</v>
      </c>
      <c r="BX8" s="71">
        <v>99838</v>
      </c>
      <c r="BY8" s="71">
        <v>98074</v>
      </c>
      <c r="BZ8" s="71">
        <v>96496</v>
      </c>
      <c r="CA8" s="71">
        <v>94681</v>
      </c>
      <c r="CB8" s="18">
        <v>93162</v>
      </c>
      <c r="CC8" s="216">
        <v>91479</v>
      </c>
      <c r="CD8" s="216">
        <v>87853</v>
      </c>
      <c r="CE8" s="216">
        <v>82299</v>
      </c>
      <c r="CF8" s="256">
        <v>76868</v>
      </c>
      <c r="CG8" s="256">
        <v>73409</v>
      </c>
      <c r="CH8" s="89">
        <v>71924</v>
      </c>
      <c r="CI8" s="71">
        <v>71154</v>
      </c>
      <c r="CJ8" s="69">
        <v>70609</v>
      </c>
      <c r="CK8" s="69">
        <v>70176</v>
      </c>
      <c r="CL8" s="69">
        <v>69738</v>
      </c>
      <c r="CM8" s="69">
        <v>69187</v>
      </c>
      <c r="CN8" s="69">
        <v>68522</v>
      </c>
      <c r="CO8" s="69">
        <v>67902</v>
      </c>
      <c r="CP8" s="69">
        <v>67199</v>
      </c>
      <c r="CQ8" s="69">
        <v>66281</v>
      </c>
      <c r="CR8" s="69">
        <v>65281</v>
      </c>
      <c r="CS8" s="69">
        <v>64490</v>
      </c>
      <c r="CT8" s="89">
        <v>63819</v>
      </c>
      <c r="CU8" s="284">
        <v>63313</v>
      </c>
      <c r="CV8" s="284">
        <v>62739</v>
      </c>
      <c r="CW8" s="284">
        <v>62035</v>
      </c>
      <c r="CX8" s="284">
        <v>61410</v>
      </c>
      <c r="CY8" s="284">
        <v>60638</v>
      </c>
      <c r="CZ8" s="284">
        <v>59922</v>
      </c>
      <c r="DA8" s="284">
        <v>59141</v>
      </c>
      <c r="DB8" s="284">
        <v>58302</v>
      </c>
      <c r="DC8" s="284">
        <v>57529</v>
      </c>
      <c r="DD8" s="284">
        <v>56727</v>
      </c>
      <c r="DE8" s="284">
        <v>55968</v>
      </c>
      <c r="DF8" s="305">
        <v>55360</v>
      </c>
      <c r="DG8" s="284">
        <v>54899</v>
      </c>
      <c r="DH8" s="284">
        <v>54460</v>
      </c>
      <c r="DI8" s="284">
        <v>53924</v>
      </c>
      <c r="DJ8" s="284">
        <v>53279</v>
      </c>
      <c r="DK8" s="284">
        <v>52830</v>
      </c>
      <c r="DL8" s="284">
        <v>52385</v>
      </c>
      <c r="DM8" s="284">
        <v>52059</v>
      </c>
      <c r="DN8" s="284">
        <v>51994</v>
      </c>
      <c r="DO8" s="284">
        <v>52005</v>
      </c>
      <c r="DP8" s="284">
        <v>50743</v>
      </c>
      <c r="DQ8" s="284">
        <v>50226</v>
      </c>
      <c r="DR8" s="284">
        <v>49905</v>
      </c>
      <c r="DS8" s="284">
        <v>49646</v>
      </c>
      <c r="DT8" s="284">
        <v>49221</v>
      </c>
      <c r="DU8" s="284">
        <v>48956</v>
      </c>
      <c r="DV8" s="362">
        <v>48645</v>
      </c>
      <c r="DW8" s="362">
        <v>48232</v>
      </c>
      <c r="DX8" s="362">
        <v>47620</v>
      </c>
      <c r="DY8" s="362">
        <v>47173</v>
      </c>
      <c r="DZ8" s="311">
        <v>46773</v>
      </c>
      <c r="EA8" s="362">
        <v>46379</v>
      </c>
      <c r="EB8" s="362">
        <v>45974</v>
      </c>
      <c r="EC8" s="362">
        <v>45633</v>
      </c>
      <c r="ED8" s="362">
        <v>45332</v>
      </c>
      <c r="EE8" s="297">
        <v>45225</v>
      </c>
      <c r="EF8" s="297">
        <v>44707</v>
      </c>
      <c r="EG8" s="297">
        <v>44412</v>
      </c>
      <c r="EH8" s="297">
        <v>44136</v>
      </c>
      <c r="EI8" s="297">
        <v>43888</v>
      </c>
      <c r="EJ8" s="297">
        <v>43459</v>
      </c>
      <c r="EK8" s="297">
        <v>43310</v>
      </c>
      <c r="EL8" s="297">
        <v>42947</v>
      </c>
      <c r="EM8" s="297">
        <v>42629</v>
      </c>
      <c r="EN8" s="297">
        <v>42578</v>
      </c>
      <c r="EO8" s="297">
        <v>42007</v>
      </c>
      <c r="EP8" s="297">
        <v>42016</v>
      </c>
      <c r="EQ8" s="297">
        <v>41667</v>
      </c>
      <c r="ER8" s="297">
        <v>41394</v>
      </c>
      <c r="ES8" s="297">
        <v>41188</v>
      </c>
      <c r="ET8" s="297">
        <v>40990</v>
      </c>
      <c r="EU8" s="297">
        <v>40726</v>
      </c>
      <c r="EV8" s="297">
        <v>40405</v>
      </c>
      <c r="EW8" s="297">
        <v>40082</v>
      </c>
      <c r="EX8" s="297">
        <v>39699</v>
      </c>
      <c r="EY8" s="297">
        <v>39293</v>
      </c>
      <c r="EZ8" s="297">
        <v>39018</v>
      </c>
      <c r="FA8" s="297">
        <v>38713</v>
      </c>
      <c r="FB8" s="297">
        <v>38471</v>
      </c>
      <c r="FC8" s="297">
        <v>38008</v>
      </c>
      <c r="FD8" s="297">
        <v>37927</v>
      </c>
      <c r="FE8" s="297">
        <v>37609</v>
      </c>
      <c r="FF8" s="297">
        <v>37295</v>
      </c>
      <c r="FG8" s="297">
        <v>37124</v>
      </c>
      <c r="FH8" s="297">
        <v>36997</v>
      </c>
      <c r="FI8" s="297">
        <v>36716</v>
      </c>
      <c r="FJ8" s="297">
        <v>36422</v>
      </c>
      <c r="FK8" s="297">
        <v>36091</v>
      </c>
      <c r="FL8" s="297">
        <v>35660</v>
      </c>
      <c r="FM8" s="297">
        <v>35387</v>
      </c>
      <c r="FN8" s="297">
        <v>35109</v>
      </c>
      <c r="FO8" s="297">
        <v>34891</v>
      </c>
      <c r="FP8" s="297">
        <v>34719</v>
      </c>
      <c r="FQ8" s="297">
        <v>34554</v>
      </c>
      <c r="FR8" s="297">
        <v>34359</v>
      </c>
      <c r="FS8" s="297">
        <v>34157</v>
      </c>
      <c r="FT8" s="297">
        <v>33943</v>
      </c>
    </row>
    <row r="9" spans="2:182" ht="13.8" thickBot="1" x14ac:dyDescent="0.3">
      <c r="B9" s="5" t="s">
        <v>8</v>
      </c>
      <c r="C9" s="34">
        <v>1335</v>
      </c>
      <c r="D9" s="13">
        <v>2142</v>
      </c>
      <c r="E9" s="13">
        <v>2561</v>
      </c>
      <c r="F9" s="13">
        <v>3584</v>
      </c>
      <c r="G9" s="13">
        <v>4055</v>
      </c>
      <c r="H9" s="13">
        <v>3416</v>
      </c>
      <c r="I9" s="13">
        <v>5026</v>
      </c>
      <c r="J9" s="13">
        <v>6214</v>
      </c>
      <c r="K9" s="13">
        <v>6644</v>
      </c>
      <c r="L9" s="17">
        <v>7371</v>
      </c>
      <c r="M9" s="17">
        <v>7885</v>
      </c>
      <c r="N9" s="22">
        <v>8504</v>
      </c>
      <c r="O9" s="34">
        <v>9210</v>
      </c>
      <c r="P9" s="13">
        <v>9420</v>
      </c>
      <c r="Q9" s="13">
        <v>9697</v>
      </c>
      <c r="R9" s="13">
        <v>10047</v>
      </c>
      <c r="S9" s="13">
        <v>10197</v>
      </c>
      <c r="T9" s="13">
        <v>11358</v>
      </c>
      <c r="U9" s="13">
        <v>14647</v>
      </c>
      <c r="V9" s="13">
        <v>16222</v>
      </c>
      <c r="W9" s="13">
        <v>17805</v>
      </c>
      <c r="X9" s="13">
        <v>19574</v>
      </c>
      <c r="Y9" s="13">
        <v>21017</v>
      </c>
      <c r="Z9" s="208">
        <v>22623</v>
      </c>
      <c r="AA9" s="33">
        <v>24157</v>
      </c>
      <c r="AB9" s="2">
        <v>24801</v>
      </c>
      <c r="AC9" s="33">
        <v>25476</v>
      </c>
      <c r="AD9" s="33">
        <v>26580</v>
      </c>
      <c r="AE9" s="33">
        <v>27951</v>
      </c>
      <c r="AF9" s="33">
        <v>30261</v>
      </c>
      <c r="AG9" s="33">
        <v>30676</v>
      </c>
      <c r="AH9" s="33">
        <v>31964</v>
      </c>
      <c r="AI9" s="33">
        <v>33773</v>
      </c>
      <c r="AJ9" s="33">
        <v>34902</v>
      </c>
      <c r="AK9" s="33">
        <v>35906</v>
      </c>
      <c r="AL9" s="33">
        <v>36944</v>
      </c>
      <c r="AM9" s="74">
        <f>37766</f>
        <v>37766</v>
      </c>
      <c r="AN9" s="33">
        <v>38469</v>
      </c>
      <c r="AO9" s="33">
        <v>39097</v>
      </c>
      <c r="AP9" s="33">
        <v>39973</v>
      </c>
      <c r="AQ9" s="33">
        <v>40876</v>
      </c>
      <c r="AR9" s="33">
        <v>41962</v>
      </c>
      <c r="AS9" s="33">
        <v>43063</v>
      </c>
      <c r="AT9" s="33">
        <v>44337</v>
      </c>
      <c r="AU9" s="33">
        <v>45495</v>
      </c>
      <c r="AV9" s="33">
        <v>46972</v>
      </c>
      <c r="AW9" s="33">
        <v>48234</v>
      </c>
      <c r="AX9" s="33">
        <v>49609</v>
      </c>
      <c r="AY9" s="206">
        <v>50919</v>
      </c>
      <c r="AZ9" s="33">
        <v>51946</v>
      </c>
      <c r="BA9" s="33">
        <v>52787</v>
      </c>
      <c r="BB9" s="33">
        <v>54086</v>
      </c>
      <c r="BC9" s="33">
        <v>54951</v>
      </c>
      <c r="BD9" s="33">
        <v>56234</v>
      </c>
      <c r="BE9" s="33">
        <v>57797</v>
      </c>
      <c r="BF9" s="33">
        <v>58911</v>
      </c>
      <c r="BG9" s="33">
        <v>59894</v>
      </c>
      <c r="BH9" s="33">
        <v>59757</v>
      </c>
      <c r="BI9" s="33">
        <v>60904</v>
      </c>
      <c r="BJ9" s="205">
        <v>62246</v>
      </c>
      <c r="BK9" s="33">
        <v>62931</v>
      </c>
      <c r="BL9" s="33">
        <v>63811</v>
      </c>
      <c r="BM9" s="33">
        <v>65103</v>
      </c>
      <c r="BN9" s="33">
        <v>66393</v>
      </c>
      <c r="BO9" s="33">
        <v>67936</v>
      </c>
      <c r="BP9" s="33">
        <v>69386</v>
      </c>
      <c r="BQ9" s="33">
        <v>70779</v>
      </c>
      <c r="BR9" s="33">
        <v>72398</v>
      </c>
      <c r="BS9" s="33">
        <v>73891</v>
      </c>
      <c r="BT9" s="33">
        <v>76244</v>
      </c>
      <c r="BU9" s="33">
        <v>77837</v>
      </c>
      <c r="BV9" s="205">
        <v>79577</v>
      </c>
      <c r="BW9" s="206">
        <v>81665</v>
      </c>
      <c r="BX9" s="33">
        <v>83170</v>
      </c>
      <c r="BY9" s="33">
        <v>85059</v>
      </c>
      <c r="BZ9" s="33">
        <v>87533</v>
      </c>
      <c r="CA9" s="33">
        <v>89577</v>
      </c>
      <c r="CB9" s="18">
        <v>91068</v>
      </c>
      <c r="CC9" s="217">
        <v>93554</v>
      </c>
      <c r="CD9" s="217">
        <v>97403</v>
      </c>
      <c r="CE9" s="217">
        <v>103009</v>
      </c>
      <c r="CF9" s="255">
        <v>108535</v>
      </c>
      <c r="CG9" s="255">
        <v>112714</v>
      </c>
      <c r="CH9" s="93">
        <v>114514</v>
      </c>
      <c r="CI9" s="72">
        <v>115295</v>
      </c>
      <c r="CJ9" s="92">
        <v>116036</v>
      </c>
      <c r="CK9" s="92">
        <v>116729</v>
      </c>
      <c r="CL9" s="92">
        <f>117347</f>
        <v>117347</v>
      </c>
      <c r="CM9" s="92">
        <v>117960</v>
      </c>
      <c r="CN9" s="92">
        <v>118639</v>
      </c>
      <c r="CO9" s="92">
        <v>119564</v>
      </c>
      <c r="CP9" s="92">
        <v>120405</v>
      </c>
      <c r="CQ9" s="92">
        <v>121438</v>
      </c>
      <c r="CR9" s="92">
        <v>122289</v>
      </c>
      <c r="CS9" s="92">
        <v>122954</v>
      </c>
      <c r="CT9" s="93">
        <v>123538</v>
      </c>
      <c r="CU9" s="286">
        <v>124188</v>
      </c>
      <c r="CV9" s="287">
        <v>124800</v>
      </c>
      <c r="CW9" s="287">
        <v>125911</v>
      </c>
      <c r="CX9" s="287">
        <v>126822</v>
      </c>
      <c r="CY9" s="287">
        <v>127903</v>
      </c>
      <c r="CZ9" s="287">
        <v>128902</v>
      </c>
      <c r="DA9" s="287">
        <v>129868</v>
      </c>
      <c r="DB9" s="287">
        <v>130865</v>
      </c>
      <c r="DC9" s="287">
        <v>131732</v>
      </c>
      <c r="DD9" s="287">
        <v>132513</v>
      </c>
      <c r="DE9" s="287">
        <v>133571</v>
      </c>
      <c r="DF9" s="296">
        <v>134287</v>
      </c>
      <c r="DG9" s="76">
        <v>134999</v>
      </c>
      <c r="DH9" s="287">
        <v>135683</v>
      </c>
      <c r="DI9" s="287">
        <v>136642</v>
      </c>
      <c r="DJ9" s="287">
        <v>137414</v>
      </c>
      <c r="DK9" s="287">
        <v>138052</v>
      </c>
      <c r="DL9" s="287">
        <v>138654</v>
      </c>
      <c r="DM9" s="287">
        <v>139312</v>
      </c>
      <c r="DN9" s="287">
        <v>139585</v>
      </c>
      <c r="DO9" s="287">
        <v>139675</v>
      </c>
      <c r="DP9" s="287">
        <v>140821</v>
      </c>
      <c r="DQ9" s="287">
        <v>141362</v>
      </c>
      <c r="DR9" s="287">
        <v>141803</v>
      </c>
      <c r="DS9" s="287">
        <v>142044</v>
      </c>
      <c r="DT9" s="287">
        <v>142414</v>
      </c>
      <c r="DU9" s="287">
        <v>143446</v>
      </c>
      <c r="DV9" s="367">
        <v>143991</v>
      </c>
      <c r="DW9" s="367">
        <v>144684</v>
      </c>
      <c r="DX9" s="367">
        <v>145332</v>
      </c>
      <c r="DY9" s="367">
        <v>146007</v>
      </c>
      <c r="DZ9" s="367">
        <v>146543</v>
      </c>
      <c r="EA9" s="367">
        <v>146978</v>
      </c>
      <c r="EB9" s="276">
        <v>147637</v>
      </c>
      <c r="EC9" s="276">
        <v>148020</v>
      </c>
      <c r="ED9" s="276">
        <v>148352</v>
      </c>
      <c r="EE9" s="287">
        <v>149537</v>
      </c>
      <c r="EF9" s="276">
        <v>149870</v>
      </c>
      <c r="EG9" s="276">
        <v>150457</v>
      </c>
      <c r="EH9" s="287">
        <v>150944</v>
      </c>
      <c r="EI9" s="287">
        <v>151563</v>
      </c>
      <c r="EJ9" s="287">
        <v>151836</v>
      </c>
      <c r="EK9" s="287">
        <v>152487</v>
      </c>
      <c r="EL9" s="287">
        <v>152605</v>
      </c>
      <c r="EM9" s="287">
        <v>153208</v>
      </c>
      <c r="EN9" s="287">
        <v>154042</v>
      </c>
      <c r="EO9" s="287">
        <v>153773</v>
      </c>
      <c r="EP9" s="287">
        <v>154385</v>
      </c>
      <c r="EQ9" s="287">
        <v>154238</v>
      </c>
      <c r="ER9" s="287">
        <v>154892</v>
      </c>
      <c r="ES9" s="287">
        <v>155602</v>
      </c>
      <c r="ET9" s="287">
        <v>156080</v>
      </c>
      <c r="EU9" s="17">
        <v>156396</v>
      </c>
      <c r="EV9" s="17">
        <v>157383</v>
      </c>
      <c r="EW9" s="287">
        <v>158054</v>
      </c>
      <c r="EX9" s="287">
        <v>158919</v>
      </c>
      <c r="EY9" s="287">
        <v>159288</v>
      </c>
      <c r="EZ9" s="287">
        <v>159558</v>
      </c>
      <c r="FA9" s="92">
        <v>160047</v>
      </c>
      <c r="FB9" s="92">
        <v>160500</v>
      </c>
      <c r="FC9" s="92">
        <v>161162</v>
      </c>
      <c r="FD9" s="92">
        <v>161374</v>
      </c>
      <c r="FE9" s="92">
        <v>161916</v>
      </c>
      <c r="FF9" s="287">
        <v>162424</v>
      </c>
      <c r="FG9" s="287">
        <v>162769</v>
      </c>
      <c r="FH9" s="287">
        <v>163308</v>
      </c>
      <c r="FI9" s="287">
        <v>164433</v>
      </c>
      <c r="FJ9" s="287">
        <v>164848</v>
      </c>
      <c r="FK9" s="287">
        <v>165304</v>
      </c>
      <c r="FL9" s="92">
        <v>166114</v>
      </c>
      <c r="FM9" s="92">
        <v>166457</v>
      </c>
      <c r="FN9" s="92">
        <v>166777</v>
      </c>
      <c r="FO9" s="287">
        <v>167351</v>
      </c>
      <c r="FP9" s="92">
        <v>167680</v>
      </c>
      <c r="FQ9" s="92">
        <v>167989</v>
      </c>
      <c r="FR9" s="92">
        <v>168549</v>
      </c>
      <c r="FS9" s="92">
        <v>169005</v>
      </c>
      <c r="FT9" s="92">
        <v>169324</v>
      </c>
    </row>
    <row r="10" spans="2:182" s="1" customFormat="1" ht="13.8" thickTop="1" x14ac:dyDescent="0.25">
      <c r="B10" s="3" t="s">
        <v>9</v>
      </c>
      <c r="C10" s="35">
        <f t="shared" ref="C10:H10" si="0">SUM(C8:C9)</f>
        <v>164004</v>
      </c>
      <c r="D10" s="8">
        <f t="shared" si="0"/>
        <v>164811</v>
      </c>
      <c r="E10" s="8">
        <f t="shared" si="0"/>
        <v>163574</v>
      </c>
      <c r="F10" s="8">
        <f t="shared" si="0"/>
        <v>166302</v>
      </c>
      <c r="G10" s="8">
        <f t="shared" si="0"/>
        <v>166604</v>
      </c>
      <c r="H10" s="8">
        <f t="shared" si="0"/>
        <v>165638</v>
      </c>
      <c r="I10" s="8">
        <f t="shared" ref="I10:Q10" si="1">SUM(I8:I9)</f>
        <v>167168</v>
      </c>
      <c r="J10" s="8">
        <f t="shared" si="1"/>
        <v>174258</v>
      </c>
      <c r="K10" s="8">
        <f t="shared" si="1"/>
        <v>176073</v>
      </c>
      <c r="L10" s="8">
        <f t="shared" si="1"/>
        <v>176775</v>
      </c>
      <c r="M10" s="8">
        <f t="shared" si="1"/>
        <v>176537</v>
      </c>
      <c r="N10" s="9">
        <f t="shared" si="1"/>
        <v>175784</v>
      </c>
      <c r="O10" s="35">
        <f t="shared" si="1"/>
        <v>168368</v>
      </c>
      <c r="P10" s="8">
        <f t="shared" si="1"/>
        <v>168369</v>
      </c>
      <c r="Q10" s="8">
        <f t="shared" si="1"/>
        <v>168798</v>
      </c>
      <c r="R10" s="8">
        <f>SUM(R8:R9)</f>
        <v>169305</v>
      </c>
      <c r="S10" s="8">
        <f>SUM(S8:S9)</f>
        <v>169967</v>
      </c>
      <c r="T10" s="8">
        <f>SUM(T8:T9)</f>
        <v>170250</v>
      </c>
      <c r="U10" s="8">
        <f t="shared" ref="U10:Z10" si="2">SUM(U8:U9)</f>
        <v>170978</v>
      </c>
      <c r="V10" s="8">
        <f t="shared" si="2"/>
        <v>171355</v>
      </c>
      <c r="W10" s="8">
        <f t="shared" si="2"/>
        <v>171553</v>
      </c>
      <c r="X10" s="8">
        <f t="shared" si="2"/>
        <v>172121</v>
      </c>
      <c r="Y10" s="8">
        <f t="shared" si="2"/>
        <v>171531</v>
      </c>
      <c r="Z10" s="9">
        <f t="shared" si="2"/>
        <v>172884</v>
      </c>
      <c r="AA10" s="80">
        <f t="shared" ref="AA10:AF10" si="3">SUM(AA8:AA9)</f>
        <v>172799</v>
      </c>
      <c r="AB10" s="80">
        <f t="shared" si="3"/>
        <v>172996</v>
      </c>
      <c r="AC10" s="80">
        <f t="shared" si="3"/>
        <v>173561</v>
      </c>
      <c r="AD10" s="80">
        <f t="shared" si="3"/>
        <v>173826</v>
      </c>
      <c r="AE10" s="80">
        <f t="shared" si="3"/>
        <v>173797</v>
      </c>
      <c r="AF10" s="80">
        <f t="shared" si="3"/>
        <v>175787</v>
      </c>
      <c r="AG10" s="80">
        <f t="shared" ref="AG10:AL10" si="4">SUM(AG8:AG9)</f>
        <v>173768</v>
      </c>
      <c r="AH10" s="80">
        <f t="shared" si="4"/>
        <v>173517</v>
      </c>
      <c r="AI10" s="80">
        <f t="shared" si="4"/>
        <v>173751</v>
      </c>
      <c r="AJ10" s="80">
        <f t="shared" si="4"/>
        <v>174245</v>
      </c>
      <c r="AK10" s="80">
        <f t="shared" si="4"/>
        <v>174702</v>
      </c>
      <c r="AL10" s="80">
        <f t="shared" si="4"/>
        <v>174627</v>
      </c>
      <c r="AM10" s="194">
        <f t="shared" ref="AM10:AR10" si="5">SUM(AM8:AM9)</f>
        <v>174953</v>
      </c>
      <c r="AN10" s="80">
        <f t="shared" si="5"/>
        <v>175136</v>
      </c>
      <c r="AO10" s="80">
        <f t="shared" si="5"/>
        <v>175245</v>
      </c>
      <c r="AP10" s="80">
        <f t="shared" si="5"/>
        <v>176113</v>
      </c>
      <c r="AQ10" s="80">
        <f t="shared" si="5"/>
        <v>176271</v>
      </c>
      <c r="AR10" s="80">
        <f t="shared" si="5"/>
        <v>176636</v>
      </c>
      <c r="AS10" s="80">
        <f t="shared" ref="AS10:AX10" si="6">SUM(AS8:AS9)</f>
        <v>176578</v>
      </c>
      <c r="AT10" s="80">
        <f t="shared" si="6"/>
        <v>176827</v>
      </c>
      <c r="AU10" s="80">
        <f t="shared" si="6"/>
        <v>176344</v>
      </c>
      <c r="AV10" s="80">
        <f t="shared" si="6"/>
        <v>177064</v>
      </c>
      <c r="AW10" s="80">
        <f t="shared" si="6"/>
        <v>177203</v>
      </c>
      <c r="AX10" s="80">
        <f t="shared" si="6"/>
        <v>178651</v>
      </c>
      <c r="AY10" s="194">
        <f t="shared" ref="AY10:BJ10" si="7">SUM(AY8:AY9)</f>
        <v>177999</v>
      </c>
      <c r="AZ10" s="80">
        <f t="shared" si="7"/>
        <v>178075</v>
      </c>
      <c r="BA10" s="80">
        <f t="shared" si="7"/>
        <v>178353</v>
      </c>
      <c r="BB10" s="80">
        <f t="shared" si="7"/>
        <v>179206</v>
      </c>
      <c r="BC10" s="80">
        <f t="shared" si="7"/>
        <v>179088</v>
      </c>
      <c r="BD10" s="80">
        <f t="shared" si="7"/>
        <v>179491</v>
      </c>
      <c r="BE10" s="80">
        <f t="shared" si="7"/>
        <v>179681</v>
      </c>
      <c r="BF10" s="80">
        <f t="shared" si="7"/>
        <v>179885</v>
      </c>
      <c r="BG10" s="80">
        <f t="shared" si="7"/>
        <v>180177</v>
      </c>
      <c r="BH10" s="80">
        <f t="shared" si="7"/>
        <v>177699</v>
      </c>
      <c r="BI10" s="80">
        <f t="shared" si="7"/>
        <v>178002</v>
      </c>
      <c r="BJ10" s="10">
        <f t="shared" si="7"/>
        <v>179159</v>
      </c>
      <c r="BK10" s="80">
        <f t="shared" ref="BK10:BP10" si="8">SUM(BK8:BK9)</f>
        <v>178361</v>
      </c>
      <c r="BL10" s="80">
        <f t="shared" si="8"/>
        <v>178430</v>
      </c>
      <c r="BM10" s="80">
        <f t="shared" si="8"/>
        <v>178991</v>
      </c>
      <c r="BN10" s="80">
        <f t="shared" si="8"/>
        <v>179177</v>
      </c>
      <c r="BO10" s="80">
        <f t="shared" si="8"/>
        <v>179560</v>
      </c>
      <c r="BP10" s="80">
        <f t="shared" si="8"/>
        <v>180186</v>
      </c>
      <c r="BQ10" s="80">
        <f t="shared" ref="BQ10:BV10" si="9">SUM(BQ8:BQ9)</f>
        <v>179843</v>
      </c>
      <c r="BR10" s="80">
        <f t="shared" si="9"/>
        <v>180296</v>
      </c>
      <c r="BS10" s="80">
        <f t="shared" si="9"/>
        <v>180515</v>
      </c>
      <c r="BT10" s="80">
        <f t="shared" si="9"/>
        <v>182296</v>
      </c>
      <c r="BU10" s="80">
        <f t="shared" si="9"/>
        <v>182429</v>
      </c>
      <c r="BV10" s="10">
        <f t="shared" si="9"/>
        <v>182486</v>
      </c>
      <c r="BW10" s="194">
        <f t="shared" ref="BW10:CB10" si="10">SUM(BW8:BW9)</f>
        <v>182865</v>
      </c>
      <c r="BX10" s="80">
        <f t="shared" si="10"/>
        <v>183008</v>
      </c>
      <c r="BY10" s="80">
        <f t="shared" si="10"/>
        <v>183133</v>
      </c>
      <c r="BZ10" s="80">
        <f t="shared" si="10"/>
        <v>184029</v>
      </c>
      <c r="CA10" s="80">
        <f t="shared" si="10"/>
        <v>184258</v>
      </c>
      <c r="CB10" s="80">
        <f t="shared" si="10"/>
        <v>184230</v>
      </c>
      <c r="CC10" s="80">
        <f t="shared" ref="CC10:CQ10" si="11">SUM(CC8:CC9)</f>
        <v>185033</v>
      </c>
      <c r="CD10" s="80">
        <f t="shared" si="11"/>
        <v>185256</v>
      </c>
      <c r="CE10" s="80">
        <f t="shared" si="11"/>
        <v>185308</v>
      </c>
      <c r="CF10" s="80">
        <f t="shared" si="11"/>
        <v>185403</v>
      </c>
      <c r="CG10" s="80">
        <f t="shared" si="11"/>
        <v>186123</v>
      </c>
      <c r="CH10" s="96">
        <f t="shared" si="11"/>
        <v>186438</v>
      </c>
      <c r="CI10" s="106">
        <f t="shared" si="11"/>
        <v>186449</v>
      </c>
      <c r="CJ10" s="94">
        <f t="shared" si="11"/>
        <v>186645</v>
      </c>
      <c r="CK10" s="94">
        <f t="shared" si="11"/>
        <v>186905</v>
      </c>
      <c r="CL10" s="94">
        <f t="shared" si="11"/>
        <v>187085</v>
      </c>
      <c r="CM10" s="94">
        <f t="shared" si="11"/>
        <v>187147</v>
      </c>
      <c r="CN10" s="94">
        <f t="shared" si="11"/>
        <v>187161</v>
      </c>
      <c r="CO10" s="94">
        <f t="shared" si="11"/>
        <v>187466</v>
      </c>
      <c r="CP10" s="94">
        <f t="shared" si="11"/>
        <v>187604</v>
      </c>
      <c r="CQ10" s="94">
        <f t="shared" si="11"/>
        <v>187719</v>
      </c>
      <c r="CR10" s="94">
        <f t="shared" ref="CR10:CW10" si="12">SUM(CR8:CR9)</f>
        <v>187570</v>
      </c>
      <c r="CS10" s="94">
        <f t="shared" si="12"/>
        <v>187444</v>
      </c>
      <c r="CT10" s="107">
        <f t="shared" si="12"/>
        <v>187357</v>
      </c>
      <c r="CU10" s="94">
        <f t="shared" si="12"/>
        <v>187501</v>
      </c>
      <c r="CV10" s="94">
        <f t="shared" si="12"/>
        <v>187539</v>
      </c>
      <c r="CW10" s="94">
        <f t="shared" si="12"/>
        <v>187946</v>
      </c>
      <c r="CX10" s="94">
        <f t="shared" ref="CX10:DK10" si="13">SUM(CX8:CX9)</f>
        <v>188232</v>
      </c>
      <c r="CY10" s="94">
        <f t="shared" si="13"/>
        <v>188541</v>
      </c>
      <c r="CZ10" s="94">
        <f t="shared" si="13"/>
        <v>188824</v>
      </c>
      <c r="DA10" s="94">
        <f t="shared" si="13"/>
        <v>189009</v>
      </c>
      <c r="DB10" s="94">
        <f t="shared" si="13"/>
        <v>189167</v>
      </c>
      <c r="DC10" s="94">
        <f t="shared" si="13"/>
        <v>189261</v>
      </c>
      <c r="DD10" s="94">
        <f t="shared" si="13"/>
        <v>189240</v>
      </c>
      <c r="DE10" s="94">
        <f t="shared" si="13"/>
        <v>189539</v>
      </c>
      <c r="DF10" s="96">
        <f t="shared" si="13"/>
        <v>189647</v>
      </c>
      <c r="DG10" s="94">
        <f t="shared" si="13"/>
        <v>189898</v>
      </c>
      <c r="DH10" s="94">
        <f t="shared" si="13"/>
        <v>190143</v>
      </c>
      <c r="DI10" s="94">
        <f t="shared" si="13"/>
        <v>190566</v>
      </c>
      <c r="DJ10" s="94">
        <f t="shared" si="13"/>
        <v>190693</v>
      </c>
      <c r="DK10" s="94">
        <f t="shared" si="13"/>
        <v>190882</v>
      </c>
      <c r="DL10" s="94">
        <f t="shared" ref="DL10:DR10" si="14">SUM(DL8:DL9)</f>
        <v>191039</v>
      </c>
      <c r="DM10" s="94">
        <f t="shared" si="14"/>
        <v>191371</v>
      </c>
      <c r="DN10" s="94">
        <f t="shared" si="14"/>
        <v>191579</v>
      </c>
      <c r="DO10" s="94">
        <f t="shared" si="14"/>
        <v>191680</v>
      </c>
      <c r="DP10" s="94">
        <f t="shared" si="14"/>
        <v>191564</v>
      </c>
      <c r="DQ10" s="94">
        <f t="shared" si="14"/>
        <v>191588</v>
      </c>
      <c r="DR10" s="94">
        <f t="shared" si="14"/>
        <v>191708</v>
      </c>
      <c r="DS10" s="94">
        <f t="shared" ref="DS10:ES10" si="15">SUM(DS8:DS9)</f>
        <v>191690</v>
      </c>
      <c r="DT10" s="94">
        <f t="shared" si="15"/>
        <v>191635</v>
      </c>
      <c r="DU10" s="94">
        <f t="shared" si="15"/>
        <v>192402</v>
      </c>
      <c r="DV10" s="358">
        <f t="shared" si="15"/>
        <v>192636</v>
      </c>
      <c r="DW10" s="358">
        <f t="shared" si="15"/>
        <v>192916</v>
      </c>
      <c r="DX10" s="358">
        <f t="shared" si="15"/>
        <v>192952</v>
      </c>
      <c r="DY10" s="358">
        <f t="shared" si="15"/>
        <v>193180</v>
      </c>
      <c r="DZ10" s="358">
        <f t="shared" si="15"/>
        <v>193316</v>
      </c>
      <c r="EA10" s="358">
        <f t="shared" si="15"/>
        <v>193357</v>
      </c>
      <c r="EB10" s="358">
        <f t="shared" si="15"/>
        <v>193611</v>
      </c>
      <c r="EC10" s="358">
        <f t="shared" si="15"/>
        <v>193653</v>
      </c>
      <c r="ED10" s="358">
        <f t="shared" si="15"/>
        <v>193684</v>
      </c>
      <c r="EE10" s="358">
        <f t="shared" si="15"/>
        <v>194762</v>
      </c>
      <c r="EF10" s="358">
        <f t="shared" si="15"/>
        <v>194577</v>
      </c>
      <c r="EG10" s="358">
        <f t="shared" si="15"/>
        <v>194869</v>
      </c>
      <c r="EH10" s="358">
        <f t="shared" si="15"/>
        <v>195080</v>
      </c>
      <c r="EI10" s="358">
        <f t="shared" si="15"/>
        <v>195451</v>
      </c>
      <c r="EJ10" s="358">
        <f t="shared" si="15"/>
        <v>195295</v>
      </c>
      <c r="EK10" s="358">
        <f t="shared" si="15"/>
        <v>195797</v>
      </c>
      <c r="EL10" s="358">
        <f t="shared" si="15"/>
        <v>195552</v>
      </c>
      <c r="EM10" s="358">
        <f t="shared" si="15"/>
        <v>195837</v>
      </c>
      <c r="EN10" s="358">
        <f t="shared" si="15"/>
        <v>196620</v>
      </c>
      <c r="EO10" s="358">
        <f t="shared" si="15"/>
        <v>195780</v>
      </c>
      <c r="EP10" s="358">
        <f t="shared" si="15"/>
        <v>196401</v>
      </c>
      <c r="EQ10" s="358">
        <f t="shared" si="15"/>
        <v>195905</v>
      </c>
      <c r="ER10" s="358">
        <f t="shared" si="15"/>
        <v>196286</v>
      </c>
      <c r="ES10" s="358">
        <f t="shared" si="15"/>
        <v>196790</v>
      </c>
      <c r="ET10" s="369">
        <v>197070</v>
      </c>
      <c r="EU10" s="369">
        <v>197122</v>
      </c>
      <c r="EV10" s="369">
        <v>197788</v>
      </c>
      <c r="EW10" s="511">
        <f>SUM(EW8:EW9)</f>
        <v>198136</v>
      </c>
      <c r="EX10" s="511">
        <f t="shared" ref="EX10:FQ10" si="16">SUM(EX8:EX9)</f>
        <v>198618</v>
      </c>
      <c r="EY10" s="511">
        <f t="shared" si="16"/>
        <v>198581</v>
      </c>
      <c r="EZ10" s="511">
        <f t="shared" si="16"/>
        <v>198576</v>
      </c>
      <c r="FA10" s="511">
        <f t="shared" si="16"/>
        <v>198760</v>
      </c>
      <c r="FB10" s="511">
        <f t="shared" si="16"/>
        <v>198971</v>
      </c>
      <c r="FC10" s="511">
        <f t="shared" si="16"/>
        <v>199170</v>
      </c>
      <c r="FD10" s="511">
        <f t="shared" si="16"/>
        <v>199301</v>
      </c>
      <c r="FE10" s="511">
        <f t="shared" si="16"/>
        <v>199525</v>
      </c>
      <c r="FF10" s="511">
        <f t="shared" si="16"/>
        <v>199719</v>
      </c>
      <c r="FG10" s="511">
        <f t="shared" si="16"/>
        <v>199893</v>
      </c>
      <c r="FH10" s="511">
        <f t="shared" si="16"/>
        <v>200305</v>
      </c>
      <c r="FI10" s="511">
        <f t="shared" si="16"/>
        <v>201149</v>
      </c>
      <c r="FJ10" s="511">
        <f t="shared" si="16"/>
        <v>201270</v>
      </c>
      <c r="FK10" s="511">
        <f t="shared" si="16"/>
        <v>201395</v>
      </c>
      <c r="FL10" s="511">
        <f t="shared" si="16"/>
        <v>201774</v>
      </c>
      <c r="FM10" s="511">
        <f t="shared" si="16"/>
        <v>201844</v>
      </c>
      <c r="FN10" s="511">
        <f t="shared" si="16"/>
        <v>201886</v>
      </c>
      <c r="FO10" s="511">
        <f t="shared" si="16"/>
        <v>202242</v>
      </c>
      <c r="FP10" s="511">
        <f t="shared" si="16"/>
        <v>202399</v>
      </c>
      <c r="FQ10" s="511">
        <f t="shared" si="16"/>
        <v>202543</v>
      </c>
      <c r="FR10" s="511">
        <f t="shared" ref="FR10:FT10" si="17">SUM(FR8:FR9)</f>
        <v>202908</v>
      </c>
      <c r="FS10" s="511">
        <f t="shared" si="17"/>
        <v>203162</v>
      </c>
      <c r="FT10" s="511">
        <f t="shared" si="17"/>
        <v>203267</v>
      </c>
    </row>
    <row r="11" spans="2:182" s="188" customFormat="1" x14ac:dyDescent="0.25">
      <c r="B11" s="264" t="s">
        <v>10</v>
      </c>
      <c r="C11" s="258">
        <f t="shared" ref="C11:H11" si="18">SUM(C8)/C10</f>
        <v>0.99185995463525278</v>
      </c>
      <c r="D11" s="259">
        <f t="shared" si="18"/>
        <v>0.98700329468300052</v>
      </c>
      <c r="E11" s="259">
        <f t="shared" si="18"/>
        <v>0.98434347756978491</v>
      </c>
      <c r="F11" s="259">
        <f t="shared" si="18"/>
        <v>0.97844884607521254</v>
      </c>
      <c r="G11" s="259">
        <f t="shared" si="18"/>
        <v>0.97566084847902812</v>
      </c>
      <c r="H11" s="259">
        <f t="shared" si="18"/>
        <v>0.97937671307308705</v>
      </c>
      <c r="I11" s="259">
        <f t="shared" ref="I11:Q11" si="19">SUM(I8)/I10</f>
        <v>0.96993443721286365</v>
      </c>
      <c r="J11" s="259">
        <f t="shared" si="19"/>
        <v>0.96434023115151102</v>
      </c>
      <c r="K11" s="259">
        <f t="shared" si="19"/>
        <v>0.9622656511787725</v>
      </c>
      <c r="L11" s="259">
        <f t="shared" si="19"/>
        <v>0.95830292745014845</v>
      </c>
      <c r="M11" s="259">
        <f t="shared" si="19"/>
        <v>0.95533514220814897</v>
      </c>
      <c r="N11" s="265">
        <f t="shared" si="19"/>
        <v>0.95162244572884902</v>
      </c>
      <c r="O11" s="258">
        <f t="shared" si="19"/>
        <v>0.9452983939941082</v>
      </c>
      <c r="P11" s="259">
        <f t="shared" si="19"/>
        <v>0.94405145840386295</v>
      </c>
      <c r="Q11" s="259">
        <f t="shared" si="19"/>
        <v>0.9425526368795839</v>
      </c>
      <c r="R11" s="259">
        <f>SUM(R8)/R10</f>
        <v>0.94065739346150434</v>
      </c>
      <c r="S11" s="259">
        <f>SUM(S8)/S10</f>
        <v>0.94000600116493205</v>
      </c>
      <c r="T11" s="259">
        <f>SUM(T8)/T10</f>
        <v>0.93328634361233476</v>
      </c>
      <c r="U11" s="259">
        <f t="shared" ref="U11:Z11" si="20">SUM(U8)/U10</f>
        <v>0.91433400788405528</v>
      </c>
      <c r="V11" s="259">
        <f t="shared" si="20"/>
        <v>0.90533103790376701</v>
      </c>
      <c r="W11" s="259">
        <f t="shared" si="20"/>
        <v>0.8962128321859717</v>
      </c>
      <c r="X11" s="259">
        <f t="shared" si="20"/>
        <v>0.88627767675065794</v>
      </c>
      <c r="Y11" s="259">
        <f t="shared" si="20"/>
        <v>0.87747404259288408</v>
      </c>
      <c r="Z11" s="265">
        <f t="shared" si="20"/>
        <v>0.8691434719233706</v>
      </c>
      <c r="AA11" s="259">
        <f t="shared" ref="AA11:AF11" si="21">SUM(AA8)/AA10</f>
        <v>0.86020173727857219</v>
      </c>
      <c r="AB11" s="259">
        <f t="shared" si="21"/>
        <v>0.85663830377580985</v>
      </c>
      <c r="AC11" s="259">
        <f t="shared" si="21"/>
        <v>0.85321587222936024</v>
      </c>
      <c r="AD11" s="259">
        <f t="shared" si="21"/>
        <v>0.84708846777812297</v>
      </c>
      <c r="AE11" s="259">
        <f t="shared" si="21"/>
        <v>0.83917443914451917</v>
      </c>
      <c r="AF11" s="259">
        <f t="shared" si="21"/>
        <v>0.82785416441488846</v>
      </c>
      <c r="AG11" s="259">
        <f t="shared" ref="AG11:AL11" si="22">SUM(AG8)/AG10</f>
        <v>0.82346577045255742</v>
      </c>
      <c r="AH11" s="259">
        <f t="shared" si="22"/>
        <v>0.81578750208913253</v>
      </c>
      <c r="AI11" s="259">
        <f t="shared" si="22"/>
        <v>0.80562414029271778</v>
      </c>
      <c r="AJ11" s="259">
        <f t="shared" si="22"/>
        <v>0.79969583058337401</v>
      </c>
      <c r="AK11" s="259">
        <f t="shared" si="22"/>
        <v>0.79447287380797016</v>
      </c>
      <c r="AL11" s="259">
        <f t="shared" si="22"/>
        <v>0.78844050461841531</v>
      </c>
      <c r="AM11" s="271">
        <f t="shared" ref="AM11:AR11" si="23">SUM(AM8)/AM10</f>
        <v>0.78413631089492608</v>
      </c>
      <c r="AN11" s="259">
        <f t="shared" si="23"/>
        <v>0.78034784396126444</v>
      </c>
      <c r="AO11" s="259">
        <f t="shared" si="23"/>
        <v>0.77690091015435536</v>
      </c>
      <c r="AP11" s="259">
        <f t="shared" si="23"/>
        <v>0.77302640918046939</v>
      </c>
      <c r="AQ11" s="259">
        <f t="shared" si="23"/>
        <v>0.76810706242093141</v>
      </c>
      <c r="AR11" s="259">
        <f t="shared" si="23"/>
        <v>0.76243800810706763</v>
      </c>
      <c r="AS11" s="259">
        <f t="shared" ref="AS11:AX11" si="24">SUM(AS8)/AS10</f>
        <v>0.75612477205540896</v>
      </c>
      <c r="AT11" s="259">
        <f t="shared" si="24"/>
        <v>0.74926340434435923</v>
      </c>
      <c r="AU11" s="259">
        <f t="shared" si="24"/>
        <v>0.74200993512679758</v>
      </c>
      <c r="AV11" s="259">
        <f t="shared" si="24"/>
        <v>0.73471739032214345</v>
      </c>
      <c r="AW11" s="259">
        <f t="shared" si="24"/>
        <v>0.72780370535487549</v>
      </c>
      <c r="AX11" s="259">
        <f t="shared" si="24"/>
        <v>0.7223133371769539</v>
      </c>
      <c r="AY11" s="271">
        <f t="shared" ref="AY11:BJ11" si="25">SUM(AY8)/AY10</f>
        <v>0.71393659514941099</v>
      </c>
      <c r="AZ11" s="259">
        <f t="shared" si="25"/>
        <v>0.70829145023164397</v>
      </c>
      <c r="BA11" s="259">
        <f t="shared" si="25"/>
        <v>0.70403077043840023</v>
      </c>
      <c r="BB11" s="259">
        <f t="shared" si="25"/>
        <v>0.69819090878653611</v>
      </c>
      <c r="BC11" s="259">
        <f t="shared" si="25"/>
        <v>0.69316202090592338</v>
      </c>
      <c r="BD11" s="259">
        <f t="shared" si="25"/>
        <v>0.68670295446568352</v>
      </c>
      <c r="BE11" s="259">
        <f t="shared" si="25"/>
        <v>0.67833549457093401</v>
      </c>
      <c r="BF11" s="259">
        <f t="shared" si="25"/>
        <v>0.67250743530588986</v>
      </c>
      <c r="BG11" s="259">
        <f t="shared" si="25"/>
        <v>0.66758243282993945</v>
      </c>
      <c r="BH11" s="259">
        <f t="shared" si="25"/>
        <v>0.66371785997670218</v>
      </c>
      <c r="BI11" s="259">
        <f t="shared" si="25"/>
        <v>0.65784654105010054</v>
      </c>
      <c r="BJ11" s="265">
        <f t="shared" si="25"/>
        <v>0.65256559815582804</v>
      </c>
      <c r="BK11" s="259">
        <f t="shared" ref="BK11:BP11" si="26">SUM(BK8)/BK10</f>
        <v>0.64717062586551988</v>
      </c>
      <c r="BL11" s="259">
        <f t="shared" si="26"/>
        <v>0.64237516112761306</v>
      </c>
      <c r="BM11" s="259">
        <f t="shared" si="26"/>
        <v>0.63627780167717929</v>
      </c>
      <c r="BN11" s="259">
        <f t="shared" si="26"/>
        <v>0.62945578952655756</v>
      </c>
      <c r="BO11" s="259">
        <f t="shared" si="26"/>
        <v>0.62165292938293604</v>
      </c>
      <c r="BP11" s="259">
        <f t="shared" si="26"/>
        <v>0.61492013807954005</v>
      </c>
      <c r="BQ11" s="259">
        <f t="shared" ref="BQ11:BV11" si="27">SUM(BQ8)/BQ10</f>
        <v>0.60644006160929254</v>
      </c>
      <c r="BR11" s="259">
        <f t="shared" si="27"/>
        <v>0.59844921684341301</v>
      </c>
      <c r="BS11" s="259">
        <f t="shared" si="27"/>
        <v>0.5906655956568706</v>
      </c>
      <c r="BT11" s="259">
        <f t="shared" si="27"/>
        <v>0.58175714223021902</v>
      </c>
      <c r="BU11" s="259">
        <f t="shared" si="27"/>
        <v>0.57332989820697366</v>
      </c>
      <c r="BV11" s="265">
        <f t="shared" si="27"/>
        <v>0.56392819175169606</v>
      </c>
      <c r="BW11" s="271">
        <f t="shared" ref="BW11:CB11" si="28">SUM(BW8)/BW10</f>
        <v>0.55341372050419713</v>
      </c>
      <c r="BX11" s="259">
        <f t="shared" si="28"/>
        <v>0.54553899283091445</v>
      </c>
      <c r="BY11" s="259">
        <f t="shared" si="28"/>
        <v>0.53553428382650858</v>
      </c>
      <c r="BZ11" s="259">
        <f t="shared" si="28"/>
        <v>0.52435214015182385</v>
      </c>
      <c r="CA11" s="259">
        <f t="shared" si="28"/>
        <v>0.51385014490551295</v>
      </c>
      <c r="CB11" s="259">
        <f t="shared" si="28"/>
        <v>0.50568311349943007</v>
      </c>
      <c r="CC11" s="259">
        <f t="shared" ref="CC11:DK11" si="29">SUM(CC8)/CC10</f>
        <v>0.49439289207871029</v>
      </c>
      <c r="CD11" s="259">
        <f t="shared" si="29"/>
        <v>0.47422485641490691</v>
      </c>
      <c r="CE11" s="259">
        <f t="shared" si="29"/>
        <v>0.44412005957648887</v>
      </c>
      <c r="CF11" s="259">
        <f t="shared" si="29"/>
        <v>0.41459954801162874</v>
      </c>
      <c r="CG11" s="259">
        <f t="shared" si="29"/>
        <v>0.3944112226860732</v>
      </c>
      <c r="CH11" s="265">
        <f t="shared" si="29"/>
        <v>0.38577972301783969</v>
      </c>
      <c r="CI11" s="258">
        <f t="shared" si="29"/>
        <v>0.38162714737005832</v>
      </c>
      <c r="CJ11" s="259">
        <f t="shared" si="29"/>
        <v>0.37830641056551206</v>
      </c>
      <c r="CK11" s="259">
        <f t="shared" si="29"/>
        <v>0.37546347074717101</v>
      </c>
      <c r="CL11" s="259">
        <f t="shared" si="29"/>
        <v>0.37276104444503833</v>
      </c>
      <c r="CM11" s="259">
        <f t="shared" si="29"/>
        <v>0.36969334266646003</v>
      </c>
      <c r="CN11" s="259">
        <f t="shared" si="29"/>
        <v>0.36611259824429232</v>
      </c>
      <c r="CO11" s="259">
        <f t="shared" si="29"/>
        <v>0.36220968068876491</v>
      </c>
      <c r="CP11" s="259">
        <f t="shared" si="29"/>
        <v>0.35819598729238183</v>
      </c>
      <c r="CQ11" s="259">
        <f t="shared" si="29"/>
        <v>0.35308626191275255</v>
      </c>
      <c r="CR11" s="259">
        <f t="shared" si="29"/>
        <v>0.34803540011728956</v>
      </c>
      <c r="CS11" s="259">
        <f t="shared" si="29"/>
        <v>0.34404942276093126</v>
      </c>
      <c r="CT11" s="265">
        <f t="shared" si="29"/>
        <v>0.34062778545770905</v>
      </c>
      <c r="CU11" s="259">
        <f t="shared" si="29"/>
        <v>0.337667532439827</v>
      </c>
      <c r="CV11" s="259">
        <f t="shared" si="29"/>
        <v>0.33453841600947004</v>
      </c>
      <c r="CW11" s="259">
        <f t="shared" si="29"/>
        <v>0.33006821108190648</v>
      </c>
      <c r="CX11" s="259">
        <f t="shared" si="29"/>
        <v>0.32624633431085043</v>
      </c>
      <c r="CY11" s="259">
        <f t="shared" si="29"/>
        <v>0.32161704881166431</v>
      </c>
      <c r="CZ11" s="259">
        <f t="shared" si="29"/>
        <v>0.31734313434732875</v>
      </c>
      <c r="DA11" s="259">
        <f t="shared" si="29"/>
        <v>0.31290044389420607</v>
      </c>
      <c r="DB11" s="259">
        <f t="shared" si="29"/>
        <v>0.30820386219583756</v>
      </c>
      <c r="DC11" s="259">
        <f t="shared" si="29"/>
        <v>0.3039664801517481</v>
      </c>
      <c r="DD11" s="259">
        <f t="shared" si="29"/>
        <v>0.29976220672162335</v>
      </c>
      <c r="DE11" s="259">
        <f t="shared" si="29"/>
        <v>0.29528487540822734</v>
      </c>
      <c r="DF11" s="265">
        <f t="shared" si="29"/>
        <v>0.29191076051822595</v>
      </c>
      <c r="DG11" s="259">
        <f t="shared" si="29"/>
        <v>0.28909730486892965</v>
      </c>
      <c r="DH11" s="259">
        <f t="shared" si="29"/>
        <v>0.28641601321110954</v>
      </c>
      <c r="DI11" s="259">
        <f t="shared" si="29"/>
        <v>0.28296758078565959</v>
      </c>
      <c r="DJ11" s="259">
        <f t="shared" si="29"/>
        <v>0.27939672667586118</v>
      </c>
      <c r="DK11" s="259">
        <f t="shared" si="29"/>
        <v>0.27676784610387567</v>
      </c>
      <c r="DL11" s="259">
        <f t="shared" ref="DL11:DR11" si="30">SUM(DL8)/DL10</f>
        <v>0.27421102497395822</v>
      </c>
      <c r="DM11" s="259">
        <f t="shared" si="30"/>
        <v>0.27203181255258113</v>
      </c>
      <c r="DN11" s="259">
        <f t="shared" si="30"/>
        <v>0.27139717818758841</v>
      </c>
      <c r="DO11" s="259">
        <f t="shared" si="30"/>
        <v>0.2713115609348915</v>
      </c>
      <c r="DP11" s="259">
        <f t="shared" si="30"/>
        <v>0.26488797477605397</v>
      </c>
      <c r="DQ11" s="259">
        <f t="shared" si="30"/>
        <v>0.26215629371359378</v>
      </c>
      <c r="DR11" s="259">
        <f t="shared" si="30"/>
        <v>0.26031777494940223</v>
      </c>
      <c r="DS11" s="259">
        <f t="shared" ref="DS11:FQ11" si="31">SUM(DS8)/DS10</f>
        <v>0.25899107934686211</v>
      </c>
      <c r="DT11" s="259">
        <f t="shared" si="31"/>
        <v>0.25684765309051061</v>
      </c>
      <c r="DU11" s="259">
        <f t="shared" si="31"/>
        <v>0.25444641947588903</v>
      </c>
      <c r="DV11" s="282">
        <f t="shared" si="31"/>
        <v>0.25252289291721175</v>
      </c>
      <c r="DW11" s="282">
        <f t="shared" si="31"/>
        <v>0.2500155508096788</v>
      </c>
      <c r="DX11" s="282">
        <f t="shared" si="31"/>
        <v>0.24679713089265723</v>
      </c>
      <c r="DY11" s="282">
        <f t="shared" si="31"/>
        <v>0.24419194533595609</v>
      </c>
      <c r="DZ11" s="282">
        <f t="shared" si="31"/>
        <v>0.24195100250367274</v>
      </c>
      <c r="EA11" s="282">
        <f t="shared" si="31"/>
        <v>0.23986201689103576</v>
      </c>
      <c r="EB11" s="282">
        <f t="shared" si="31"/>
        <v>0.23745551647375407</v>
      </c>
      <c r="EC11" s="282">
        <f t="shared" si="31"/>
        <v>0.23564313488559432</v>
      </c>
      <c r="ED11" s="282">
        <f t="shared" si="31"/>
        <v>0.23405134136015365</v>
      </c>
      <c r="EE11" s="282">
        <f t="shared" si="31"/>
        <v>0.23220648791858781</v>
      </c>
      <c r="EF11" s="282">
        <f t="shared" si="31"/>
        <v>0.22976508014821895</v>
      </c>
      <c r="EG11" s="282">
        <f t="shared" si="31"/>
        <v>0.22790695287603466</v>
      </c>
      <c r="EH11" s="282">
        <f t="shared" si="31"/>
        <v>0.22624564281320483</v>
      </c>
      <c r="EI11" s="282">
        <f t="shared" si="31"/>
        <v>0.2245473289980609</v>
      </c>
      <c r="EJ11" s="282">
        <f t="shared" si="31"/>
        <v>0.22253001868967459</v>
      </c>
      <c r="EK11" s="282">
        <f t="shared" si="31"/>
        <v>0.22119848618722451</v>
      </c>
      <c r="EL11" s="282">
        <f t="shared" si="31"/>
        <v>0.21961933398789069</v>
      </c>
      <c r="EM11" s="282">
        <f t="shared" si="31"/>
        <v>0.21767592436567146</v>
      </c>
      <c r="EN11" s="282">
        <f t="shared" si="31"/>
        <v>0.21654968975689146</v>
      </c>
      <c r="EO11" s="282">
        <f t="shared" si="31"/>
        <v>0.21456226376545101</v>
      </c>
      <c r="EP11" s="282">
        <f t="shared" si="31"/>
        <v>0.21392966430924487</v>
      </c>
      <c r="EQ11" s="282">
        <f t="shared" si="31"/>
        <v>0.21268982414946019</v>
      </c>
      <c r="ER11" s="282">
        <f t="shared" si="31"/>
        <v>0.21088615591534801</v>
      </c>
      <c r="ES11" s="282">
        <f t="shared" si="31"/>
        <v>0.20929925301082372</v>
      </c>
      <c r="ET11" s="282">
        <f t="shared" si="31"/>
        <v>0.20799715837012228</v>
      </c>
      <c r="EU11" s="282">
        <f t="shared" si="31"/>
        <v>0.20660301742068363</v>
      </c>
      <c r="EV11" s="282">
        <f t="shared" si="31"/>
        <v>0.20428438530143386</v>
      </c>
      <c r="EW11" s="282">
        <f t="shared" si="31"/>
        <v>0.20229539306335043</v>
      </c>
      <c r="EX11" s="282">
        <f t="shared" si="31"/>
        <v>0.19987614415611879</v>
      </c>
      <c r="EY11" s="282">
        <f t="shared" si="31"/>
        <v>0.19786887970148201</v>
      </c>
      <c r="EZ11" s="282">
        <f t="shared" si="31"/>
        <v>0.19648900169204739</v>
      </c>
      <c r="FA11" s="282">
        <f t="shared" si="31"/>
        <v>0.19477259005836184</v>
      </c>
      <c r="FB11" s="282">
        <f t="shared" si="31"/>
        <v>0.19334978464198299</v>
      </c>
      <c r="FC11" s="282">
        <f t="shared" si="31"/>
        <v>0.19083195260330371</v>
      </c>
      <c r="FD11" s="282">
        <f t="shared" si="31"/>
        <v>0.19030009884546489</v>
      </c>
      <c r="FE11" s="282">
        <f t="shared" si="31"/>
        <v>0.18849267009146722</v>
      </c>
      <c r="FF11" s="282">
        <f t="shared" si="31"/>
        <v>0.18673736599922891</v>
      </c>
      <c r="FG11" s="282">
        <f t="shared" si="31"/>
        <v>0.18571935985752377</v>
      </c>
      <c r="FH11" s="282">
        <f t="shared" si="31"/>
        <v>0.18470332742567586</v>
      </c>
      <c r="FI11" s="282">
        <f t="shared" si="31"/>
        <v>0.18253135735201267</v>
      </c>
      <c r="FJ11" s="282">
        <f t="shared" si="31"/>
        <v>0.18096089829582154</v>
      </c>
      <c r="FK11" s="282">
        <f t="shared" si="31"/>
        <v>0.17920504481243327</v>
      </c>
      <c r="FL11" s="282">
        <f t="shared" si="31"/>
        <v>0.17673238375608355</v>
      </c>
      <c r="FM11" s="282">
        <f t="shared" si="31"/>
        <v>0.17531856285051822</v>
      </c>
      <c r="FN11" s="282">
        <f t="shared" si="31"/>
        <v>0.17390507514141645</v>
      </c>
      <c r="FO11" s="282">
        <f t="shared" si="31"/>
        <v>0.172521039151116</v>
      </c>
      <c r="FP11" s="282">
        <f t="shared" si="31"/>
        <v>0.17153740878166393</v>
      </c>
      <c r="FQ11" s="282">
        <f t="shared" si="31"/>
        <v>0.17060081069205058</v>
      </c>
      <c r="FR11" s="282">
        <f t="shared" ref="FR11:FT11" si="32">SUM(FR8)/FR10</f>
        <v>0.16933289963924536</v>
      </c>
      <c r="FS11" s="282">
        <f t="shared" si="32"/>
        <v>0.16812691349760289</v>
      </c>
      <c r="FT11" s="282">
        <f t="shared" si="32"/>
        <v>0.16698726305794842</v>
      </c>
    </row>
    <row r="12" spans="2:182" s="188" customFormat="1" ht="13.8" thickBot="1" x14ac:dyDescent="0.3">
      <c r="B12" s="266" t="s">
        <v>11</v>
      </c>
      <c r="C12" s="260">
        <f t="shared" ref="C12:H12" si="33">SUM(C9/C10)</f>
        <v>8.1400453647472015E-3</v>
      </c>
      <c r="D12" s="261">
        <f t="shared" si="33"/>
        <v>1.2996705316999473E-2</v>
      </c>
      <c r="E12" s="261">
        <f t="shared" si="33"/>
        <v>1.5656522430215071E-2</v>
      </c>
      <c r="F12" s="261">
        <f t="shared" si="33"/>
        <v>2.1551153924787434E-2</v>
      </c>
      <c r="G12" s="261">
        <f t="shared" si="33"/>
        <v>2.4339151520971887E-2</v>
      </c>
      <c r="H12" s="261">
        <f t="shared" si="33"/>
        <v>2.0623286926912905E-2</v>
      </c>
      <c r="I12" s="261">
        <f t="shared" ref="I12:Q12" si="34">SUM(I9/I10)</f>
        <v>3.0065562787136294E-2</v>
      </c>
      <c r="J12" s="261">
        <f t="shared" si="34"/>
        <v>3.5659768848489024E-2</v>
      </c>
      <c r="K12" s="261">
        <f t="shared" si="34"/>
        <v>3.7734348821227559E-2</v>
      </c>
      <c r="L12" s="261">
        <f t="shared" si="34"/>
        <v>4.1697072549851506E-2</v>
      </c>
      <c r="M12" s="261">
        <f t="shared" si="34"/>
        <v>4.4664857791850997E-2</v>
      </c>
      <c r="N12" s="267">
        <f t="shared" si="34"/>
        <v>4.8377554271150959E-2</v>
      </c>
      <c r="O12" s="260">
        <f t="shared" si="34"/>
        <v>5.4701606005891856E-2</v>
      </c>
      <c r="P12" s="261">
        <f t="shared" si="34"/>
        <v>5.5948541596137054E-2</v>
      </c>
      <c r="Q12" s="261">
        <f t="shared" si="34"/>
        <v>5.7447363120416116E-2</v>
      </c>
      <c r="R12" s="261">
        <f>SUM(R9/R10)</f>
        <v>5.9342606538495615E-2</v>
      </c>
      <c r="S12" s="261">
        <f>SUM(S9/S10)</f>
        <v>5.9993998835067987E-2</v>
      </c>
      <c r="T12" s="261">
        <f>SUM(T9/T10)</f>
        <v>6.6713656387665202E-2</v>
      </c>
      <c r="U12" s="261">
        <f t="shared" ref="U12:Z12" si="35">SUM(U9/U10)</f>
        <v>8.5665992115944736E-2</v>
      </c>
      <c r="V12" s="261">
        <f t="shared" si="35"/>
        <v>9.4668962096232961E-2</v>
      </c>
      <c r="W12" s="261">
        <f t="shared" si="35"/>
        <v>0.10378716781402832</v>
      </c>
      <c r="X12" s="261">
        <f t="shared" si="35"/>
        <v>0.11372232324934203</v>
      </c>
      <c r="Y12" s="261">
        <f t="shared" si="35"/>
        <v>0.12252595740711592</v>
      </c>
      <c r="Z12" s="267">
        <f t="shared" si="35"/>
        <v>0.13085652807662942</v>
      </c>
      <c r="AA12" s="261">
        <f t="shared" ref="AA12:AF12" si="36">SUM(AA9/AA10)</f>
        <v>0.13979826272142779</v>
      </c>
      <c r="AB12" s="261">
        <f t="shared" si="36"/>
        <v>0.14336169622419015</v>
      </c>
      <c r="AC12" s="261">
        <f t="shared" si="36"/>
        <v>0.14678412777063971</v>
      </c>
      <c r="AD12" s="261">
        <f t="shared" si="36"/>
        <v>0.15291153222187706</v>
      </c>
      <c r="AE12" s="261">
        <f t="shared" si="36"/>
        <v>0.16082556085548083</v>
      </c>
      <c r="AF12" s="261">
        <f t="shared" si="36"/>
        <v>0.17214583558511154</v>
      </c>
      <c r="AG12" s="261">
        <f t="shared" ref="AG12:AL12" si="37">SUM(AG9/AG10)</f>
        <v>0.17653422954744258</v>
      </c>
      <c r="AH12" s="261">
        <f t="shared" si="37"/>
        <v>0.18421249791086752</v>
      </c>
      <c r="AI12" s="261">
        <f t="shared" si="37"/>
        <v>0.19437585970728227</v>
      </c>
      <c r="AJ12" s="261">
        <f t="shared" si="37"/>
        <v>0.20030416941662602</v>
      </c>
      <c r="AK12" s="261">
        <f t="shared" si="37"/>
        <v>0.20552712619202987</v>
      </c>
      <c r="AL12" s="261">
        <f t="shared" si="37"/>
        <v>0.21155949538158475</v>
      </c>
      <c r="AM12" s="272">
        <f t="shared" ref="AM12:AR12" si="38">SUM(AM9/AM10)</f>
        <v>0.21586368910507395</v>
      </c>
      <c r="AN12" s="261">
        <f t="shared" si="38"/>
        <v>0.21965215603873561</v>
      </c>
      <c r="AO12" s="261">
        <f t="shared" si="38"/>
        <v>0.22309908984564467</v>
      </c>
      <c r="AP12" s="261">
        <f t="shared" si="38"/>
        <v>0.22697359081953064</v>
      </c>
      <c r="AQ12" s="261">
        <f t="shared" si="38"/>
        <v>0.23189293757906859</v>
      </c>
      <c r="AR12" s="261">
        <f t="shared" si="38"/>
        <v>0.23756199189293237</v>
      </c>
      <c r="AS12" s="261">
        <f t="shared" ref="AS12:BD12" si="39">SUM(AS9/AS10)</f>
        <v>0.24387522794459107</v>
      </c>
      <c r="AT12" s="261">
        <f t="shared" si="39"/>
        <v>0.25073659565564083</v>
      </c>
      <c r="AU12" s="261">
        <f t="shared" si="39"/>
        <v>0.25799006487320236</v>
      </c>
      <c r="AV12" s="261">
        <f t="shared" si="39"/>
        <v>0.26528260967785661</v>
      </c>
      <c r="AW12" s="261">
        <f t="shared" si="39"/>
        <v>0.27219629464512451</v>
      </c>
      <c r="AX12" s="261">
        <f t="shared" si="39"/>
        <v>0.27768666282304605</v>
      </c>
      <c r="AY12" s="272">
        <f t="shared" si="39"/>
        <v>0.28606340485058906</v>
      </c>
      <c r="AZ12" s="261">
        <f t="shared" si="39"/>
        <v>0.29170854976835603</v>
      </c>
      <c r="BA12" s="261">
        <f t="shared" si="39"/>
        <v>0.29596922956159977</v>
      </c>
      <c r="BB12" s="261">
        <f t="shared" si="39"/>
        <v>0.30180909121346383</v>
      </c>
      <c r="BC12" s="261">
        <f t="shared" si="39"/>
        <v>0.30683797909407667</v>
      </c>
      <c r="BD12" s="261">
        <f t="shared" si="39"/>
        <v>0.31329704553431648</v>
      </c>
      <c r="BE12" s="261">
        <f t="shared" ref="BE12:BJ12" si="40">SUM(BE9/BE10)</f>
        <v>0.32166450542906594</v>
      </c>
      <c r="BF12" s="261">
        <f t="shared" si="40"/>
        <v>0.32749256469411014</v>
      </c>
      <c r="BG12" s="261">
        <f t="shared" si="40"/>
        <v>0.33241756717006055</v>
      </c>
      <c r="BH12" s="261">
        <f t="shared" si="40"/>
        <v>0.33628214002329782</v>
      </c>
      <c r="BI12" s="261">
        <f t="shared" si="40"/>
        <v>0.34215345894989946</v>
      </c>
      <c r="BJ12" s="267">
        <f t="shared" si="40"/>
        <v>0.34743440184417196</v>
      </c>
      <c r="BK12" s="261">
        <f t="shared" ref="BK12:BP12" si="41">SUM(BK9/BK10)</f>
        <v>0.35282937413448007</v>
      </c>
      <c r="BL12" s="261">
        <f t="shared" si="41"/>
        <v>0.35762483887238694</v>
      </c>
      <c r="BM12" s="261">
        <f t="shared" si="41"/>
        <v>0.36372219832282071</v>
      </c>
      <c r="BN12" s="261">
        <f t="shared" si="41"/>
        <v>0.37054421047344244</v>
      </c>
      <c r="BO12" s="261">
        <f t="shared" si="41"/>
        <v>0.37834707061706391</v>
      </c>
      <c r="BP12" s="261">
        <f t="shared" si="41"/>
        <v>0.38507986192045995</v>
      </c>
      <c r="BQ12" s="261">
        <f t="shared" ref="BQ12:BV12" si="42">SUM(BQ9/BQ10)</f>
        <v>0.39355993839070746</v>
      </c>
      <c r="BR12" s="261">
        <f t="shared" si="42"/>
        <v>0.40155078315658693</v>
      </c>
      <c r="BS12" s="261">
        <f t="shared" si="42"/>
        <v>0.4093344043431294</v>
      </c>
      <c r="BT12" s="261">
        <f t="shared" si="42"/>
        <v>0.41824285776978104</v>
      </c>
      <c r="BU12" s="261">
        <f t="shared" si="42"/>
        <v>0.42667010179302634</v>
      </c>
      <c r="BV12" s="267">
        <f t="shared" si="42"/>
        <v>0.43607180824830399</v>
      </c>
      <c r="BW12" s="272">
        <f t="shared" ref="BW12:CB12" si="43">SUM(BW9/BW10)</f>
        <v>0.44658627949580293</v>
      </c>
      <c r="BX12" s="261">
        <f t="shared" si="43"/>
        <v>0.4544610071690855</v>
      </c>
      <c r="BY12" s="261">
        <f t="shared" si="43"/>
        <v>0.46446571617349142</v>
      </c>
      <c r="BZ12" s="261">
        <f t="shared" si="43"/>
        <v>0.47564785984817609</v>
      </c>
      <c r="CA12" s="261">
        <f t="shared" si="43"/>
        <v>0.4861498550944871</v>
      </c>
      <c r="CB12" s="261">
        <f t="shared" si="43"/>
        <v>0.49431688650056993</v>
      </c>
      <c r="CC12" s="261">
        <f t="shared" ref="CC12:DK12" si="44">SUM(CC9/CC10)</f>
        <v>0.50560710792128971</v>
      </c>
      <c r="CD12" s="261">
        <f t="shared" si="44"/>
        <v>0.52577514358509303</v>
      </c>
      <c r="CE12" s="261">
        <f t="shared" si="44"/>
        <v>0.55587994042351108</v>
      </c>
      <c r="CF12" s="261">
        <f t="shared" si="44"/>
        <v>0.58540045198837132</v>
      </c>
      <c r="CG12" s="261">
        <f t="shared" si="44"/>
        <v>0.6055887773139268</v>
      </c>
      <c r="CH12" s="267">
        <f t="shared" si="44"/>
        <v>0.61422027698216031</v>
      </c>
      <c r="CI12" s="260">
        <f t="shared" si="44"/>
        <v>0.61837285262994168</v>
      </c>
      <c r="CJ12" s="261">
        <f t="shared" si="44"/>
        <v>0.62169358943448794</v>
      </c>
      <c r="CK12" s="261">
        <f t="shared" si="44"/>
        <v>0.62453652925282899</v>
      </c>
      <c r="CL12" s="261">
        <f t="shared" si="44"/>
        <v>0.62723895555496167</v>
      </c>
      <c r="CM12" s="261">
        <f t="shared" si="44"/>
        <v>0.63030665733353997</v>
      </c>
      <c r="CN12" s="261">
        <f t="shared" si="44"/>
        <v>0.63388740175570768</v>
      </c>
      <c r="CO12" s="261">
        <f t="shared" si="44"/>
        <v>0.63779031931123509</v>
      </c>
      <c r="CP12" s="261">
        <f t="shared" si="44"/>
        <v>0.64180401270761822</v>
      </c>
      <c r="CQ12" s="261">
        <f t="shared" si="44"/>
        <v>0.64691373808724739</v>
      </c>
      <c r="CR12" s="261">
        <f t="shared" si="44"/>
        <v>0.65196459988271049</v>
      </c>
      <c r="CS12" s="261">
        <f t="shared" si="44"/>
        <v>0.65595057723906869</v>
      </c>
      <c r="CT12" s="267">
        <f t="shared" si="44"/>
        <v>0.65937221454229089</v>
      </c>
      <c r="CU12" s="272">
        <f t="shared" si="44"/>
        <v>0.66233246756017305</v>
      </c>
      <c r="CV12" s="261">
        <f t="shared" si="44"/>
        <v>0.66546158399053001</v>
      </c>
      <c r="CW12" s="261">
        <f t="shared" si="44"/>
        <v>0.66993178891809346</v>
      </c>
      <c r="CX12" s="261">
        <f t="shared" si="44"/>
        <v>0.67375366568914952</v>
      </c>
      <c r="CY12" s="261">
        <f t="shared" si="44"/>
        <v>0.67838295118833569</v>
      </c>
      <c r="CZ12" s="261">
        <f t="shared" si="44"/>
        <v>0.68265686565267125</v>
      </c>
      <c r="DA12" s="261">
        <f t="shared" si="44"/>
        <v>0.68709955610579387</v>
      </c>
      <c r="DB12" s="261">
        <f t="shared" si="44"/>
        <v>0.69179613780416249</v>
      </c>
      <c r="DC12" s="261">
        <f t="shared" si="44"/>
        <v>0.6960335198482519</v>
      </c>
      <c r="DD12" s="261">
        <f t="shared" si="44"/>
        <v>0.70023779327837665</v>
      </c>
      <c r="DE12" s="261">
        <f t="shared" si="44"/>
        <v>0.70471512459177266</v>
      </c>
      <c r="DF12" s="267">
        <f t="shared" si="44"/>
        <v>0.70808923948177405</v>
      </c>
      <c r="DG12" s="261">
        <f t="shared" si="44"/>
        <v>0.71090269513107041</v>
      </c>
      <c r="DH12" s="261">
        <f t="shared" si="44"/>
        <v>0.71358398678889046</v>
      </c>
      <c r="DI12" s="261">
        <f t="shared" si="44"/>
        <v>0.71703241921434047</v>
      </c>
      <c r="DJ12" s="261">
        <f t="shared" si="44"/>
        <v>0.72060327332413876</v>
      </c>
      <c r="DK12" s="261">
        <f t="shared" si="44"/>
        <v>0.72323215389612427</v>
      </c>
      <c r="DL12" s="261">
        <f t="shared" ref="DL12:DR12" si="45">SUM(DL9/DL10)</f>
        <v>0.72578897502604178</v>
      </c>
      <c r="DM12" s="261">
        <f t="shared" si="45"/>
        <v>0.72796818744741887</v>
      </c>
      <c r="DN12" s="261">
        <f t="shared" si="45"/>
        <v>0.72860282181241154</v>
      </c>
      <c r="DO12" s="261">
        <f t="shared" si="45"/>
        <v>0.7286884390651085</v>
      </c>
      <c r="DP12" s="261">
        <f t="shared" si="45"/>
        <v>0.73511202522394603</v>
      </c>
      <c r="DQ12" s="261">
        <f t="shared" si="45"/>
        <v>0.73784370628640628</v>
      </c>
      <c r="DR12" s="261">
        <f t="shared" si="45"/>
        <v>0.73968222505059777</v>
      </c>
      <c r="DS12" s="261">
        <f t="shared" ref="DS12:FQ12" si="46">SUM(DS9/DS10)</f>
        <v>0.74100892065313784</v>
      </c>
      <c r="DT12" s="261">
        <f t="shared" si="46"/>
        <v>0.74315234690948939</v>
      </c>
      <c r="DU12" s="261">
        <f t="shared" si="46"/>
        <v>0.74555358052411103</v>
      </c>
      <c r="DV12" s="354">
        <f t="shared" si="46"/>
        <v>0.74747710708278825</v>
      </c>
      <c r="DW12" s="354">
        <f t="shared" si="46"/>
        <v>0.74998444919032115</v>
      </c>
      <c r="DX12" s="354">
        <f t="shared" si="46"/>
        <v>0.7532028691073428</v>
      </c>
      <c r="DY12" s="354">
        <f t="shared" si="46"/>
        <v>0.75580805466404388</v>
      </c>
      <c r="DZ12" s="354">
        <f t="shared" si="46"/>
        <v>0.75804899749632726</v>
      </c>
      <c r="EA12" s="354">
        <f t="shared" si="46"/>
        <v>0.7601379831089643</v>
      </c>
      <c r="EB12" s="354">
        <f t="shared" si="46"/>
        <v>0.76254448352624593</v>
      </c>
      <c r="EC12" s="354">
        <f t="shared" si="46"/>
        <v>0.7643568651144057</v>
      </c>
      <c r="ED12" s="354">
        <f t="shared" si="46"/>
        <v>0.7659486586398464</v>
      </c>
      <c r="EE12" s="354">
        <f t="shared" si="46"/>
        <v>0.76779351208141222</v>
      </c>
      <c r="EF12" s="354">
        <f t="shared" si="46"/>
        <v>0.77023491985178105</v>
      </c>
      <c r="EG12" s="354">
        <f t="shared" si="46"/>
        <v>0.77209304712396531</v>
      </c>
      <c r="EH12" s="354">
        <f t="shared" si="46"/>
        <v>0.77375435718679519</v>
      </c>
      <c r="EI12" s="354">
        <f t="shared" si="46"/>
        <v>0.77545267100193915</v>
      </c>
      <c r="EJ12" s="354">
        <f t="shared" si="46"/>
        <v>0.77746998131032541</v>
      </c>
      <c r="EK12" s="354">
        <f t="shared" si="46"/>
        <v>0.77880151381277551</v>
      </c>
      <c r="EL12" s="354">
        <f t="shared" si="46"/>
        <v>0.78038066601210931</v>
      </c>
      <c r="EM12" s="354">
        <f t="shared" si="46"/>
        <v>0.7823240756343286</v>
      </c>
      <c r="EN12" s="354">
        <f t="shared" si="46"/>
        <v>0.78345031024310852</v>
      </c>
      <c r="EO12" s="354">
        <f t="shared" si="46"/>
        <v>0.78543773623454893</v>
      </c>
      <c r="EP12" s="354">
        <f t="shared" si="46"/>
        <v>0.78607033569075513</v>
      </c>
      <c r="EQ12" s="354">
        <f t="shared" si="46"/>
        <v>0.78731017585053975</v>
      </c>
      <c r="ER12" s="354">
        <f t="shared" si="46"/>
        <v>0.78911384408465202</v>
      </c>
      <c r="ES12" s="354">
        <f t="shared" si="46"/>
        <v>0.79070074698917625</v>
      </c>
      <c r="ET12" s="354">
        <f t="shared" si="46"/>
        <v>0.79200284162987766</v>
      </c>
      <c r="EU12" s="354">
        <f t="shared" si="46"/>
        <v>0.79339698257931635</v>
      </c>
      <c r="EV12" s="354">
        <f t="shared" si="46"/>
        <v>0.79571561469856611</v>
      </c>
      <c r="EW12" s="354">
        <f t="shared" si="46"/>
        <v>0.79770460693664957</v>
      </c>
      <c r="EX12" s="354">
        <f t="shared" si="46"/>
        <v>0.80012385584388124</v>
      </c>
      <c r="EY12" s="354">
        <f t="shared" si="46"/>
        <v>0.80213112029851796</v>
      </c>
      <c r="EZ12" s="354">
        <f t="shared" si="46"/>
        <v>0.80351099830795258</v>
      </c>
      <c r="FA12" s="354">
        <f t="shared" si="46"/>
        <v>0.80522740994163811</v>
      </c>
      <c r="FB12" s="354">
        <f t="shared" si="46"/>
        <v>0.80665021535801695</v>
      </c>
      <c r="FC12" s="354">
        <f t="shared" si="46"/>
        <v>0.80916804739669634</v>
      </c>
      <c r="FD12" s="354">
        <f t="shared" si="46"/>
        <v>0.80969990115453505</v>
      </c>
      <c r="FE12" s="354">
        <f t="shared" si="46"/>
        <v>0.8115073299085328</v>
      </c>
      <c r="FF12" s="354">
        <f t="shared" si="46"/>
        <v>0.81326263400077103</v>
      </c>
      <c r="FG12" s="354">
        <f t="shared" si="46"/>
        <v>0.81428064014247625</v>
      </c>
      <c r="FH12" s="354">
        <f t="shared" si="46"/>
        <v>0.81529667257432414</v>
      </c>
      <c r="FI12" s="354">
        <f t="shared" si="46"/>
        <v>0.81746864264798735</v>
      </c>
      <c r="FJ12" s="354">
        <f t="shared" si="46"/>
        <v>0.81903910170417848</v>
      </c>
      <c r="FK12" s="354">
        <f t="shared" si="46"/>
        <v>0.82079495518756673</v>
      </c>
      <c r="FL12" s="354">
        <f t="shared" si="46"/>
        <v>0.82326761624391642</v>
      </c>
      <c r="FM12" s="354">
        <f t="shared" si="46"/>
        <v>0.82468143714948183</v>
      </c>
      <c r="FN12" s="354">
        <f t="shared" si="46"/>
        <v>0.8260949248585836</v>
      </c>
      <c r="FO12" s="354">
        <f t="shared" si="46"/>
        <v>0.82747896084888406</v>
      </c>
      <c r="FP12" s="354">
        <f t="shared" si="46"/>
        <v>0.8284625912183361</v>
      </c>
      <c r="FQ12" s="354">
        <f t="shared" si="46"/>
        <v>0.82939918930794942</v>
      </c>
      <c r="FR12" s="354">
        <f t="shared" ref="FR12:FT12" si="47">SUM(FR9/FR10)</f>
        <v>0.83066710036075464</v>
      </c>
      <c r="FS12" s="354">
        <f t="shared" si="47"/>
        <v>0.83187308650239711</v>
      </c>
      <c r="FT12" s="354">
        <f t="shared" si="47"/>
        <v>0.83301273694205158</v>
      </c>
    </row>
    <row r="13" spans="2:182" x14ac:dyDescent="0.25">
      <c r="B13" s="3"/>
      <c r="C13" s="38"/>
      <c r="N13" s="20"/>
      <c r="O13" s="38"/>
      <c r="Z13" s="20"/>
      <c r="AM13" s="74"/>
      <c r="AY13" s="74"/>
      <c r="BJ13" s="20"/>
      <c r="BV13" s="20"/>
      <c r="BW13" s="74"/>
      <c r="BX13" s="18"/>
      <c r="BY13" s="18"/>
      <c r="BZ13" s="18"/>
      <c r="CA13" s="18"/>
      <c r="CB13" s="18"/>
      <c r="CD13" s="18"/>
      <c r="CE13" s="18"/>
      <c r="CF13" s="18"/>
      <c r="CG13" s="18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18"/>
      <c r="CV13" s="18"/>
      <c r="CW13" s="18"/>
      <c r="CX13" s="18"/>
      <c r="DF13" s="66"/>
      <c r="DV13" s="302"/>
      <c r="DW13" s="302"/>
      <c r="DX13" s="302"/>
      <c r="EE13" s="302"/>
      <c r="EF13" s="302"/>
      <c r="EG13" s="302"/>
    </row>
    <row r="14" spans="2:182" x14ac:dyDescent="0.25">
      <c r="B14" s="55" t="s">
        <v>13</v>
      </c>
      <c r="C14" s="38"/>
      <c r="N14" s="20"/>
      <c r="O14" s="38"/>
      <c r="Z14" s="20"/>
      <c r="AM14" s="74"/>
      <c r="AY14" s="74"/>
      <c r="BJ14" s="20"/>
      <c r="BV14" s="20"/>
      <c r="BW14" s="74"/>
      <c r="BX14" s="18"/>
      <c r="BY14" s="18"/>
      <c r="BZ14" s="18"/>
      <c r="CA14" s="18"/>
      <c r="CB14" s="18"/>
      <c r="CD14" s="18"/>
      <c r="CE14" s="18"/>
      <c r="CF14" s="18"/>
      <c r="CG14" s="18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18"/>
      <c r="CV14" s="18"/>
      <c r="CW14" s="18"/>
      <c r="CX14" s="18"/>
      <c r="DF14" s="20"/>
      <c r="DV14" s="302"/>
      <c r="DW14" s="302"/>
      <c r="DX14" s="302"/>
      <c r="EE14" s="302"/>
      <c r="EF14" s="302"/>
      <c r="EG14" s="302" t="s">
        <v>93</v>
      </c>
    </row>
    <row r="15" spans="2:182" x14ac:dyDescent="0.25">
      <c r="B15" s="3"/>
      <c r="C15" s="38"/>
      <c r="N15" s="20"/>
      <c r="O15" s="38"/>
      <c r="Z15" s="20"/>
      <c r="AM15" s="74"/>
      <c r="AY15" s="74"/>
      <c r="BJ15" s="20"/>
      <c r="BV15" s="20"/>
      <c r="BW15" s="74"/>
      <c r="BX15" s="18"/>
      <c r="BY15" s="18"/>
      <c r="BZ15" s="18"/>
      <c r="CA15" s="18"/>
      <c r="CB15" s="18"/>
      <c r="CD15" s="18"/>
      <c r="CE15" s="18"/>
      <c r="CF15" s="18"/>
      <c r="CG15" s="18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18"/>
      <c r="CV15" s="18"/>
      <c r="CW15" s="18"/>
      <c r="CX15" s="18"/>
      <c r="DF15" s="20"/>
      <c r="DV15" s="302"/>
      <c r="DW15" s="302"/>
      <c r="DX15" s="302"/>
      <c r="EE15" s="302"/>
      <c r="EF15" s="302"/>
      <c r="EG15" s="302"/>
    </row>
    <row r="16" spans="2:182" s="68" customFormat="1" x14ac:dyDescent="0.25">
      <c r="B16" s="87" t="s">
        <v>1</v>
      </c>
      <c r="C16" s="71">
        <v>27209</v>
      </c>
      <c r="D16" s="69">
        <v>26827</v>
      </c>
      <c r="E16" s="69">
        <v>26498</v>
      </c>
      <c r="F16" s="69">
        <v>26878</v>
      </c>
      <c r="G16" s="69">
        <v>26869</v>
      </c>
      <c r="H16" s="69">
        <v>27095</v>
      </c>
      <c r="I16" s="69">
        <v>26948</v>
      </c>
      <c r="J16" s="69">
        <v>27743</v>
      </c>
      <c r="K16" s="69">
        <v>27668</v>
      </c>
      <c r="L16" s="69">
        <v>27826</v>
      </c>
      <c r="M16" s="69">
        <v>27701</v>
      </c>
      <c r="N16" s="89">
        <v>27804</v>
      </c>
      <c r="O16" s="71">
        <f>11659+15233</f>
        <v>26892</v>
      </c>
      <c r="P16" s="69">
        <f>11619+15215</f>
        <v>26834</v>
      </c>
      <c r="Q16" s="69">
        <f>11726+15262</f>
        <v>26988</v>
      </c>
      <c r="R16" s="69">
        <f>11760+15348</f>
        <v>27108</v>
      </c>
      <c r="S16" s="69">
        <f>11797+15388</f>
        <v>27185</v>
      </c>
      <c r="T16" s="69">
        <f>11655+15328</f>
        <v>26983</v>
      </c>
      <c r="U16" s="69">
        <f>11626+15281</f>
        <v>26907</v>
      </c>
      <c r="V16" s="69">
        <f>11210+15199</f>
        <v>26409</v>
      </c>
      <c r="W16" s="69">
        <f>10959+15025</f>
        <v>25984</v>
      </c>
      <c r="X16" s="69">
        <f>10980+15046</f>
        <v>26026</v>
      </c>
      <c r="Y16" s="69">
        <f>10884+14754</f>
        <v>25638</v>
      </c>
      <c r="Z16" s="89">
        <f>10940+14720</f>
        <v>25660</v>
      </c>
      <c r="AA16" s="68">
        <f>10818+14504</f>
        <v>25322</v>
      </c>
      <c r="AB16" s="68">
        <f>10686+14321</f>
        <v>25007</v>
      </c>
      <c r="AC16" s="68">
        <f>10470+14329</f>
        <v>24799</v>
      </c>
      <c r="AD16" s="68">
        <f>10188+14519</f>
        <v>24707</v>
      </c>
      <c r="AE16" s="68">
        <f>9973+14358</f>
        <v>24331</v>
      </c>
      <c r="AF16" s="68">
        <f>9856+14258</f>
        <v>24114</v>
      </c>
      <c r="AG16" s="68">
        <f>9352+14482</f>
        <v>23834</v>
      </c>
      <c r="AH16" s="68">
        <f>9393+14149</f>
        <v>23542</v>
      </c>
      <c r="AI16" s="68">
        <f>9480+14066</f>
        <v>23546</v>
      </c>
      <c r="AJ16" s="68">
        <f>9216+13985</f>
        <v>23201</v>
      </c>
      <c r="AK16" s="68">
        <f>9264+13849</f>
        <v>23113</v>
      </c>
      <c r="AL16" s="68">
        <f>9304+13737</f>
        <v>23041</v>
      </c>
      <c r="AM16" s="88">
        <f>9065+13620</f>
        <v>22685</v>
      </c>
      <c r="AN16" s="68">
        <f>8660+13360</f>
        <v>22020</v>
      </c>
      <c r="AO16" s="68">
        <f>8762+13252</f>
        <v>22014</v>
      </c>
      <c r="AP16" s="68">
        <f>8541+13250</f>
        <v>21791</v>
      </c>
      <c r="AQ16" s="68">
        <f>8599+13171</f>
        <v>21770</v>
      </c>
      <c r="AR16" s="68">
        <f>8705+13025</f>
        <v>21730</v>
      </c>
      <c r="AS16" s="68">
        <f>8506+12922</f>
        <v>21428</v>
      </c>
      <c r="AT16" s="68">
        <f>8468+12818</f>
        <v>21286</v>
      </c>
      <c r="AU16" s="68">
        <f>8553+12727</f>
        <v>21280</v>
      </c>
      <c r="AV16" s="68">
        <f>8284+12702</f>
        <v>20986</v>
      </c>
      <c r="AW16" s="68">
        <f>8332+12882</f>
        <v>21214</v>
      </c>
      <c r="AX16" s="68">
        <f>8464+12556</f>
        <v>21020</v>
      </c>
      <c r="AY16" s="88">
        <f>20713+9</f>
        <v>20722</v>
      </c>
      <c r="AZ16" s="68">
        <f>20894+9</f>
        <v>20903</v>
      </c>
      <c r="BA16" s="68">
        <f>21081+9</f>
        <v>21090</v>
      </c>
      <c r="BB16" s="68">
        <f>8310+12563</f>
        <v>20873</v>
      </c>
      <c r="BC16" s="68">
        <f>8395+12393</f>
        <v>20788</v>
      </c>
      <c r="BD16" s="68">
        <f>8517+12328</f>
        <v>20845</v>
      </c>
      <c r="BE16" s="68">
        <f>8308+12138</f>
        <v>20446</v>
      </c>
      <c r="BF16" s="68">
        <f>8378+11989</f>
        <v>20367</v>
      </c>
      <c r="BG16" s="68">
        <f>8392+11915</f>
        <v>20307</v>
      </c>
      <c r="BH16" s="68">
        <f>9813+11829</f>
        <v>21642</v>
      </c>
      <c r="BI16" s="68">
        <f>9806+11867</f>
        <v>21673</v>
      </c>
      <c r="BJ16" s="89">
        <f>10028+11802</f>
        <v>21830</v>
      </c>
      <c r="BK16" s="68">
        <f>9773+11579</f>
        <v>21352</v>
      </c>
      <c r="BL16" s="68">
        <f>9664+11311</f>
        <v>20975</v>
      </c>
      <c r="BM16" s="68">
        <f>9727+11248</f>
        <v>20975</v>
      </c>
      <c r="BN16" s="68">
        <f>9450+11037</f>
        <v>20487</v>
      </c>
      <c r="BO16" s="68">
        <f>9489+10993</f>
        <v>20482</v>
      </c>
      <c r="BP16" s="68">
        <f>9629+10976</f>
        <v>20605</v>
      </c>
      <c r="BQ16" s="68">
        <f>9301+10558</f>
        <v>19859</v>
      </c>
      <c r="BR16" s="68">
        <f>9247+10317</f>
        <v>19564</v>
      </c>
      <c r="BS16" s="68">
        <f>9236+10140</f>
        <v>19376</v>
      </c>
      <c r="BT16" s="68">
        <f>8616+9967</f>
        <v>18583</v>
      </c>
      <c r="BU16" s="68">
        <f>8581+9753</f>
        <v>18334</v>
      </c>
      <c r="BV16" s="89">
        <f>8549+9602</f>
        <v>18151</v>
      </c>
      <c r="BW16" s="88">
        <f>9233+8285</f>
        <v>17518</v>
      </c>
      <c r="BX16" s="69">
        <f>9099+8084</f>
        <v>17183</v>
      </c>
      <c r="BY16" s="69">
        <f>9030+7978</f>
        <v>17008</v>
      </c>
      <c r="BZ16" s="69">
        <f>9115+7409</f>
        <v>16524</v>
      </c>
      <c r="CA16" s="69">
        <f>9072+7295</f>
        <v>16367</v>
      </c>
      <c r="CB16" s="69">
        <f>9040+7217</f>
        <v>16257</v>
      </c>
      <c r="CC16" s="69">
        <f>8856+7064</f>
        <v>15920</v>
      </c>
      <c r="CD16" s="69">
        <f>8735+6828</f>
        <v>15563</v>
      </c>
      <c r="CE16" s="69">
        <f>8607+6586</f>
        <v>15193</v>
      </c>
      <c r="CF16" s="69">
        <f>8266+6190</f>
        <v>14456</v>
      </c>
      <c r="CG16" s="69">
        <f>7996+5794</f>
        <v>13790</v>
      </c>
      <c r="CH16" s="89">
        <f>7888+5559</f>
        <v>13447</v>
      </c>
      <c r="CI16" s="71">
        <f>7741+5381</f>
        <v>13122</v>
      </c>
      <c r="CJ16" s="69">
        <f>7658+5257</f>
        <v>12915</v>
      </c>
      <c r="CK16" s="69">
        <f>7570+5210</f>
        <v>12780</v>
      </c>
      <c r="CL16" s="69">
        <f>7343+5153</f>
        <v>12496</v>
      </c>
      <c r="CM16" s="69">
        <f>7295+5076</f>
        <v>12371</v>
      </c>
      <c r="CN16" s="69">
        <f>7228+4995</f>
        <v>12223</v>
      </c>
      <c r="CO16" s="69">
        <f>7233+4935</f>
        <v>12168</v>
      </c>
      <c r="CP16" s="69">
        <f>7152+4853</f>
        <v>12005</v>
      </c>
      <c r="CQ16" s="69">
        <f>7078+4729</f>
        <v>11807</v>
      </c>
      <c r="CR16" s="69">
        <f>6966+4666</f>
        <v>11632</v>
      </c>
      <c r="CS16" s="69">
        <f>6816+4600</f>
        <v>11416</v>
      </c>
      <c r="CT16" s="89">
        <f>6761+4558</f>
        <v>11319</v>
      </c>
      <c r="CU16" s="69">
        <f>6713+4513</f>
        <v>11226</v>
      </c>
      <c r="CV16" s="69">
        <f>6713+4474</f>
        <v>11187</v>
      </c>
      <c r="CW16" s="69">
        <f>6666+4450</f>
        <v>11116</v>
      </c>
      <c r="CX16" s="69">
        <f>6569+4413</f>
        <v>10982</v>
      </c>
      <c r="CY16" s="68">
        <f>6542+4368</f>
        <v>10910</v>
      </c>
      <c r="CZ16" s="68">
        <f>6463+4318</f>
        <v>10781</v>
      </c>
      <c r="DA16" s="297">
        <f>6360+4289</f>
        <v>10649</v>
      </c>
      <c r="DB16" s="68">
        <f>6269+4207</f>
        <v>10476</v>
      </c>
      <c r="DC16" s="68">
        <f>6211+4153</f>
        <v>10364</v>
      </c>
      <c r="DD16" s="68">
        <f>6161+4071</f>
        <v>10232</v>
      </c>
      <c r="DE16" s="68">
        <f>6052+4092</f>
        <v>10144</v>
      </c>
      <c r="DF16" s="89">
        <f>5999+4057</f>
        <v>10056</v>
      </c>
      <c r="DG16" s="68">
        <f>5717+4236</f>
        <v>9953</v>
      </c>
      <c r="DH16" s="297">
        <f>5690+4204</f>
        <v>9894</v>
      </c>
      <c r="DI16" s="68">
        <f>5719+4211</f>
        <v>9930</v>
      </c>
      <c r="DJ16" s="68">
        <f>5699+4207</f>
        <v>9906</v>
      </c>
      <c r="DK16" s="68">
        <f>5676+4198</f>
        <v>9874</v>
      </c>
      <c r="DL16" s="68">
        <f>5617+4219</f>
        <v>9836</v>
      </c>
      <c r="DM16" s="68">
        <f>5553+4250</f>
        <v>9803</v>
      </c>
      <c r="DN16" s="68">
        <f>5556+4215</f>
        <v>9771</v>
      </c>
      <c r="DO16" s="68">
        <f>5548+4229</f>
        <v>9777</v>
      </c>
      <c r="DP16" s="68">
        <v>9613</v>
      </c>
      <c r="DQ16" s="68">
        <v>9412</v>
      </c>
      <c r="DR16" s="68">
        <v>9336</v>
      </c>
      <c r="DS16" s="68">
        <f>5259+4032</f>
        <v>9291</v>
      </c>
      <c r="DT16" s="68">
        <f>5139+3995</f>
        <v>9134</v>
      </c>
      <c r="DU16" s="68">
        <f>5065+3944</f>
        <v>9009</v>
      </c>
      <c r="DV16" s="351">
        <f>5034+3896</f>
        <v>8930</v>
      </c>
      <c r="DW16" s="351">
        <f>4449+3422</f>
        <v>7871</v>
      </c>
      <c r="DX16" s="351">
        <f>1638+1113</f>
        <v>2751</v>
      </c>
      <c r="DY16" s="351">
        <f>1353+361</f>
        <v>1714</v>
      </c>
      <c r="DZ16" s="351">
        <f>1341+349</f>
        <v>1690</v>
      </c>
      <c r="EA16" s="351">
        <f>1320+332</f>
        <v>1652</v>
      </c>
      <c r="EB16" s="297">
        <v>1609</v>
      </c>
      <c r="EC16" s="68">
        <v>1568</v>
      </c>
      <c r="ED16" s="68">
        <v>1551</v>
      </c>
      <c r="EE16" s="351">
        <f>1220+315</f>
        <v>1535</v>
      </c>
      <c r="EF16" s="351">
        <f>1188+310</f>
        <v>1498</v>
      </c>
      <c r="EG16" s="351">
        <f>1176+307</f>
        <v>1483</v>
      </c>
      <c r="EH16" s="351">
        <f>1166+306</f>
        <v>1472</v>
      </c>
      <c r="EI16" s="351">
        <f>1163+310</f>
        <v>1473</v>
      </c>
      <c r="EJ16" s="351">
        <f>1132+312</f>
        <v>1444</v>
      </c>
      <c r="EK16" s="351">
        <f>1134+322</f>
        <v>1456</v>
      </c>
      <c r="EL16" s="351">
        <f>1133+323</f>
        <v>1456</v>
      </c>
      <c r="EM16" s="351">
        <f>1118+322</f>
        <v>1440</v>
      </c>
      <c r="EN16" s="351">
        <f>1131+324</f>
        <v>1455</v>
      </c>
      <c r="EO16" s="351">
        <f>1092+316</f>
        <v>1408</v>
      </c>
      <c r="EP16" s="351">
        <f>1101+336</f>
        <v>1437</v>
      </c>
      <c r="EQ16" s="351">
        <f>1084+337</f>
        <v>1421</v>
      </c>
      <c r="ER16" s="351">
        <f>1089+336</f>
        <v>1425</v>
      </c>
      <c r="ES16" s="351">
        <f>1075+342</f>
        <v>1417</v>
      </c>
      <c r="ET16" s="351">
        <f>1048+337</f>
        <v>1385</v>
      </c>
      <c r="EU16" s="351">
        <f>1045+340</f>
        <v>1385</v>
      </c>
      <c r="EV16" s="351">
        <f>1027+340</f>
        <v>1367</v>
      </c>
      <c r="EW16" s="351">
        <f>1017+337</f>
        <v>1354</v>
      </c>
      <c r="EX16" s="351">
        <f>1010+335</f>
        <v>1345</v>
      </c>
      <c r="EY16" s="351">
        <f>1008+335</f>
        <v>1343</v>
      </c>
      <c r="EZ16" s="68">
        <v>1373</v>
      </c>
      <c r="FA16" s="68">
        <v>1374</v>
      </c>
      <c r="FB16" s="68">
        <v>1384</v>
      </c>
      <c r="FC16" s="68">
        <v>1412</v>
      </c>
      <c r="FD16" s="68">
        <v>1418</v>
      </c>
      <c r="FE16" s="68">
        <v>1433</v>
      </c>
      <c r="FF16" s="68">
        <v>1480</v>
      </c>
      <c r="FG16" s="68">
        <v>1490</v>
      </c>
      <c r="FH16" s="68">
        <v>1503</v>
      </c>
      <c r="FI16" s="68">
        <f xml:space="preserve"> 1156+418</f>
        <v>1574</v>
      </c>
      <c r="FJ16" s="68">
        <f xml:space="preserve"> 1150+409</f>
        <v>1559</v>
      </c>
      <c r="FK16" s="68">
        <f xml:space="preserve"> 1142+402</f>
        <v>1544</v>
      </c>
      <c r="FL16" s="68">
        <f xml:space="preserve"> 1172+420</f>
        <v>1592</v>
      </c>
      <c r="FM16" s="68">
        <f xml:space="preserve"> 1172+411</f>
        <v>1583</v>
      </c>
      <c r="FN16" s="68">
        <f xml:space="preserve"> 1166+407</f>
        <v>1573</v>
      </c>
      <c r="FO16" s="68">
        <f xml:space="preserve"> 1170+420</f>
        <v>1590</v>
      </c>
      <c r="FP16" s="68">
        <f xml:space="preserve"> 1164+412</f>
        <v>1576</v>
      </c>
      <c r="FQ16" s="68">
        <f xml:space="preserve"> 1155+407</f>
        <v>1562</v>
      </c>
      <c r="FR16" s="68">
        <v>1601</v>
      </c>
      <c r="FS16" s="68">
        <v>1585</v>
      </c>
      <c r="FT16" s="68">
        <v>1565</v>
      </c>
    </row>
    <row r="17" spans="1:176" s="68" customFormat="1" ht="13.8" thickBot="1" x14ac:dyDescent="0.3">
      <c r="B17" s="90" t="s">
        <v>8</v>
      </c>
      <c r="C17" s="72">
        <v>1105</v>
      </c>
      <c r="D17" s="92">
        <v>1637</v>
      </c>
      <c r="E17" s="92">
        <v>1880</v>
      </c>
      <c r="F17" s="92">
        <v>2197</v>
      </c>
      <c r="G17" s="92">
        <v>2335</v>
      </c>
      <c r="H17" s="92">
        <v>2307</v>
      </c>
      <c r="I17" s="92">
        <v>2512</v>
      </c>
      <c r="J17" s="92">
        <v>2668</v>
      </c>
      <c r="K17" s="92">
        <v>2813</v>
      </c>
      <c r="L17" s="92">
        <v>2941</v>
      </c>
      <c r="M17" s="92">
        <v>3021</v>
      </c>
      <c r="N17" s="93">
        <v>3134</v>
      </c>
      <c r="O17" s="72">
        <f>957+2269</f>
        <v>3226</v>
      </c>
      <c r="P17" s="92">
        <f>962+2380</f>
        <v>3342</v>
      </c>
      <c r="Q17" s="92">
        <f>985+2414</f>
        <v>3399</v>
      </c>
      <c r="R17" s="69">
        <f>984+2346</f>
        <v>3330</v>
      </c>
      <c r="S17" s="69">
        <f>1001+2362</f>
        <v>3363</v>
      </c>
      <c r="T17" s="69">
        <f>1018+2405</f>
        <v>3423</v>
      </c>
      <c r="U17" s="69">
        <f>1063+2523</f>
        <v>3586</v>
      </c>
      <c r="V17" s="69">
        <f>1104+2632</f>
        <v>3736</v>
      </c>
      <c r="W17" s="69">
        <f>1147+2796</f>
        <v>3943</v>
      </c>
      <c r="X17" s="69">
        <f>1206+2889</f>
        <v>4095</v>
      </c>
      <c r="Y17" s="69">
        <f>1209+3076</f>
        <v>4285</v>
      </c>
      <c r="Z17" s="89">
        <f>1259+3312</f>
        <v>4571</v>
      </c>
      <c r="AA17" s="68">
        <f>1304+3488</f>
        <v>4792</v>
      </c>
      <c r="AB17" s="68">
        <f>1432+3677</f>
        <v>5109</v>
      </c>
      <c r="AC17" s="68">
        <f>1503+3761</f>
        <v>5264</v>
      </c>
      <c r="AD17" s="68">
        <f>1473+3945</f>
        <v>5418</v>
      </c>
      <c r="AE17" s="68">
        <f>1497+4041</f>
        <v>5538</v>
      </c>
      <c r="AF17" s="68">
        <f>1654+4332</f>
        <v>5986</v>
      </c>
      <c r="AG17" s="68">
        <f>1623+4485</f>
        <v>6108</v>
      </c>
      <c r="AH17" s="68">
        <f>1674+4497</f>
        <v>6171</v>
      </c>
      <c r="AI17" s="68">
        <f>1692+4595</f>
        <v>6287</v>
      </c>
      <c r="AJ17" s="68">
        <f>1769+4729</f>
        <v>6498</v>
      </c>
      <c r="AK17" s="68">
        <f>1823+4901</f>
        <v>6724</v>
      </c>
      <c r="AL17" s="68">
        <f>1846+4979</f>
        <v>6825</v>
      </c>
      <c r="AM17" s="88">
        <f>1867+5109</f>
        <v>6976</v>
      </c>
      <c r="AN17" s="68">
        <f>2367+5387</f>
        <v>7754</v>
      </c>
      <c r="AO17" s="68">
        <f>2389+5481</f>
        <v>7870</v>
      </c>
      <c r="AP17" s="68">
        <f>2431+5624</f>
        <v>8055</v>
      </c>
      <c r="AQ17" s="68">
        <f>2497+5770</f>
        <v>8267</v>
      </c>
      <c r="AR17" s="68">
        <f>2596+5925</f>
        <v>8521</v>
      </c>
      <c r="AS17" s="68">
        <f>2640+6095</f>
        <v>8735</v>
      </c>
      <c r="AT17" s="68">
        <f>2826+6224</f>
        <v>9050</v>
      </c>
      <c r="AU17" s="129">
        <f>2899+6323</f>
        <v>9222</v>
      </c>
      <c r="AV17" s="68">
        <f>2848+6432</f>
        <v>9280</v>
      </c>
      <c r="AW17" s="68">
        <f>2945+6676</f>
        <v>9621</v>
      </c>
      <c r="AX17" s="68">
        <f>3019+6596</f>
        <v>9615</v>
      </c>
      <c r="AY17" s="88">
        <f>9408+21</f>
        <v>9429</v>
      </c>
      <c r="AZ17" s="68">
        <f>9369+19</f>
        <v>9388</v>
      </c>
      <c r="BA17" s="68">
        <f>9498+24</f>
        <v>9522</v>
      </c>
      <c r="BB17" s="68">
        <f>2835+6820</f>
        <v>9655</v>
      </c>
      <c r="BC17" s="68">
        <f>2921+6978</f>
        <v>9899</v>
      </c>
      <c r="BD17" s="68">
        <f>3033+7129</f>
        <v>10162</v>
      </c>
      <c r="BE17" s="68">
        <f>2965+7254</f>
        <v>10219</v>
      </c>
      <c r="BF17" s="68">
        <f>3045+7420</f>
        <v>10465</v>
      </c>
      <c r="BG17" s="185">
        <f>7556+3112</f>
        <v>10668</v>
      </c>
      <c r="BH17" s="68">
        <f>4350+7696</f>
        <v>12046</v>
      </c>
      <c r="BI17" s="68">
        <f>4422+7950</f>
        <v>12372</v>
      </c>
      <c r="BJ17" s="89">
        <f>4461+7972</f>
        <v>12433</v>
      </c>
      <c r="BK17" s="68">
        <f>4495+8072</f>
        <v>12567</v>
      </c>
      <c r="BL17" s="68">
        <f>4623+8276</f>
        <v>12899</v>
      </c>
      <c r="BM17" s="68">
        <f>4726+8398</f>
        <v>13124</v>
      </c>
      <c r="BN17" s="68">
        <f>4838+8562</f>
        <v>13400</v>
      </c>
      <c r="BO17" s="68">
        <f>4951+8765</f>
        <v>13716</v>
      </c>
      <c r="BP17" s="68">
        <f>5156+9034</f>
        <v>14190</v>
      </c>
      <c r="BQ17" s="68">
        <f>5155+9047</f>
        <v>14202</v>
      </c>
      <c r="BR17" s="68">
        <f>5370+9323</f>
        <v>14693</v>
      </c>
      <c r="BS17" s="68">
        <f>5517+9532</f>
        <v>15049</v>
      </c>
      <c r="BT17" s="68">
        <f>4777+9681</f>
        <v>14458</v>
      </c>
      <c r="BU17" s="68">
        <f>4942+9889</f>
        <v>14831</v>
      </c>
      <c r="BV17" s="89">
        <f>5101+10057</f>
        <v>15158</v>
      </c>
      <c r="BW17" s="88">
        <f>5617+9452</f>
        <v>15069</v>
      </c>
      <c r="BX17" s="69">
        <f>5821+9666</f>
        <v>15487</v>
      </c>
      <c r="BY17" s="69">
        <f>6034+9818</f>
        <v>15852</v>
      </c>
      <c r="BZ17" s="69">
        <f>6174+9539</f>
        <v>15713</v>
      </c>
      <c r="CA17" s="69">
        <f>6304+9684</f>
        <v>15988</v>
      </c>
      <c r="CB17" s="69">
        <f>6687+9806</f>
        <v>16493</v>
      </c>
      <c r="CC17" s="69">
        <f>6370+9989</f>
        <v>16359</v>
      </c>
      <c r="CD17" s="69">
        <f>6545+10220</f>
        <v>16765</v>
      </c>
      <c r="CE17" s="69">
        <f>6764+10492</f>
        <v>17256</v>
      </c>
      <c r="CF17" s="69">
        <f>6908+10825</f>
        <v>17733</v>
      </c>
      <c r="CG17" s="69">
        <f>7243+11270</f>
        <v>18513</v>
      </c>
      <c r="CH17" s="93">
        <f>7394+11514</f>
        <v>18908</v>
      </c>
      <c r="CI17" s="72">
        <f>7459+11650</f>
        <v>19109</v>
      </c>
      <c r="CJ17" s="92">
        <f>7615+11807</f>
        <v>19422</v>
      </c>
      <c r="CK17" s="92">
        <f>7689+11896</f>
        <v>19585</v>
      </c>
      <c r="CL17" s="92">
        <f>7630+12063</f>
        <v>19693</v>
      </c>
      <c r="CM17" s="92">
        <f>7718+12154</f>
        <v>19872</v>
      </c>
      <c r="CN17" s="92">
        <f>7873+12256</f>
        <v>20129</v>
      </c>
      <c r="CO17" s="92">
        <f>7716+12359</f>
        <v>20075</v>
      </c>
      <c r="CP17" s="92">
        <f>7861+12454</f>
        <v>20315</v>
      </c>
      <c r="CQ17" s="92">
        <f>7906+12567</f>
        <v>20473</v>
      </c>
      <c r="CR17" s="92">
        <f>7906+12626</f>
        <v>20532</v>
      </c>
      <c r="CS17" s="92">
        <f>8135+12696</f>
        <v>20831</v>
      </c>
      <c r="CT17" s="93">
        <f>8244+12738</f>
        <v>20982</v>
      </c>
      <c r="CU17" s="91">
        <f>8292+12774</f>
        <v>21066</v>
      </c>
      <c r="CV17" s="92">
        <f>8345+12832</f>
        <v>21177</v>
      </c>
      <c r="CW17" s="92">
        <f>8353+12878</f>
        <v>21231</v>
      </c>
      <c r="CX17" s="92">
        <f>8293+12920</f>
        <v>21213</v>
      </c>
      <c r="CY17" s="92">
        <f>8430+12960</f>
        <v>21390</v>
      </c>
      <c r="CZ17" s="92">
        <f>8410+13012</f>
        <v>21422</v>
      </c>
      <c r="DA17" s="92">
        <f>8488+13044</f>
        <v>21532</v>
      </c>
      <c r="DB17" s="92">
        <f>8584+13132</f>
        <v>21716</v>
      </c>
      <c r="DC17" s="92">
        <f>8641+13196</f>
        <v>21837</v>
      </c>
      <c r="DD17" s="92">
        <f>8713+13257</f>
        <v>21970</v>
      </c>
      <c r="DE17" s="92">
        <f>8576+13420</f>
        <v>21996</v>
      </c>
      <c r="DF17" s="93">
        <f>8686+13456</f>
        <v>22142</v>
      </c>
      <c r="DG17" s="91">
        <f>8155+13985</f>
        <v>22140</v>
      </c>
      <c r="DH17" s="92">
        <f>8195+14060</f>
        <v>22255</v>
      </c>
      <c r="DI17" s="92">
        <f>8244+14054</f>
        <v>22298</v>
      </c>
      <c r="DJ17" s="92">
        <f>8286+14143</f>
        <v>22429</v>
      </c>
      <c r="DK17" s="92">
        <f>8419+14144</f>
        <v>22563</v>
      </c>
      <c r="DL17" s="92">
        <f>8467+14161</f>
        <v>22628</v>
      </c>
      <c r="DM17" s="92">
        <f>8318+14244</f>
        <v>22562</v>
      </c>
      <c r="DN17" s="92">
        <f>8433+14272</f>
        <v>22705</v>
      </c>
      <c r="DO17" s="92">
        <f>8367+14296</f>
        <v>22663</v>
      </c>
      <c r="DP17" s="92">
        <v>22707</v>
      </c>
      <c r="DQ17" s="92">
        <v>22914</v>
      </c>
      <c r="DR17" s="92">
        <v>23075</v>
      </c>
      <c r="DS17" s="92">
        <v>22997</v>
      </c>
      <c r="DT17" s="92">
        <v>23198</v>
      </c>
      <c r="DU17" s="92">
        <v>23403</v>
      </c>
      <c r="DV17" s="352">
        <v>23626</v>
      </c>
      <c r="DW17" s="352">
        <v>24525</v>
      </c>
      <c r="DX17" s="352">
        <v>29826</v>
      </c>
      <c r="DY17" s="92">
        <v>30788</v>
      </c>
      <c r="DZ17" s="350">
        <v>30931</v>
      </c>
      <c r="EA17" s="92">
        <v>31055</v>
      </c>
      <c r="EB17" s="287">
        <v>30990</v>
      </c>
      <c r="EC17" s="92">
        <v>31075</v>
      </c>
      <c r="ED17" s="92">
        <v>31161</v>
      </c>
      <c r="EE17" s="92">
        <v>31435</v>
      </c>
      <c r="EF17" s="92">
        <v>31251</v>
      </c>
      <c r="EG17" s="92">
        <v>31167</v>
      </c>
      <c r="EH17" s="92">
        <v>31479</v>
      </c>
      <c r="EI17" s="92">
        <v>31510</v>
      </c>
      <c r="EJ17" s="92">
        <v>31451</v>
      </c>
      <c r="EK17" s="92">
        <v>31727</v>
      </c>
      <c r="EL17" s="92">
        <v>31804</v>
      </c>
      <c r="EM17" s="92">
        <v>31834</v>
      </c>
      <c r="EN17" s="92">
        <v>32131</v>
      </c>
      <c r="EO17" s="92">
        <v>31911</v>
      </c>
      <c r="EP17" s="92">
        <v>32179</v>
      </c>
      <c r="EQ17" s="92">
        <v>32179</v>
      </c>
      <c r="ER17" s="92">
        <v>32179</v>
      </c>
      <c r="ES17" s="92">
        <v>32179</v>
      </c>
      <c r="ET17" s="92">
        <v>32186</v>
      </c>
      <c r="EU17" s="92">
        <v>32172</v>
      </c>
      <c r="EV17" s="92">
        <v>32397</v>
      </c>
      <c r="EW17" s="92">
        <v>32479</v>
      </c>
      <c r="EX17" s="92">
        <v>32546</v>
      </c>
      <c r="EY17" s="92">
        <v>32697</v>
      </c>
      <c r="EZ17" s="92">
        <v>32675</v>
      </c>
      <c r="FA17" s="92">
        <v>32796</v>
      </c>
      <c r="FB17" s="92">
        <v>32833</v>
      </c>
      <c r="FC17" s="92">
        <v>32763</v>
      </c>
      <c r="FD17" s="92">
        <v>32960</v>
      </c>
      <c r="FE17" s="92">
        <v>33140</v>
      </c>
      <c r="FF17" s="92">
        <v>33240</v>
      </c>
      <c r="FG17" s="92">
        <v>33439</v>
      </c>
      <c r="FH17" s="92">
        <v>33510</v>
      </c>
      <c r="FI17" s="92">
        <v>33606</v>
      </c>
      <c r="FJ17" s="92">
        <v>33760</v>
      </c>
      <c r="FK17" s="92">
        <v>33903</v>
      </c>
      <c r="FL17" s="92">
        <v>33861</v>
      </c>
      <c r="FM17" s="92">
        <v>34026</v>
      </c>
      <c r="FN17" s="92">
        <v>34129</v>
      </c>
      <c r="FO17" s="92">
        <v>34060</v>
      </c>
      <c r="FP17" s="92">
        <v>34211</v>
      </c>
      <c r="FQ17" s="92">
        <v>34459</v>
      </c>
      <c r="FR17" s="92">
        <v>34366</v>
      </c>
      <c r="FS17" s="92">
        <v>34573</v>
      </c>
      <c r="FT17" s="92">
        <v>34791</v>
      </c>
    </row>
    <row r="18" spans="1:176" ht="13.8" thickTop="1" x14ac:dyDescent="0.25">
      <c r="B18" s="3" t="s">
        <v>9</v>
      </c>
      <c r="C18" s="35">
        <f t="shared" ref="C18:H18" si="48">SUM(C16:C17)</f>
        <v>28314</v>
      </c>
      <c r="D18" s="8">
        <f t="shared" si="48"/>
        <v>28464</v>
      </c>
      <c r="E18" s="8">
        <f t="shared" si="48"/>
        <v>28378</v>
      </c>
      <c r="F18" s="8">
        <f t="shared" si="48"/>
        <v>29075</v>
      </c>
      <c r="G18" s="8">
        <f t="shared" si="48"/>
        <v>29204</v>
      </c>
      <c r="H18" s="8">
        <f t="shared" si="48"/>
        <v>29402</v>
      </c>
      <c r="I18" s="8">
        <f t="shared" ref="I18:Q18" si="49">SUM(I16:I17)</f>
        <v>29460</v>
      </c>
      <c r="J18" s="8">
        <f t="shared" si="49"/>
        <v>30411</v>
      </c>
      <c r="K18" s="8">
        <f t="shared" si="49"/>
        <v>30481</v>
      </c>
      <c r="L18" s="8">
        <f t="shared" si="49"/>
        <v>30767</v>
      </c>
      <c r="M18" s="8">
        <f t="shared" si="49"/>
        <v>30722</v>
      </c>
      <c r="N18" s="10">
        <f t="shared" si="49"/>
        <v>30938</v>
      </c>
      <c r="O18" s="35">
        <f t="shared" si="49"/>
        <v>30118</v>
      </c>
      <c r="P18" s="8">
        <f t="shared" si="49"/>
        <v>30176</v>
      </c>
      <c r="Q18" s="8">
        <f t="shared" si="49"/>
        <v>30387</v>
      </c>
      <c r="R18" s="80">
        <f>SUM(R16:R17)</f>
        <v>30438</v>
      </c>
      <c r="S18" s="80">
        <f>SUM(S16:S17)</f>
        <v>30548</v>
      </c>
      <c r="T18" s="80">
        <f>SUM(T16:T17)</f>
        <v>30406</v>
      </c>
      <c r="U18" s="80">
        <f t="shared" ref="U18:Z18" si="50">SUM(U16:U17)</f>
        <v>30493</v>
      </c>
      <c r="V18" s="80">
        <f t="shared" si="50"/>
        <v>30145</v>
      </c>
      <c r="W18" s="80">
        <f t="shared" si="50"/>
        <v>29927</v>
      </c>
      <c r="X18" s="80">
        <f t="shared" si="50"/>
        <v>30121</v>
      </c>
      <c r="Y18" s="80">
        <f t="shared" si="50"/>
        <v>29923</v>
      </c>
      <c r="Z18" s="10">
        <f t="shared" si="50"/>
        <v>30231</v>
      </c>
      <c r="AA18" s="80">
        <f t="shared" ref="AA18:AF18" si="51">SUM(AA16:AA17)</f>
        <v>30114</v>
      </c>
      <c r="AB18" s="80">
        <f t="shared" si="51"/>
        <v>30116</v>
      </c>
      <c r="AC18" s="80">
        <f t="shared" si="51"/>
        <v>30063</v>
      </c>
      <c r="AD18" s="80">
        <f t="shared" si="51"/>
        <v>30125</v>
      </c>
      <c r="AE18" s="80">
        <f t="shared" si="51"/>
        <v>29869</v>
      </c>
      <c r="AF18" s="80">
        <f t="shared" si="51"/>
        <v>30100</v>
      </c>
      <c r="AG18" s="80">
        <f t="shared" ref="AG18:AL18" si="52">SUM(AG16:AG17)</f>
        <v>29942</v>
      </c>
      <c r="AH18" s="80">
        <f t="shared" si="52"/>
        <v>29713</v>
      </c>
      <c r="AI18" s="80">
        <f t="shared" si="52"/>
        <v>29833</v>
      </c>
      <c r="AJ18" s="80">
        <f t="shared" si="52"/>
        <v>29699</v>
      </c>
      <c r="AK18" s="80">
        <f t="shared" si="52"/>
        <v>29837</v>
      </c>
      <c r="AL18" s="80">
        <f t="shared" si="52"/>
        <v>29866</v>
      </c>
      <c r="AM18" s="194">
        <f t="shared" ref="AM18:AR18" si="53">SUM(AM16:AM17)</f>
        <v>29661</v>
      </c>
      <c r="AN18" s="80">
        <f t="shared" si="53"/>
        <v>29774</v>
      </c>
      <c r="AO18" s="80">
        <f t="shared" si="53"/>
        <v>29884</v>
      </c>
      <c r="AP18" s="80">
        <f t="shared" si="53"/>
        <v>29846</v>
      </c>
      <c r="AQ18" s="80">
        <f t="shared" si="53"/>
        <v>30037</v>
      </c>
      <c r="AR18" s="80">
        <f t="shared" si="53"/>
        <v>30251</v>
      </c>
      <c r="AS18" s="80">
        <f t="shared" ref="AS18:AX18" si="54">SUM(AS16:AS17)</f>
        <v>30163</v>
      </c>
      <c r="AT18" s="80">
        <f t="shared" si="54"/>
        <v>30336</v>
      </c>
      <c r="AU18" s="80">
        <f t="shared" si="54"/>
        <v>30502</v>
      </c>
      <c r="AV18" s="80">
        <f t="shared" si="54"/>
        <v>30266</v>
      </c>
      <c r="AW18" s="80">
        <f t="shared" si="54"/>
        <v>30835</v>
      </c>
      <c r="AX18" s="80">
        <f t="shared" si="54"/>
        <v>30635</v>
      </c>
      <c r="AY18" s="194">
        <f t="shared" ref="AY18:BJ18" si="55">SUM(AY16:AY17)</f>
        <v>30151</v>
      </c>
      <c r="AZ18" s="80">
        <f t="shared" si="55"/>
        <v>30291</v>
      </c>
      <c r="BA18" s="80">
        <f t="shared" si="55"/>
        <v>30612</v>
      </c>
      <c r="BB18" s="80">
        <f t="shared" si="55"/>
        <v>30528</v>
      </c>
      <c r="BC18" s="80">
        <f t="shared" si="55"/>
        <v>30687</v>
      </c>
      <c r="BD18" s="80">
        <f t="shared" si="55"/>
        <v>31007</v>
      </c>
      <c r="BE18" s="80">
        <f t="shared" si="55"/>
        <v>30665</v>
      </c>
      <c r="BF18" s="80">
        <f t="shared" si="55"/>
        <v>30832</v>
      </c>
      <c r="BG18" s="80">
        <f t="shared" si="55"/>
        <v>30975</v>
      </c>
      <c r="BH18" s="80">
        <f t="shared" si="55"/>
        <v>33688</v>
      </c>
      <c r="BI18" s="80">
        <f t="shared" si="55"/>
        <v>34045</v>
      </c>
      <c r="BJ18" s="10">
        <f t="shared" si="55"/>
        <v>34263</v>
      </c>
      <c r="BK18" s="80">
        <f t="shared" ref="BK18:BP18" si="56">SUM(BK16:BK17)</f>
        <v>33919</v>
      </c>
      <c r="BL18" s="80">
        <f t="shared" si="56"/>
        <v>33874</v>
      </c>
      <c r="BM18" s="80">
        <f t="shared" si="56"/>
        <v>34099</v>
      </c>
      <c r="BN18" s="80">
        <f t="shared" si="56"/>
        <v>33887</v>
      </c>
      <c r="BO18" s="80">
        <f t="shared" si="56"/>
        <v>34198</v>
      </c>
      <c r="BP18" s="80">
        <f t="shared" si="56"/>
        <v>34795</v>
      </c>
      <c r="BQ18" s="80">
        <f t="shared" ref="BQ18:BV18" si="57">SUM(BQ16:BQ17)</f>
        <v>34061</v>
      </c>
      <c r="BR18" s="80">
        <f t="shared" si="57"/>
        <v>34257</v>
      </c>
      <c r="BS18" s="80">
        <f t="shared" si="57"/>
        <v>34425</v>
      </c>
      <c r="BT18" s="80">
        <f t="shared" si="57"/>
        <v>33041</v>
      </c>
      <c r="BU18" s="80">
        <f t="shared" si="57"/>
        <v>33165</v>
      </c>
      <c r="BV18" s="10">
        <f t="shared" si="57"/>
        <v>33309</v>
      </c>
      <c r="BW18" s="194">
        <f t="shared" ref="BW18:CB18" si="58">SUM(BW16:BW17)</f>
        <v>32587</v>
      </c>
      <c r="BX18" s="80">
        <f t="shared" si="58"/>
        <v>32670</v>
      </c>
      <c r="BY18" s="80">
        <f t="shared" si="58"/>
        <v>32860</v>
      </c>
      <c r="BZ18" s="80">
        <f t="shared" si="58"/>
        <v>32237</v>
      </c>
      <c r="CA18" s="80">
        <f t="shared" si="58"/>
        <v>32355</v>
      </c>
      <c r="CB18" s="80">
        <f t="shared" si="58"/>
        <v>32750</v>
      </c>
      <c r="CC18" s="80">
        <f t="shared" ref="CC18:DK18" si="59">SUM(CC16:CC17)</f>
        <v>32279</v>
      </c>
      <c r="CD18" s="80">
        <f t="shared" si="59"/>
        <v>32328</v>
      </c>
      <c r="CE18" s="80">
        <f t="shared" si="59"/>
        <v>32449</v>
      </c>
      <c r="CF18" s="80">
        <f t="shared" si="59"/>
        <v>32189</v>
      </c>
      <c r="CG18" s="80">
        <f t="shared" si="59"/>
        <v>32303</v>
      </c>
      <c r="CH18" s="107">
        <f t="shared" si="59"/>
        <v>32355</v>
      </c>
      <c r="CI18" s="106">
        <f t="shared" si="59"/>
        <v>32231</v>
      </c>
      <c r="CJ18" s="94">
        <f t="shared" si="59"/>
        <v>32337</v>
      </c>
      <c r="CK18" s="94">
        <f t="shared" si="59"/>
        <v>32365</v>
      </c>
      <c r="CL18" s="94">
        <f t="shared" si="59"/>
        <v>32189</v>
      </c>
      <c r="CM18" s="94">
        <f t="shared" si="59"/>
        <v>32243</v>
      </c>
      <c r="CN18" s="94">
        <f t="shared" si="59"/>
        <v>32352</v>
      </c>
      <c r="CO18" s="94">
        <f t="shared" si="59"/>
        <v>32243</v>
      </c>
      <c r="CP18" s="94">
        <f t="shared" si="59"/>
        <v>32320</v>
      </c>
      <c r="CQ18" s="94">
        <f t="shared" si="59"/>
        <v>32280</v>
      </c>
      <c r="CR18" s="94">
        <f t="shared" si="59"/>
        <v>32164</v>
      </c>
      <c r="CS18" s="94">
        <f t="shared" si="59"/>
        <v>32247</v>
      </c>
      <c r="CT18" s="96">
        <f t="shared" si="59"/>
        <v>32301</v>
      </c>
      <c r="CU18" s="94">
        <f t="shared" si="59"/>
        <v>32292</v>
      </c>
      <c r="CV18" s="94">
        <f t="shared" si="59"/>
        <v>32364</v>
      </c>
      <c r="CW18" s="94">
        <f t="shared" si="59"/>
        <v>32347</v>
      </c>
      <c r="CX18" s="94">
        <f t="shared" si="59"/>
        <v>32195</v>
      </c>
      <c r="CY18" s="94">
        <f t="shared" si="59"/>
        <v>32300</v>
      </c>
      <c r="CZ18" s="94">
        <f t="shared" si="59"/>
        <v>32203</v>
      </c>
      <c r="DA18" s="94">
        <f t="shared" si="59"/>
        <v>32181</v>
      </c>
      <c r="DB18" s="94">
        <f t="shared" si="59"/>
        <v>32192</v>
      </c>
      <c r="DC18" s="94">
        <f t="shared" si="59"/>
        <v>32201</v>
      </c>
      <c r="DD18" s="94">
        <f t="shared" si="59"/>
        <v>32202</v>
      </c>
      <c r="DE18" s="94">
        <f t="shared" si="59"/>
        <v>32140</v>
      </c>
      <c r="DF18" s="107">
        <f t="shared" si="59"/>
        <v>32198</v>
      </c>
      <c r="DG18" s="94">
        <f t="shared" si="59"/>
        <v>32093</v>
      </c>
      <c r="DH18" s="94">
        <f t="shared" si="59"/>
        <v>32149</v>
      </c>
      <c r="DI18" s="94">
        <f t="shared" si="59"/>
        <v>32228</v>
      </c>
      <c r="DJ18" s="94">
        <f t="shared" si="59"/>
        <v>32335</v>
      </c>
      <c r="DK18" s="94">
        <f t="shared" si="59"/>
        <v>32437</v>
      </c>
      <c r="DL18" s="94">
        <f t="shared" ref="DL18:DR18" si="60">SUM(DL16:DL17)</f>
        <v>32464</v>
      </c>
      <c r="DM18" s="94">
        <f t="shared" si="60"/>
        <v>32365</v>
      </c>
      <c r="DN18" s="94">
        <f t="shared" si="60"/>
        <v>32476</v>
      </c>
      <c r="DO18" s="94">
        <f t="shared" si="60"/>
        <v>32440</v>
      </c>
      <c r="DP18" s="94">
        <f t="shared" si="60"/>
        <v>32320</v>
      </c>
      <c r="DQ18" s="94">
        <f t="shared" si="60"/>
        <v>32326</v>
      </c>
      <c r="DR18" s="94">
        <f t="shared" si="60"/>
        <v>32411</v>
      </c>
      <c r="DS18" s="94">
        <f t="shared" ref="DS18:EA18" si="61">SUM(DS16:DS17)</f>
        <v>32288</v>
      </c>
      <c r="DT18" s="94">
        <f t="shared" si="61"/>
        <v>32332</v>
      </c>
      <c r="DU18" s="94">
        <f t="shared" si="61"/>
        <v>32412</v>
      </c>
      <c r="DV18" s="358">
        <f t="shared" si="61"/>
        <v>32556</v>
      </c>
      <c r="DW18" s="358">
        <f t="shared" si="61"/>
        <v>32396</v>
      </c>
      <c r="DX18" s="358">
        <f t="shared" si="61"/>
        <v>32577</v>
      </c>
      <c r="DY18" s="358">
        <f t="shared" si="61"/>
        <v>32502</v>
      </c>
      <c r="DZ18" s="358">
        <f t="shared" si="61"/>
        <v>32621</v>
      </c>
      <c r="EA18" s="358">
        <f t="shared" si="61"/>
        <v>32707</v>
      </c>
      <c r="EB18" s="358">
        <v>32599</v>
      </c>
      <c r="EC18" s="358">
        <v>32643</v>
      </c>
      <c r="ED18" s="358">
        <v>32712</v>
      </c>
      <c r="EE18" s="358">
        <f t="shared" ref="EE18:FQ18" si="62">SUM(EE16:EE17)</f>
        <v>32970</v>
      </c>
      <c r="EF18" s="358">
        <f t="shared" si="62"/>
        <v>32749</v>
      </c>
      <c r="EG18" s="358">
        <f t="shared" si="62"/>
        <v>32650</v>
      </c>
      <c r="EH18" s="358">
        <f t="shared" si="62"/>
        <v>32951</v>
      </c>
      <c r="EI18" s="358">
        <f t="shared" si="62"/>
        <v>32983</v>
      </c>
      <c r="EJ18" s="358">
        <f t="shared" si="62"/>
        <v>32895</v>
      </c>
      <c r="EK18" s="358">
        <f t="shared" si="62"/>
        <v>33183</v>
      </c>
      <c r="EL18" s="358">
        <f t="shared" si="62"/>
        <v>33260</v>
      </c>
      <c r="EM18" s="358">
        <f t="shared" si="62"/>
        <v>33274</v>
      </c>
      <c r="EN18" s="358">
        <f t="shared" si="62"/>
        <v>33586</v>
      </c>
      <c r="EO18" s="358">
        <f t="shared" si="62"/>
        <v>33319</v>
      </c>
      <c r="EP18" s="358">
        <f t="shared" si="62"/>
        <v>33616</v>
      </c>
      <c r="EQ18" s="358">
        <f t="shared" si="62"/>
        <v>33600</v>
      </c>
      <c r="ER18" s="358">
        <f t="shared" si="62"/>
        <v>33604</v>
      </c>
      <c r="ES18" s="358">
        <f t="shared" si="62"/>
        <v>33596</v>
      </c>
      <c r="ET18" s="358">
        <f t="shared" si="62"/>
        <v>33571</v>
      </c>
      <c r="EU18" s="358">
        <f t="shared" si="62"/>
        <v>33557</v>
      </c>
      <c r="EV18" s="358">
        <f t="shared" si="62"/>
        <v>33764</v>
      </c>
      <c r="EW18" s="358">
        <f t="shared" si="62"/>
        <v>33833</v>
      </c>
      <c r="EX18" s="358">
        <f t="shared" si="62"/>
        <v>33891</v>
      </c>
      <c r="EY18" s="358">
        <f t="shared" si="62"/>
        <v>34040</v>
      </c>
      <c r="EZ18" s="358">
        <f t="shared" si="62"/>
        <v>34048</v>
      </c>
      <c r="FA18" s="358">
        <f t="shared" si="62"/>
        <v>34170</v>
      </c>
      <c r="FB18" s="358">
        <f t="shared" si="62"/>
        <v>34217</v>
      </c>
      <c r="FC18" s="358">
        <f t="shared" si="62"/>
        <v>34175</v>
      </c>
      <c r="FD18" s="358">
        <f t="shared" si="62"/>
        <v>34378</v>
      </c>
      <c r="FE18" s="358">
        <f t="shared" si="62"/>
        <v>34573</v>
      </c>
      <c r="FF18" s="358">
        <f t="shared" si="62"/>
        <v>34720</v>
      </c>
      <c r="FG18" s="358">
        <f t="shared" si="62"/>
        <v>34929</v>
      </c>
      <c r="FH18" s="358">
        <f t="shared" si="62"/>
        <v>35013</v>
      </c>
      <c r="FI18" s="358">
        <f t="shared" si="62"/>
        <v>35180</v>
      </c>
      <c r="FJ18" s="358">
        <f t="shared" si="62"/>
        <v>35319</v>
      </c>
      <c r="FK18" s="358">
        <f t="shared" si="62"/>
        <v>35447</v>
      </c>
      <c r="FL18" s="358">
        <f t="shared" si="62"/>
        <v>35453</v>
      </c>
      <c r="FM18" s="358">
        <f t="shared" si="62"/>
        <v>35609</v>
      </c>
      <c r="FN18" s="358">
        <f t="shared" si="62"/>
        <v>35702</v>
      </c>
      <c r="FO18" s="358">
        <f t="shared" si="62"/>
        <v>35650</v>
      </c>
      <c r="FP18" s="358">
        <f t="shared" si="62"/>
        <v>35787</v>
      </c>
      <c r="FQ18" s="358">
        <f t="shared" si="62"/>
        <v>36021</v>
      </c>
      <c r="FR18" s="358">
        <f t="shared" ref="FR18:FT18" si="63">SUM(FR16:FR17)</f>
        <v>35967</v>
      </c>
      <c r="FS18" s="358">
        <f t="shared" si="63"/>
        <v>36158</v>
      </c>
      <c r="FT18" s="358">
        <f t="shared" si="63"/>
        <v>36356</v>
      </c>
    </row>
    <row r="19" spans="1:176" s="188" customFormat="1" x14ac:dyDescent="0.25">
      <c r="B19" s="264" t="s">
        <v>10</v>
      </c>
      <c r="C19" s="258">
        <f t="shared" ref="C19:H19" si="64">SUM(C16)/C18</f>
        <v>0.96097337006427919</v>
      </c>
      <c r="D19" s="259">
        <f t="shared" si="64"/>
        <v>0.94248875772906127</v>
      </c>
      <c r="E19" s="259">
        <f t="shared" si="64"/>
        <v>0.9337514976390161</v>
      </c>
      <c r="F19" s="259">
        <f t="shared" si="64"/>
        <v>0.92443680137575235</v>
      </c>
      <c r="G19" s="259">
        <f t="shared" si="64"/>
        <v>0.92004519928776884</v>
      </c>
      <c r="H19" s="259">
        <f t="shared" si="64"/>
        <v>0.92153594993537857</v>
      </c>
      <c r="I19" s="259">
        <f t="shared" ref="I19:Q19" si="65">SUM(I16)/I18</f>
        <v>0.9147318397827563</v>
      </c>
      <c r="J19" s="259">
        <f t="shared" si="65"/>
        <v>0.91226858702443192</v>
      </c>
      <c r="K19" s="259">
        <f t="shared" si="65"/>
        <v>0.90771300154194412</v>
      </c>
      <c r="L19" s="259">
        <f t="shared" si="65"/>
        <v>0.90441056976630807</v>
      </c>
      <c r="M19" s="259">
        <f t="shared" si="65"/>
        <v>0.90166655816678598</v>
      </c>
      <c r="N19" s="265">
        <f t="shared" si="65"/>
        <v>0.89870062706057274</v>
      </c>
      <c r="O19" s="258">
        <f t="shared" si="65"/>
        <v>0.89288797396905506</v>
      </c>
      <c r="P19" s="259">
        <f t="shared" si="65"/>
        <v>0.88924973488865322</v>
      </c>
      <c r="Q19" s="259">
        <f t="shared" si="65"/>
        <v>0.88814295586928615</v>
      </c>
      <c r="R19" s="259">
        <f>SUM(R16)/R18</f>
        <v>0.89059727971614433</v>
      </c>
      <c r="S19" s="259">
        <f>SUM(S16)/S18</f>
        <v>0.88991095980096901</v>
      </c>
      <c r="T19" s="259">
        <f>SUM(T16)/T18</f>
        <v>0.88742353482865222</v>
      </c>
      <c r="U19" s="259">
        <f t="shared" ref="U19:Z19" si="66">SUM(U16)/U18</f>
        <v>0.88239923916964547</v>
      </c>
      <c r="V19" s="259">
        <f t="shared" si="66"/>
        <v>0.87606568253441697</v>
      </c>
      <c r="W19" s="259">
        <f t="shared" si="66"/>
        <v>0.86824606542586957</v>
      </c>
      <c r="X19" s="259">
        <f t="shared" si="66"/>
        <v>0.86404833836858008</v>
      </c>
      <c r="Y19" s="259">
        <f t="shared" si="66"/>
        <v>0.8567991177355212</v>
      </c>
      <c r="Z19" s="265">
        <f t="shared" si="66"/>
        <v>0.84879759187588899</v>
      </c>
      <c r="AA19" s="259">
        <f t="shared" ref="AA19:AF19" si="67">SUM(AA16)/AA18</f>
        <v>0.84087135551570702</v>
      </c>
      <c r="AB19" s="259">
        <f t="shared" si="67"/>
        <v>0.83035595696639664</v>
      </c>
      <c r="AC19" s="259">
        <f t="shared" si="67"/>
        <v>0.82490104114692475</v>
      </c>
      <c r="AD19" s="259">
        <f t="shared" si="67"/>
        <v>0.82014937759336104</v>
      </c>
      <c r="AE19" s="259">
        <f t="shared" si="67"/>
        <v>0.81459037798386291</v>
      </c>
      <c r="AF19" s="259">
        <f t="shared" si="67"/>
        <v>0.80112956810631231</v>
      </c>
      <c r="AG19" s="259">
        <f t="shared" ref="AG19:AL19" si="68">SUM(AG16)/AG18</f>
        <v>0.79600561084763877</v>
      </c>
      <c r="AH19" s="259">
        <f t="shared" si="68"/>
        <v>0.79231312893346351</v>
      </c>
      <c r="AI19" s="259">
        <f t="shared" si="68"/>
        <v>0.78926021519793521</v>
      </c>
      <c r="AJ19" s="259">
        <f t="shared" si="68"/>
        <v>0.78120475436883396</v>
      </c>
      <c r="AK19" s="259">
        <f t="shared" si="68"/>
        <v>0.77464222274357342</v>
      </c>
      <c r="AL19" s="259">
        <f t="shared" si="68"/>
        <v>0.77147927409093953</v>
      </c>
      <c r="AM19" s="271">
        <f t="shared" ref="AM19:AR19" si="69">SUM(AM16)/AM18</f>
        <v>0.7648090084622905</v>
      </c>
      <c r="AN19" s="259">
        <f t="shared" si="69"/>
        <v>0.73957143816752868</v>
      </c>
      <c r="AO19" s="259">
        <f t="shared" si="69"/>
        <v>0.73664837371168523</v>
      </c>
      <c r="AP19" s="259">
        <f t="shared" si="69"/>
        <v>0.73011458821952691</v>
      </c>
      <c r="AQ19" s="259">
        <f t="shared" si="69"/>
        <v>0.72477278023770686</v>
      </c>
      <c r="AR19" s="259">
        <f t="shared" si="69"/>
        <v>0.71832336121119966</v>
      </c>
      <c r="AS19" s="259">
        <f t="shared" ref="AS19:AX19" si="70">SUM(AS16)/AS18</f>
        <v>0.71040678977555283</v>
      </c>
      <c r="AT19" s="259">
        <f t="shared" si="70"/>
        <v>0.70167457805907174</v>
      </c>
      <c r="AU19" s="259">
        <f t="shared" si="70"/>
        <v>0.69765916989049903</v>
      </c>
      <c r="AV19" s="259">
        <f t="shared" si="70"/>
        <v>0.69338531685719951</v>
      </c>
      <c r="AW19" s="259">
        <f t="shared" si="70"/>
        <v>0.68798443327387704</v>
      </c>
      <c r="AX19" s="259">
        <f t="shared" si="70"/>
        <v>0.68614330014689084</v>
      </c>
      <c r="AY19" s="271">
        <f t="shared" ref="AY19:BJ19" si="71">SUM(AY16)/AY18</f>
        <v>0.68727405392855956</v>
      </c>
      <c r="AZ19" s="259">
        <f t="shared" si="71"/>
        <v>0.69007295896470899</v>
      </c>
      <c r="BA19" s="259">
        <f t="shared" si="71"/>
        <v>0.68894551156409256</v>
      </c>
      <c r="BB19" s="259">
        <f t="shared" si="71"/>
        <v>0.68373296645702308</v>
      </c>
      <c r="BC19" s="259">
        <f t="shared" si="71"/>
        <v>0.67742040603512887</v>
      </c>
      <c r="BD19" s="259">
        <f t="shared" si="71"/>
        <v>0.67226755248814785</v>
      </c>
      <c r="BE19" s="259">
        <f t="shared" si="71"/>
        <v>0.66675362791456061</v>
      </c>
      <c r="BF19" s="259">
        <f t="shared" si="71"/>
        <v>0.66057991696938245</v>
      </c>
      <c r="BG19" s="259">
        <f t="shared" si="71"/>
        <v>0.65559322033898304</v>
      </c>
      <c r="BH19" s="259">
        <f t="shared" si="71"/>
        <v>0.64242460223224884</v>
      </c>
      <c r="BI19" s="259">
        <f t="shared" si="71"/>
        <v>0.63659861947422525</v>
      </c>
      <c r="BJ19" s="265">
        <f t="shared" si="71"/>
        <v>0.63713043224469545</v>
      </c>
      <c r="BK19" s="259">
        <f t="shared" ref="BK19:BP19" si="72">SUM(BK16)/BK18</f>
        <v>0.62949969043898701</v>
      </c>
      <c r="BL19" s="259">
        <f t="shared" si="72"/>
        <v>0.61920647103973547</v>
      </c>
      <c r="BM19" s="259">
        <f t="shared" si="72"/>
        <v>0.61512067802574855</v>
      </c>
      <c r="BN19" s="259">
        <f t="shared" si="72"/>
        <v>0.60456812346917699</v>
      </c>
      <c r="BO19" s="259">
        <f t="shared" si="72"/>
        <v>0.59892391367916253</v>
      </c>
      <c r="BP19" s="259">
        <f t="shared" si="72"/>
        <v>0.59218278488288545</v>
      </c>
      <c r="BQ19" s="259">
        <f t="shared" ref="BQ19:BV19" si="73">SUM(BQ16)/BQ18</f>
        <v>0.58304218901382809</v>
      </c>
      <c r="BR19" s="259">
        <f t="shared" si="73"/>
        <v>0.57109495869457338</v>
      </c>
      <c r="BS19" s="259">
        <f t="shared" si="73"/>
        <v>0.56284676833696445</v>
      </c>
      <c r="BT19" s="259">
        <f t="shared" si="73"/>
        <v>0.56242244484125781</v>
      </c>
      <c r="BU19" s="259">
        <f t="shared" si="73"/>
        <v>0.55281169908035577</v>
      </c>
      <c r="BV19" s="265">
        <f t="shared" si="73"/>
        <v>0.54492779729202323</v>
      </c>
      <c r="BW19" s="271">
        <f t="shared" ref="BW19:CB19" si="74">SUM(BW16)/BW18</f>
        <v>0.5375763341209685</v>
      </c>
      <c r="BX19" s="259">
        <f t="shared" si="74"/>
        <v>0.52595653504744411</v>
      </c>
      <c r="BY19" s="259">
        <f t="shared" si="74"/>
        <v>0.51758977480219115</v>
      </c>
      <c r="BZ19" s="259">
        <f t="shared" si="74"/>
        <v>0.51257871390017684</v>
      </c>
      <c r="CA19" s="259">
        <f t="shared" si="74"/>
        <v>0.50585690001545358</v>
      </c>
      <c r="CB19" s="259">
        <f t="shared" si="74"/>
        <v>0.49639694656488548</v>
      </c>
      <c r="CC19" s="259">
        <f t="shared" ref="CC19:DK19" si="75">SUM(CC16)/CC18</f>
        <v>0.49319991325629664</v>
      </c>
      <c r="CD19" s="259">
        <f t="shared" si="75"/>
        <v>0.48140930462756742</v>
      </c>
      <c r="CE19" s="259">
        <f t="shared" si="75"/>
        <v>0.46821165521279545</v>
      </c>
      <c r="CF19" s="259">
        <f t="shared" si="75"/>
        <v>0.44909751778557894</v>
      </c>
      <c r="CG19" s="259">
        <f t="shared" si="75"/>
        <v>0.42689533479862551</v>
      </c>
      <c r="CH19" s="265">
        <f t="shared" si="75"/>
        <v>0.41560809766651213</v>
      </c>
      <c r="CI19" s="258">
        <f t="shared" si="75"/>
        <v>0.40712357668083521</v>
      </c>
      <c r="CJ19" s="259">
        <f t="shared" si="75"/>
        <v>0.3993876983022544</v>
      </c>
      <c r="CK19" s="259">
        <f t="shared" si="75"/>
        <v>0.39487100262629382</v>
      </c>
      <c r="CL19" s="259">
        <f t="shared" si="75"/>
        <v>0.38820715151138585</v>
      </c>
      <c r="CM19" s="259">
        <f t="shared" si="75"/>
        <v>0.38368017864342646</v>
      </c>
      <c r="CN19" s="259">
        <f t="shared" si="75"/>
        <v>0.37781280909990111</v>
      </c>
      <c r="CO19" s="259">
        <f t="shared" si="75"/>
        <v>0.37738423843935115</v>
      </c>
      <c r="CP19" s="259">
        <f t="shared" si="75"/>
        <v>0.3714418316831683</v>
      </c>
      <c r="CQ19" s="259">
        <f t="shared" si="75"/>
        <v>0.36576827757125158</v>
      </c>
      <c r="CR19" s="259">
        <f t="shared" si="75"/>
        <v>0.36164656137296358</v>
      </c>
      <c r="CS19" s="259">
        <f t="shared" si="75"/>
        <v>0.3540174279777964</v>
      </c>
      <c r="CT19" s="265">
        <f t="shared" si="75"/>
        <v>0.35042258753598959</v>
      </c>
      <c r="CU19" s="259">
        <f t="shared" si="75"/>
        <v>0.34764028242289113</v>
      </c>
      <c r="CV19" s="259">
        <f t="shared" si="75"/>
        <v>0.34566184649610676</v>
      </c>
      <c r="CW19" s="259">
        <f t="shared" si="75"/>
        <v>0.34364856091755031</v>
      </c>
      <c r="CX19" s="259">
        <f t="shared" si="75"/>
        <v>0.34110886783662059</v>
      </c>
      <c r="CY19" s="259">
        <f t="shared" si="75"/>
        <v>0.33777089783281733</v>
      </c>
      <c r="CZ19" s="259">
        <f t="shared" si="75"/>
        <v>0.33478247368257613</v>
      </c>
      <c r="DA19" s="259">
        <f t="shared" si="75"/>
        <v>0.3309095428979833</v>
      </c>
      <c r="DB19" s="259">
        <f t="shared" si="75"/>
        <v>0.32542246520874751</v>
      </c>
      <c r="DC19" s="259">
        <f t="shared" si="75"/>
        <v>0.32185335859134812</v>
      </c>
      <c r="DD19" s="259">
        <f t="shared" si="75"/>
        <v>0.31774423948823055</v>
      </c>
      <c r="DE19" s="259">
        <f t="shared" si="75"/>
        <v>0.31561916614810204</v>
      </c>
      <c r="DF19" s="265">
        <f t="shared" si="75"/>
        <v>0.31231753525063671</v>
      </c>
      <c r="DG19" s="259">
        <f t="shared" si="75"/>
        <v>0.31012993487676438</v>
      </c>
      <c r="DH19" s="259">
        <f t="shared" si="75"/>
        <v>0.30775451802544401</v>
      </c>
      <c r="DI19" s="259">
        <f t="shared" si="75"/>
        <v>0.3081171651979645</v>
      </c>
      <c r="DJ19" s="259">
        <f t="shared" si="75"/>
        <v>0.30635534250811813</v>
      </c>
      <c r="DK19" s="259">
        <f t="shared" si="75"/>
        <v>0.30440546289730863</v>
      </c>
      <c r="DL19" s="259">
        <f t="shared" ref="DL19:DR19" si="76">SUM(DL16)/DL18</f>
        <v>0.30298176441596847</v>
      </c>
      <c r="DM19" s="259">
        <f t="shared" si="76"/>
        <v>0.30288892321952726</v>
      </c>
      <c r="DN19" s="259">
        <f t="shared" si="76"/>
        <v>0.30086833353861314</v>
      </c>
      <c r="DO19" s="259">
        <f t="shared" si="76"/>
        <v>0.30138717632552403</v>
      </c>
      <c r="DP19" s="259">
        <f t="shared" si="76"/>
        <v>0.29743193069306928</v>
      </c>
      <c r="DQ19" s="259">
        <f t="shared" si="76"/>
        <v>0.29115881952607808</v>
      </c>
      <c r="DR19" s="259">
        <f t="shared" si="76"/>
        <v>0.28805035327512263</v>
      </c>
      <c r="DS19" s="259">
        <f t="shared" ref="DS19:FQ19" si="77">SUM(DS16)/DS18</f>
        <v>0.28775396432111</v>
      </c>
      <c r="DT19" s="259">
        <f t="shared" si="77"/>
        <v>0.28250649511320053</v>
      </c>
      <c r="DU19" s="259">
        <f t="shared" si="77"/>
        <v>0.27795261014439099</v>
      </c>
      <c r="DV19" s="282">
        <f t="shared" si="77"/>
        <v>0.27429659663349304</v>
      </c>
      <c r="DW19" s="282">
        <f t="shared" si="77"/>
        <v>0.24296209408568958</v>
      </c>
      <c r="DX19" s="282">
        <f t="shared" si="77"/>
        <v>8.4446081591306746E-2</v>
      </c>
      <c r="DY19" s="282">
        <f t="shared" si="77"/>
        <v>5.2735216294381881E-2</v>
      </c>
      <c r="DZ19" s="282">
        <f t="shared" si="77"/>
        <v>5.1807118114098279E-2</v>
      </c>
      <c r="EA19" s="282">
        <f t="shared" si="77"/>
        <v>5.0509065337695294E-2</v>
      </c>
      <c r="EB19" s="282">
        <f t="shared" si="77"/>
        <v>4.9357342249762265E-2</v>
      </c>
      <c r="EC19" s="282">
        <f t="shared" si="77"/>
        <v>4.8034800722972767E-2</v>
      </c>
      <c r="ED19" s="282">
        <f t="shared" si="77"/>
        <v>4.7413793103448273E-2</v>
      </c>
      <c r="EE19" s="282">
        <f t="shared" si="77"/>
        <v>4.6557476493782224E-2</v>
      </c>
      <c r="EF19" s="282">
        <f t="shared" si="77"/>
        <v>4.5741854713121012E-2</v>
      </c>
      <c r="EG19" s="282">
        <f t="shared" si="77"/>
        <v>4.5421133231240432E-2</v>
      </c>
      <c r="EH19" s="282">
        <f t="shared" si="77"/>
        <v>4.467239234014142E-2</v>
      </c>
      <c r="EI19" s="282">
        <f t="shared" si="77"/>
        <v>4.4659369978473758E-2</v>
      </c>
      <c r="EJ19" s="282">
        <f t="shared" si="77"/>
        <v>4.3897248822009426E-2</v>
      </c>
      <c r="EK19" s="282">
        <f t="shared" si="77"/>
        <v>4.3877889280655759E-2</v>
      </c>
      <c r="EL19" s="282">
        <f t="shared" si="77"/>
        <v>4.3776307877330126E-2</v>
      </c>
      <c r="EM19" s="282">
        <f t="shared" si="77"/>
        <v>4.3277033118951737E-2</v>
      </c>
      <c r="EN19" s="282">
        <f t="shared" si="77"/>
        <v>4.332162210444828E-2</v>
      </c>
      <c r="EO19" s="282">
        <f t="shared" si="77"/>
        <v>4.2258171013535822E-2</v>
      </c>
      <c r="EP19" s="282">
        <f t="shared" si="77"/>
        <v>4.2747501189909567E-2</v>
      </c>
      <c r="EQ19" s="282">
        <f t="shared" si="77"/>
        <v>4.2291666666666665E-2</v>
      </c>
      <c r="ER19" s="282">
        <f t="shared" si="77"/>
        <v>4.2405665992143793E-2</v>
      </c>
      <c r="ES19" s="282">
        <f t="shared" si="77"/>
        <v>4.2177640195261337E-2</v>
      </c>
      <c r="ET19" s="282">
        <f t="shared" si="77"/>
        <v>4.1255845819308329E-2</v>
      </c>
      <c r="EU19" s="282">
        <f t="shared" si="77"/>
        <v>4.1273057782280895E-2</v>
      </c>
      <c r="EV19" s="282">
        <f t="shared" si="77"/>
        <v>4.0486909133988863E-2</v>
      </c>
      <c r="EW19" s="282">
        <f t="shared" si="77"/>
        <v>4.0020098720184437E-2</v>
      </c>
      <c r="EX19" s="282">
        <f t="shared" si="77"/>
        <v>3.9686052344280194E-2</v>
      </c>
      <c r="EY19" s="282">
        <f t="shared" si="77"/>
        <v>3.9453584018801412E-2</v>
      </c>
      <c r="EZ19" s="282">
        <f t="shared" si="77"/>
        <v>4.032542293233083E-2</v>
      </c>
      <c r="FA19" s="282">
        <f t="shared" si="77"/>
        <v>4.0210711150131695E-2</v>
      </c>
      <c r="FB19" s="282">
        <f t="shared" si="77"/>
        <v>4.0447730660198147E-2</v>
      </c>
      <c r="FC19" s="282">
        <f t="shared" si="77"/>
        <v>4.1316752011704462E-2</v>
      </c>
      <c r="FD19" s="282">
        <f t="shared" si="77"/>
        <v>4.124730932573157E-2</v>
      </c>
      <c r="FE19" s="282">
        <f t="shared" si="77"/>
        <v>4.1448529199085989E-2</v>
      </c>
      <c r="FF19" s="282">
        <f t="shared" si="77"/>
        <v>4.2626728110599081E-2</v>
      </c>
      <c r="FG19" s="282">
        <f t="shared" si="77"/>
        <v>4.2657963296973862E-2</v>
      </c>
      <c r="FH19" s="282">
        <f t="shared" si="77"/>
        <v>4.2926912860937368E-2</v>
      </c>
      <c r="FI19" s="282">
        <f t="shared" si="77"/>
        <v>4.4741330301307558E-2</v>
      </c>
      <c r="FJ19" s="282">
        <f t="shared" si="77"/>
        <v>4.414054758062233E-2</v>
      </c>
      <c r="FK19" s="282">
        <f t="shared" si="77"/>
        <v>4.3557987982057719E-2</v>
      </c>
      <c r="FL19" s="282">
        <f t="shared" si="77"/>
        <v>4.4904521479141396E-2</v>
      </c>
      <c r="FM19" s="282">
        <f t="shared" si="77"/>
        <v>4.4455053497711255E-2</v>
      </c>
      <c r="FN19" s="282">
        <f t="shared" si="77"/>
        <v>4.4059156349784329E-2</v>
      </c>
      <c r="FO19" s="282">
        <f t="shared" si="77"/>
        <v>4.4600280504908836E-2</v>
      </c>
      <c r="FP19" s="282">
        <f t="shared" si="77"/>
        <v>4.4038337943946126E-2</v>
      </c>
      <c r="FQ19" s="282">
        <f t="shared" si="77"/>
        <v>4.3363593459370922E-2</v>
      </c>
      <c r="FR19" s="282">
        <f t="shared" ref="FR19:FT19" si="78">SUM(FR16)/FR18</f>
        <v>4.4513025829232354E-2</v>
      </c>
      <c r="FS19" s="282">
        <f t="shared" si="78"/>
        <v>4.3835389125504727E-2</v>
      </c>
      <c r="FT19" s="282">
        <f t="shared" si="78"/>
        <v>4.3046539773352405E-2</v>
      </c>
    </row>
    <row r="20" spans="1:176" s="188" customFormat="1" ht="13.8" thickBot="1" x14ac:dyDescent="0.3">
      <c r="B20" s="266" t="s">
        <v>11</v>
      </c>
      <c r="C20" s="260">
        <f t="shared" ref="C20:H20" si="79">SUM(C17/C18)</f>
        <v>3.9026629935720848E-2</v>
      </c>
      <c r="D20" s="261">
        <f t="shared" si="79"/>
        <v>5.7511242270938727E-2</v>
      </c>
      <c r="E20" s="261">
        <f t="shared" si="79"/>
        <v>6.6248502360983855E-2</v>
      </c>
      <c r="F20" s="261">
        <f t="shared" si="79"/>
        <v>7.5563198624247638E-2</v>
      </c>
      <c r="G20" s="261">
        <f t="shared" si="79"/>
        <v>7.9954800712231197E-2</v>
      </c>
      <c r="H20" s="261">
        <f t="shared" si="79"/>
        <v>7.8464050064621454E-2</v>
      </c>
      <c r="I20" s="261">
        <f t="shared" ref="I20:Q20" si="80">SUM(I17/I18)</f>
        <v>8.5268160217243719E-2</v>
      </c>
      <c r="J20" s="261">
        <f t="shared" si="80"/>
        <v>8.7731412975568052E-2</v>
      </c>
      <c r="K20" s="261">
        <f t="shared" si="80"/>
        <v>9.2286998458055838E-2</v>
      </c>
      <c r="L20" s="261">
        <f t="shared" si="80"/>
        <v>9.5589430233691944E-2</v>
      </c>
      <c r="M20" s="261">
        <f t="shared" si="80"/>
        <v>9.8333441833213978E-2</v>
      </c>
      <c r="N20" s="267">
        <f t="shared" si="80"/>
        <v>0.10129937293942724</v>
      </c>
      <c r="O20" s="260">
        <f t="shared" si="80"/>
        <v>0.10711202603094495</v>
      </c>
      <c r="P20" s="261">
        <f t="shared" si="80"/>
        <v>0.11075026511134677</v>
      </c>
      <c r="Q20" s="261">
        <f t="shared" si="80"/>
        <v>0.11185704413071379</v>
      </c>
      <c r="R20" s="261">
        <f>SUM(R17/R18)</f>
        <v>0.10940272028385571</v>
      </c>
      <c r="S20" s="261">
        <f>SUM(S17/S18)</f>
        <v>0.11008904019903103</v>
      </c>
      <c r="T20" s="261">
        <f>SUM(T17/T18)</f>
        <v>0.11257646517134776</v>
      </c>
      <c r="U20" s="261">
        <f t="shared" ref="U20:Z20" si="81">SUM(U17/U18)</f>
        <v>0.11760076083035451</v>
      </c>
      <c r="V20" s="261">
        <f t="shared" si="81"/>
        <v>0.12393431746558302</v>
      </c>
      <c r="W20" s="261">
        <f t="shared" si="81"/>
        <v>0.13175393457413037</v>
      </c>
      <c r="X20" s="261">
        <f t="shared" si="81"/>
        <v>0.13595166163141995</v>
      </c>
      <c r="Y20" s="261">
        <f t="shared" si="81"/>
        <v>0.14320088226447883</v>
      </c>
      <c r="Z20" s="267">
        <f t="shared" si="81"/>
        <v>0.15120240812411101</v>
      </c>
      <c r="AA20" s="261">
        <f t="shared" ref="AA20:AF20" si="82">SUM(AA17/AA18)</f>
        <v>0.15912864448429301</v>
      </c>
      <c r="AB20" s="261">
        <f t="shared" si="82"/>
        <v>0.16964404303360339</v>
      </c>
      <c r="AC20" s="261">
        <f t="shared" si="82"/>
        <v>0.17509895885307522</v>
      </c>
      <c r="AD20" s="261">
        <f t="shared" si="82"/>
        <v>0.17985062240663902</v>
      </c>
      <c r="AE20" s="261">
        <f t="shared" si="82"/>
        <v>0.18540962201613714</v>
      </c>
      <c r="AF20" s="261">
        <f t="shared" si="82"/>
        <v>0.19887043189368772</v>
      </c>
      <c r="AG20" s="261">
        <f t="shared" ref="AG20:AL20" si="83">SUM(AG17/AG18)</f>
        <v>0.20399438915236123</v>
      </c>
      <c r="AH20" s="261">
        <f t="shared" si="83"/>
        <v>0.20768687106653652</v>
      </c>
      <c r="AI20" s="261">
        <f t="shared" si="83"/>
        <v>0.21073978480206482</v>
      </c>
      <c r="AJ20" s="261">
        <f t="shared" si="83"/>
        <v>0.21879524563116604</v>
      </c>
      <c r="AK20" s="261">
        <f t="shared" si="83"/>
        <v>0.22535777725642658</v>
      </c>
      <c r="AL20" s="261">
        <f t="shared" si="83"/>
        <v>0.22852072590906047</v>
      </c>
      <c r="AM20" s="272">
        <f t="shared" ref="AM20:AR20" si="84">SUM(AM17/AM18)</f>
        <v>0.23519099153770945</v>
      </c>
      <c r="AN20" s="261">
        <f t="shared" si="84"/>
        <v>0.26042856183247126</v>
      </c>
      <c r="AO20" s="261">
        <f t="shared" si="84"/>
        <v>0.26335162628831482</v>
      </c>
      <c r="AP20" s="261">
        <f t="shared" si="84"/>
        <v>0.26988541178047309</v>
      </c>
      <c r="AQ20" s="261">
        <f t="shared" si="84"/>
        <v>0.2752272197622932</v>
      </c>
      <c r="AR20" s="261">
        <f t="shared" si="84"/>
        <v>0.28167663878880039</v>
      </c>
      <c r="AS20" s="261">
        <f t="shared" ref="AS20:BD20" si="85">SUM(AS17/AS18)</f>
        <v>0.28959321022444717</v>
      </c>
      <c r="AT20" s="261">
        <f t="shared" si="85"/>
        <v>0.29832542194092826</v>
      </c>
      <c r="AU20" s="261">
        <f t="shared" si="85"/>
        <v>0.30234083010950102</v>
      </c>
      <c r="AV20" s="261">
        <f t="shared" si="85"/>
        <v>0.30661468314280049</v>
      </c>
      <c r="AW20" s="261">
        <f t="shared" si="85"/>
        <v>0.31201556672612291</v>
      </c>
      <c r="AX20" s="261">
        <f t="shared" si="85"/>
        <v>0.31385669985310921</v>
      </c>
      <c r="AY20" s="272">
        <f t="shared" si="85"/>
        <v>0.31272594607144044</v>
      </c>
      <c r="AZ20" s="261">
        <f t="shared" si="85"/>
        <v>0.30992704103529101</v>
      </c>
      <c r="BA20" s="261">
        <f t="shared" si="85"/>
        <v>0.31105448843590749</v>
      </c>
      <c r="BB20" s="261">
        <f t="shared" si="85"/>
        <v>0.31626703354297692</v>
      </c>
      <c r="BC20" s="261">
        <f t="shared" si="85"/>
        <v>0.32257959396487113</v>
      </c>
      <c r="BD20" s="261">
        <f t="shared" si="85"/>
        <v>0.32773244751185215</v>
      </c>
      <c r="BE20" s="261">
        <f t="shared" ref="BE20:BJ20" si="86">SUM(BE17/BE18)</f>
        <v>0.33324637208543945</v>
      </c>
      <c r="BF20" s="261">
        <f t="shared" si="86"/>
        <v>0.33942008303061755</v>
      </c>
      <c r="BG20" s="261">
        <f t="shared" si="86"/>
        <v>0.34440677966101696</v>
      </c>
      <c r="BH20" s="261">
        <f t="shared" si="86"/>
        <v>0.3575753977677511</v>
      </c>
      <c r="BI20" s="261">
        <f t="shared" si="86"/>
        <v>0.3634013805257747</v>
      </c>
      <c r="BJ20" s="267">
        <f t="shared" si="86"/>
        <v>0.36286956775530455</v>
      </c>
      <c r="BK20" s="261">
        <f t="shared" ref="BK20:BP20" si="87">SUM(BK17/BK18)</f>
        <v>0.37050030956101299</v>
      </c>
      <c r="BL20" s="261">
        <f t="shared" si="87"/>
        <v>0.38079352896026453</v>
      </c>
      <c r="BM20" s="261">
        <f t="shared" si="87"/>
        <v>0.38487932197425145</v>
      </c>
      <c r="BN20" s="261">
        <f t="shared" si="87"/>
        <v>0.39543187653082301</v>
      </c>
      <c r="BO20" s="261">
        <f t="shared" si="87"/>
        <v>0.40107608632083747</v>
      </c>
      <c r="BP20" s="261">
        <f t="shared" si="87"/>
        <v>0.40781721511711455</v>
      </c>
      <c r="BQ20" s="261">
        <f t="shared" ref="BQ20:BV20" si="88">SUM(BQ17/BQ18)</f>
        <v>0.41695781098617185</v>
      </c>
      <c r="BR20" s="261">
        <f t="shared" si="88"/>
        <v>0.42890504130542662</v>
      </c>
      <c r="BS20" s="261">
        <f t="shared" si="88"/>
        <v>0.4371532316630356</v>
      </c>
      <c r="BT20" s="261">
        <f t="shared" si="88"/>
        <v>0.43757755515874219</v>
      </c>
      <c r="BU20" s="261">
        <f t="shared" si="88"/>
        <v>0.44718830091964418</v>
      </c>
      <c r="BV20" s="267">
        <f t="shared" si="88"/>
        <v>0.45507220270797683</v>
      </c>
      <c r="BW20" s="272">
        <f t="shared" ref="BW20:CB20" si="89">SUM(BW17/BW18)</f>
        <v>0.4624236658790315</v>
      </c>
      <c r="BX20" s="261">
        <f t="shared" si="89"/>
        <v>0.47404346495255584</v>
      </c>
      <c r="BY20" s="261">
        <f t="shared" si="89"/>
        <v>0.48241022519780891</v>
      </c>
      <c r="BZ20" s="261">
        <f t="shared" si="89"/>
        <v>0.48742128609982316</v>
      </c>
      <c r="CA20" s="261">
        <f t="shared" si="89"/>
        <v>0.49414309998454642</v>
      </c>
      <c r="CB20" s="261">
        <f t="shared" si="89"/>
        <v>0.50360305343511447</v>
      </c>
      <c r="CC20" s="261">
        <f t="shared" ref="CC20:DK20" si="90">SUM(CC17/CC18)</f>
        <v>0.50680008674370336</v>
      </c>
      <c r="CD20" s="261">
        <f t="shared" si="90"/>
        <v>0.51859069537243252</v>
      </c>
      <c r="CE20" s="261">
        <f t="shared" si="90"/>
        <v>0.53178834478720449</v>
      </c>
      <c r="CF20" s="261">
        <f t="shared" si="90"/>
        <v>0.55090248221442106</v>
      </c>
      <c r="CG20" s="261">
        <f t="shared" si="90"/>
        <v>0.57310466520137449</v>
      </c>
      <c r="CH20" s="267">
        <f t="shared" si="90"/>
        <v>0.58439190233348792</v>
      </c>
      <c r="CI20" s="260">
        <f t="shared" si="90"/>
        <v>0.59287642331916479</v>
      </c>
      <c r="CJ20" s="261">
        <f t="shared" si="90"/>
        <v>0.6006123016977456</v>
      </c>
      <c r="CK20" s="261">
        <f t="shared" si="90"/>
        <v>0.60512899737370618</v>
      </c>
      <c r="CL20" s="261">
        <f t="shared" si="90"/>
        <v>0.61179284848861415</v>
      </c>
      <c r="CM20" s="261">
        <f t="shared" si="90"/>
        <v>0.61631982135657348</v>
      </c>
      <c r="CN20" s="261">
        <f t="shared" si="90"/>
        <v>0.62218719090009889</v>
      </c>
      <c r="CO20" s="261">
        <f t="shared" si="90"/>
        <v>0.62261576156064879</v>
      </c>
      <c r="CP20" s="261">
        <f t="shared" si="90"/>
        <v>0.62855816831683164</v>
      </c>
      <c r="CQ20" s="261">
        <f t="shared" si="90"/>
        <v>0.63423172242874848</v>
      </c>
      <c r="CR20" s="261">
        <f t="shared" si="90"/>
        <v>0.63835343862703642</v>
      </c>
      <c r="CS20" s="261">
        <f t="shared" si="90"/>
        <v>0.64598257202220366</v>
      </c>
      <c r="CT20" s="267">
        <f t="shared" si="90"/>
        <v>0.64957741246401035</v>
      </c>
      <c r="CU20" s="272">
        <f t="shared" si="90"/>
        <v>0.65235971757710887</v>
      </c>
      <c r="CV20" s="261">
        <f t="shared" si="90"/>
        <v>0.65433815350389324</v>
      </c>
      <c r="CW20" s="261">
        <f t="shared" si="90"/>
        <v>0.65635143908244964</v>
      </c>
      <c r="CX20" s="261">
        <f t="shared" si="90"/>
        <v>0.65889113216337936</v>
      </c>
      <c r="CY20" s="261">
        <f t="shared" si="90"/>
        <v>0.66222910216718267</v>
      </c>
      <c r="CZ20" s="261">
        <f t="shared" si="90"/>
        <v>0.66521752631742381</v>
      </c>
      <c r="DA20" s="261">
        <f t="shared" si="90"/>
        <v>0.66909045710201676</v>
      </c>
      <c r="DB20" s="261">
        <f t="shared" si="90"/>
        <v>0.67457753479125249</v>
      </c>
      <c r="DC20" s="261">
        <f t="shared" si="90"/>
        <v>0.67814664140865188</v>
      </c>
      <c r="DD20" s="261">
        <f t="shared" si="90"/>
        <v>0.6822557605117695</v>
      </c>
      <c r="DE20" s="261">
        <f t="shared" si="90"/>
        <v>0.68438083385189796</v>
      </c>
      <c r="DF20" s="267">
        <f t="shared" si="90"/>
        <v>0.68768246474936334</v>
      </c>
      <c r="DG20" s="261">
        <f t="shared" si="90"/>
        <v>0.68987006512323557</v>
      </c>
      <c r="DH20" s="261">
        <f t="shared" si="90"/>
        <v>0.69224548197455593</v>
      </c>
      <c r="DI20" s="261">
        <f t="shared" si="90"/>
        <v>0.6918828348020355</v>
      </c>
      <c r="DJ20" s="261">
        <f t="shared" si="90"/>
        <v>0.69364465749188187</v>
      </c>
      <c r="DK20" s="261">
        <f t="shared" si="90"/>
        <v>0.69559453710269137</v>
      </c>
      <c r="DL20" s="261">
        <f t="shared" ref="DL20:DR20" si="91">SUM(DL17/DL18)</f>
        <v>0.69701823558403153</v>
      </c>
      <c r="DM20" s="261">
        <f t="shared" si="91"/>
        <v>0.69711107678047268</v>
      </c>
      <c r="DN20" s="261">
        <f t="shared" si="91"/>
        <v>0.69913166646138691</v>
      </c>
      <c r="DO20" s="261">
        <f t="shared" si="91"/>
        <v>0.69861282367447597</v>
      </c>
      <c r="DP20" s="261">
        <f t="shared" si="91"/>
        <v>0.70256806930693072</v>
      </c>
      <c r="DQ20" s="261">
        <f t="shared" si="91"/>
        <v>0.70884118047392197</v>
      </c>
      <c r="DR20" s="261">
        <f t="shared" si="91"/>
        <v>0.71194964672487737</v>
      </c>
      <c r="DS20" s="261">
        <f t="shared" ref="DS20:FQ20" si="92">SUM(DS17/DS18)</f>
        <v>0.71224603567889</v>
      </c>
      <c r="DT20" s="261">
        <f t="shared" si="92"/>
        <v>0.71749350488679942</v>
      </c>
      <c r="DU20" s="261">
        <f t="shared" si="92"/>
        <v>0.72204738985560901</v>
      </c>
      <c r="DV20" s="354">
        <f t="shared" si="92"/>
        <v>0.72570340336650696</v>
      </c>
      <c r="DW20" s="354">
        <f t="shared" si="92"/>
        <v>0.75703790591431042</v>
      </c>
      <c r="DX20" s="354">
        <f t="shared" si="92"/>
        <v>0.91555391840869327</v>
      </c>
      <c r="DY20" s="354">
        <f t="shared" si="92"/>
        <v>0.94726478370561806</v>
      </c>
      <c r="DZ20" s="354">
        <f t="shared" si="92"/>
        <v>0.94819288188590167</v>
      </c>
      <c r="EA20" s="354">
        <f t="shared" si="92"/>
        <v>0.94949093466230472</v>
      </c>
      <c r="EB20" s="354">
        <f t="shared" si="92"/>
        <v>0.95064265775023771</v>
      </c>
      <c r="EC20" s="354">
        <f t="shared" si="92"/>
        <v>0.95196519927702727</v>
      </c>
      <c r="ED20" s="354">
        <f t="shared" si="92"/>
        <v>0.95258620689655171</v>
      </c>
      <c r="EE20" s="354">
        <f t="shared" si="92"/>
        <v>0.95344252350621772</v>
      </c>
      <c r="EF20" s="354">
        <f t="shared" si="92"/>
        <v>0.95425814528687902</v>
      </c>
      <c r="EG20" s="354">
        <f t="shared" si="92"/>
        <v>0.95457886676875958</v>
      </c>
      <c r="EH20" s="354">
        <f t="shared" si="92"/>
        <v>0.95532760765985858</v>
      </c>
      <c r="EI20" s="354">
        <f t="shared" si="92"/>
        <v>0.95534063002152625</v>
      </c>
      <c r="EJ20" s="354">
        <f t="shared" si="92"/>
        <v>0.9561027511779906</v>
      </c>
      <c r="EK20" s="354">
        <f t="shared" si="92"/>
        <v>0.95612211071934428</v>
      </c>
      <c r="EL20" s="354">
        <f t="shared" si="92"/>
        <v>0.95622369212266989</v>
      </c>
      <c r="EM20" s="354">
        <f t="shared" si="92"/>
        <v>0.9567229668810483</v>
      </c>
      <c r="EN20" s="354">
        <f t="shared" si="92"/>
        <v>0.95667837789555177</v>
      </c>
      <c r="EO20" s="354">
        <f t="shared" si="92"/>
        <v>0.95774182898646421</v>
      </c>
      <c r="EP20" s="354">
        <f t="shared" si="92"/>
        <v>0.95725249881009045</v>
      </c>
      <c r="EQ20" s="354">
        <f t="shared" si="92"/>
        <v>0.95770833333333338</v>
      </c>
      <c r="ER20" s="354">
        <f t="shared" si="92"/>
        <v>0.95759433400785621</v>
      </c>
      <c r="ES20" s="354">
        <f t="shared" si="92"/>
        <v>0.95782235980473862</v>
      </c>
      <c r="ET20" s="354">
        <f t="shared" si="92"/>
        <v>0.9587441541806917</v>
      </c>
      <c r="EU20" s="354">
        <f t="shared" si="92"/>
        <v>0.95872694221771915</v>
      </c>
      <c r="EV20" s="354">
        <f t="shared" si="92"/>
        <v>0.95951309086601111</v>
      </c>
      <c r="EW20" s="354">
        <f t="shared" si="92"/>
        <v>0.95997990127981558</v>
      </c>
      <c r="EX20" s="354">
        <f t="shared" si="92"/>
        <v>0.96031394765571976</v>
      </c>
      <c r="EY20" s="354">
        <f t="shared" si="92"/>
        <v>0.96054641598119861</v>
      </c>
      <c r="EZ20" s="354">
        <f t="shared" si="92"/>
        <v>0.95967457706766912</v>
      </c>
      <c r="FA20" s="354">
        <f t="shared" si="92"/>
        <v>0.95978928884986836</v>
      </c>
      <c r="FB20" s="354">
        <f t="shared" si="92"/>
        <v>0.95955226933980187</v>
      </c>
      <c r="FC20" s="354">
        <f t="shared" si="92"/>
        <v>0.95868324798829552</v>
      </c>
      <c r="FD20" s="354">
        <f t="shared" si="92"/>
        <v>0.95875269067426838</v>
      </c>
      <c r="FE20" s="354">
        <f t="shared" si="92"/>
        <v>0.95855147080091396</v>
      </c>
      <c r="FF20" s="354">
        <f t="shared" si="92"/>
        <v>0.95737327188940091</v>
      </c>
      <c r="FG20" s="354">
        <f t="shared" si="92"/>
        <v>0.95734203670302609</v>
      </c>
      <c r="FH20" s="354">
        <f t="shared" si="92"/>
        <v>0.95707308713906258</v>
      </c>
      <c r="FI20" s="354">
        <f t="shared" si="92"/>
        <v>0.95525866969869244</v>
      </c>
      <c r="FJ20" s="354">
        <f t="shared" si="92"/>
        <v>0.95585945241937764</v>
      </c>
      <c r="FK20" s="354">
        <f t="shared" si="92"/>
        <v>0.95644201201794232</v>
      </c>
      <c r="FL20" s="354">
        <f t="shared" si="92"/>
        <v>0.95509547852085863</v>
      </c>
      <c r="FM20" s="354">
        <f t="shared" si="92"/>
        <v>0.95554494650228872</v>
      </c>
      <c r="FN20" s="354">
        <f t="shared" si="92"/>
        <v>0.9559408436502157</v>
      </c>
      <c r="FO20" s="354">
        <f t="shared" si="92"/>
        <v>0.95539971949509117</v>
      </c>
      <c r="FP20" s="354">
        <f t="shared" si="92"/>
        <v>0.95596166205605393</v>
      </c>
      <c r="FQ20" s="354">
        <f t="shared" si="92"/>
        <v>0.95663640654062909</v>
      </c>
      <c r="FR20" s="354">
        <f t="shared" ref="FR20:FT20" si="93">SUM(FR17/FR18)</f>
        <v>0.95548697417076767</v>
      </c>
      <c r="FS20" s="354">
        <f t="shared" si="93"/>
        <v>0.95616461087449522</v>
      </c>
      <c r="FT20" s="354">
        <f t="shared" si="93"/>
        <v>0.95695346022664762</v>
      </c>
    </row>
    <row r="21" spans="1:176" x14ac:dyDescent="0.25">
      <c r="A21" s="20"/>
      <c r="C21" s="38"/>
      <c r="O21" s="86"/>
      <c r="Z21" s="20"/>
      <c r="AM21" s="74"/>
      <c r="AY21" s="74"/>
      <c r="BJ21" s="20"/>
      <c r="BV21" s="20"/>
      <c r="BW21" s="74"/>
      <c r="BX21" s="18"/>
      <c r="BY21" s="18"/>
      <c r="BZ21" s="18"/>
      <c r="CA21" s="18"/>
      <c r="CB21" s="18"/>
      <c r="CD21" s="18"/>
      <c r="CE21" s="18"/>
      <c r="CF21" s="18"/>
      <c r="CG21" s="18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18"/>
      <c r="CV21" s="18"/>
      <c r="CW21" s="18"/>
      <c r="CX21" s="18"/>
      <c r="DF21" s="20"/>
      <c r="DM21" s="69"/>
      <c r="DN21" s="275"/>
      <c r="DO21" s="275"/>
      <c r="DV21" s="302"/>
      <c r="DW21" s="302"/>
      <c r="DX21" s="302"/>
      <c r="EE21" s="302"/>
      <c r="EF21" s="302"/>
      <c r="EG21" s="302"/>
    </row>
    <row r="22" spans="1:176" hidden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81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20"/>
      <c r="AM22" s="74"/>
      <c r="AY22" s="74"/>
      <c r="BJ22" s="20"/>
      <c r="BV22" s="20"/>
      <c r="BW22" s="74"/>
      <c r="BX22" s="18"/>
      <c r="BY22" s="18"/>
      <c r="BZ22" s="18"/>
      <c r="CA22" s="18"/>
      <c r="CB22" s="18"/>
      <c r="CD22" s="18"/>
      <c r="CE22" s="18"/>
      <c r="CF22" s="18"/>
      <c r="CG22" s="18"/>
      <c r="CH22" s="89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18"/>
      <c r="CV22" s="18"/>
      <c r="CW22" s="18"/>
      <c r="CX22" s="18"/>
      <c r="DF22" s="20"/>
      <c r="DM22" s="69"/>
      <c r="DN22" s="275"/>
      <c r="DO22" s="275"/>
      <c r="DV22" s="302"/>
      <c r="DW22" s="302"/>
      <c r="DX22" s="302"/>
      <c r="EE22" s="302"/>
      <c r="EF22" s="302"/>
      <c r="EG22" s="302"/>
    </row>
    <row r="23" spans="1:176" hidden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81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20"/>
      <c r="AM23" s="74"/>
      <c r="AY23" s="74"/>
      <c r="BJ23" s="20"/>
      <c r="BV23" s="20"/>
      <c r="BW23" s="74"/>
      <c r="BX23" s="18"/>
      <c r="BY23" s="18"/>
      <c r="BZ23" s="18"/>
      <c r="CA23" s="18"/>
      <c r="CB23" s="18"/>
      <c r="CD23" s="18"/>
      <c r="CE23" s="18"/>
      <c r="CF23" s="18"/>
      <c r="CG23" s="18"/>
      <c r="CH23" s="89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18"/>
      <c r="CV23" s="18"/>
      <c r="CW23" s="18"/>
      <c r="CX23" s="18"/>
      <c r="DF23" s="20"/>
      <c r="DM23" s="69"/>
      <c r="DN23" s="275"/>
      <c r="DO23" s="275"/>
      <c r="DV23" s="302"/>
      <c r="DW23" s="302"/>
      <c r="DX23" s="302"/>
      <c r="EE23" s="302"/>
      <c r="EF23" s="302"/>
      <c r="EG23" s="302"/>
    </row>
    <row r="24" spans="1:176" hidden="1" x14ac:dyDescent="0.25">
      <c r="B24" s="3" t="s">
        <v>1</v>
      </c>
      <c r="C24" s="29">
        <f>D24</f>
        <v>29</v>
      </c>
      <c r="D24" s="2">
        <v>29</v>
      </c>
      <c r="E24" s="2">
        <v>34</v>
      </c>
      <c r="F24" s="2">
        <v>31</v>
      </c>
      <c r="G24" s="42">
        <v>34</v>
      </c>
      <c r="H24" s="6">
        <v>31</v>
      </c>
      <c r="I24" s="42">
        <v>36</v>
      </c>
      <c r="J24" s="42">
        <v>38</v>
      </c>
      <c r="K24" s="42">
        <v>39</v>
      </c>
      <c r="L24" s="16">
        <v>43</v>
      </c>
      <c r="M24" s="16">
        <v>41</v>
      </c>
      <c r="N24" s="16">
        <v>38</v>
      </c>
      <c r="O24" s="121">
        <f>36+3</f>
        <v>39</v>
      </c>
      <c r="P24" s="2">
        <f>36+5</f>
        <v>41</v>
      </c>
      <c r="Q24" s="2">
        <f>40+3</f>
        <v>43</v>
      </c>
      <c r="R24" s="2">
        <v>42</v>
      </c>
      <c r="S24" s="2">
        <v>40</v>
      </c>
      <c r="T24" s="2">
        <v>46</v>
      </c>
      <c r="U24" s="2">
        <f>47</f>
        <v>47</v>
      </c>
      <c r="V24" s="2">
        <v>45</v>
      </c>
      <c r="W24" s="2">
        <v>40</v>
      </c>
      <c r="X24" s="2">
        <v>42</v>
      </c>
      <c r="Y24" s="2">
        <v>38</v>
      </c>
      <c r="Z24" s="20">
        <v>41</v>
      </c>
      <c r="AA24" s="2">
        <f>39+5</f>
        <v>44</v>
      </c>
      <c r="AB24" s="2">
        <f>39+2</f>
        <v>41</v>
      </c>
      <c r="AC24" s="2">
        <f>93+2</f>
        <v>95</v>
      </c>
      <c r="AD24" s="2">
        <f>97+2</f>
        <v>99</v>
      </c>
      <c r="AE24" s="2">
        <f>99+3</f>
        <v>102</v>
      </c>
      <c r="AF24" s="2">
        <f>99+4</f>
        <v>103</v>
      </c>
      <c r="AG24" s="2">
        <f>112+4</f>
        <v>116</v>
      </c>
      <c r="AH24" s="2">
        <f>112+4</f>
        <v>116</v>
      </c>
      <c r="AI24" s="2">
        <f>113+4</f>
        <v>117</v>
      </c>
      <c r="AJ24" s="2">
        <f>111+4</f>
        <v>115</v>
      </c>
      <c r="AK24" s="2">
        <f>109+4</f>
        <v>113</v>
      </c>
      <c r="AL24" s="2">
        <f>109+4</f>
        <v>113</v>
      </c>
      <c r="AM24" s="74">
        <f>105+4</f>
        <v>109</v>
      </c>
      <c r="AN24" s="2">
        <v>92</v>
      </c>
      <c r="AO24" s="2">
        <v>92</v>
      </c>
      <c r="AP24" s="2">
        <f>93</f>
        <v>93</v>
      </c>
      <c r="AQ24" s="2">
        <v>92</v>
      </c>
      <c r="AR24" s="2">
        <v>88</v>
      </c>
      <c r="AS24" s="2">
        <f>86</f>
        <v>86</v>
      </c>
      <c r="AT24" s="2">
        <v>85</v>
      </c>
      <c r="AU24" s="2">
        <v>86</v>
      </c>
      <c r="AV24" s="2">
        <v>82</v>
      </c>
      <c r="AW24" s="2">
        <v>84</v>
      </c>
      <c r="AX24" s="2">
        <v>81</v>
      </c>
      <c r="AY24" s="74">
        <f>82+3</f>
        <v>85</v>
      </c>
      <c r="AZ24" s="2">
        <f>81+3</f>
        <v>84</v>
      </c>
      <c r="BA24" s="2">
        <f>82+3</f>
        <v>85</v>
      </c>
      <c r="BB24" s="2">
        <v>84</v>
      </c>
      <c r="BC24" s="2">
        <v>84</v>
      </c>
      <c r="BD24" s="2">
        <v>83</v>
      </c>
      <c r="BE24" s="68">
        <v>83</v>
      </c>
      <c r="BF24" s="68">
        <v>84</v>
      </c>
      <c r="BG24" s="185">
        <v>80</v>
      </c>
      <c r="BH24" s="2">
        <f>73</f>
        <v>73</v>
      </c>
      <c r="BI24" s="185">
        <v>72</v>
      </c>
      <c r="BJ24" s="190">
        <v>72</v>
      </c>
      <c r="BK24" s="2">
        <f>71+3</f>
        <v>74</v>
      </c>
      <c r="BL24" s="2">
        <f>67+3</f>
        <v>70</v>
      </c>
      <c r="BM24" s="2">
        <f>66+3</f>
        <v>69</v>
      </c>
      <c r="BN24" s="2">
        <v>69</v>
      </c>
      <c r="BO24" s="2">
        <v>72</v>
      </c>
      <c r="BP24" s="2">
        <v>70</v>
      </c>
      <c r="BQ24" s="2">
        <v>69</v>
      </c>
      <c r="BR24" s="2">
        <v>66</v>
      </c>
      <c r="BS24" s="2">
        <v>66</v>
      </c>
      <c r="BT24" s="2">
        <f>66</f>
        <v>66</v>
      </c>
      <c r="BU24" s="2">
        <v>66</v>
      </c>
      <c r="BV24" s="20">
        <v>66</v>
      </c>
      <c r="BW24" s="74">
        <v>67</v>
      </c>
      <c r="BX24" s="42">
        <v>65</v>
      </c>
      <c r="BY24" s="18">
        <v>64</v>
      </c>
      <c r="BZ24" s="42">
        <v>65</v>
      </c>
      <c r="CA24" s="42">
        <v>65</v>
      </c>
      <c r="CB24" s="18">
        <v>67</v>
      </c>
      <c r="CC24" s="218">
        <v>67</v>
      </c>
      <c r="CD24" s="218">
        <v>64</v>
      </c>
      <c r="CE24" s="218">
        <v>64</v>
      </c>
      <c r="CF24" s="257">
        <v>63</v>
      </c>
      <c r="CG24" s="257">
        <v>63</v>
      </c>
      <c r="CH24" s="89">
        <v>62</v>
      </c>
      <c r="CI24" s="71">
        <v>62</v>
      </c>
      <c r="CJ24" s="69">
        <v>62</v>
      </c>
      <c r="CK24" s="69">
        <v>65</v>
      </c>
      <c r="CL24" s="69">
        <v>63</v>
      </c>
      <c r="CM24" s="69">
        <v>62</v>
      </c>
      <c r="CN24" s="69">
        <v>62</v>
      </c>
      <c r="CO24" s="69">
        <v>61</v>
      </c>
      <c r="CP24" s="69">
        <v>61</v>
      </c>
      <c r="CQ24" s="69">
        <v>58</v>
      </c>
      <c r="CR24" s="69">
        <v>57</v>
      </c>
      <c r="CS24" s="69">
        <v>55</v>
      </c>
      <c r="CT24" s="89">
        <v>55</v>
      </c>
      <c r="CU24" s="284">
        <v>56</v>
      </c>
      <c r="CV24" s="284">
        <v>54</v>
      </c>
      <c r="CW24" s="284">
        <v>53</v>
      </c>
      <c r="CX24" s="284">
        <v>53</v>
      </c>
      <c r="CY24" s="284">
        <v>53</v>
      </c>
      <c r="CZ24" s="284">
        <v>53</v>
      </c>
      <c r="DA24" s="284">
        <v>53</v>
      </c>
      <c r="DB24" s="284">
        <v>51</v>
      </c>
      <c r="DC24" s="284">
        <v>49</v>
      </c>
      <c r="DD24" s="284">
        <v>47</v>
      </c>
      <c r="DE24" s="284">
        <v>47</v>
      </c>
      <c r="DF24" s="20">
        <v>47</v>
      </c>
      <c r="DG24" s="284">
        <v>46</v>
      </c>
      <c r="DH24" s="284">
        <v>45</v>
      </c>
      <c r="DI24" s="284">
        <v>46</v>
      </c>
      <c r="DJ24" s="284">
        <v>48</v>
      </c>
      <c r="DK24" s="284">
        <v>48</v>
      </c>
      <c r="DL24" s="284">
        <v>48</v>
      </c>
      <c r="DM24" s="275">
        <v>47</v>
      </c>
      <c r="DN24" s="327">
        <v>47</v>
      </c>
      <c r="DO24" s="327">
        <v>47</v>
      </c>
      <c r="DP24" s="284">
        <v>53</v>
      </c>
      <c r="DQ24" s="284">
        <v>52</v>
      </c>
      <c r="DR24" s="284">
        <v>53</v>
      </c>
      <c r="DS24" s="302">
        <v>55</v>
      </c>
      <c r="DT24" s="284">
        <v>56</v>
      </c>
      <c r="DU24" s="284">
        <v>52</v>
      </c>
      <c r="DV24" s="362">
        <v>52</v>
      </c>
      <c r="DW24" s="362">
        <v>46</v>
      </c>
      <c r="DX24" s="362">
        <v>8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362">
        <v>0</v>
      </c>
      <c r="FE24" s="362">
        <v>0</v>
      </c>
      <c r="FF24" s="362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362">
        <v>0</v>
      </c>
      <c r="FM24" s="362">
        <v>0</v>
      </c>
      <c r="FN24" s="362">
        <v>0</v>
      </c>
      <c r="FO24" s="362">
        <v>0</v>
      </c>
      <c r="FP24" s="362">
        <v>0</v>
      </c>
      <c r="FQ24" s="362">
        <v>0</v>
      </c>
      <c r="FR24" s="362">
        <v>0</v>
      </c>
      <c r="FS24" s="362">
        <v>0</v>
      </c>
      <c r="FT24" s="362">
        <v>0</v>
      </c>
    </row>
    <row r="25" spans="1:176" ht="13.8" hidden="1" thickBot="1" x14ac:dyDescent="0.3">
      <c r="B25" s="5" t="s">
        <v>8</v>
      </c>
      <c r="C25" s="30">
        <v>5</v>
      </c>
      <c r="D25" s="17">
        <v>9</v>
      </c>
      <c r="E25" s="17">
        <v>17</v>
      </c>
      <c r="F25" s="17">
        <v>20</v>
      </c>
      <c r="G25" s="17">
        <v>20</v>
      </c>
      <c r="H25" s="17">
        <v>18</v>
      </c>
      <c r="I25" s="17">
        <v>25</v>
      </c>
      <c r="J25" s="17">
        <v>25</v>
      </c>
      <c r="K25" s="17">
        <v>28</v>
      </c>
      <c r="L25" s="17">
        <v>27</v>
      </c>
      <c r="M25" s="17">
        <v>20</v>
      </c>
      <c r="N25" s="17">
        <v>24</v>
      </c>
      <c r="O25" s="175">
        <f>17+4</f>
        <v>21</v>
      </c>
      <c r="P25" s="17">
        <f>13+4</f>
        <v>17</v>
      </c>
      <c r="Q25" s="17">
        <f>19+10</f>
        <v>29</v>
      </c>
      <c r="R25" s="17">
        <v>30</v>
      </c>
      <c r="S25" s="17">
        <v>27</v>
      </c>
      <c r="T25" s="17">
        <v>23</v>
      </c>
      <c r="U25" s="17">
        <v>26</v>
      </c>
      <c r="V25" s="17">
        <v>28</v>
      </c>
      <c r="W25" s="17">
        <v>25</v>
      </c>
      <c r="X25" s="17">
        <v>27</v>
      </c>
      <c r="Y25" s="17">
        <v>24</v>
      </c>
      <c r="Z25" s="22">
        <v>34</v>
      </c>
      <c r="AA25" s="2">
        <f>25+10</f>
        <v>35</v>
      </c>
      <c r="AB25" s="2">
        <f>26+11</f>
        <v>37</v>
      </c>
      <c r="AC25" s="2">
        <f>56+9</f>
        <v>65</v>
      </c>
      <c r="AD25" s="2">
        <f>70+12</f>
        <v>82</v>
      </c>
      <c r="AE25" s="2">
        <f>69+6</f>
        <v>75</v>
      </c>
      <c r="AF25" s="2">
        <f>76+16</f>
        <v>92</v>
      </c>
      <c r="AG25" s="2">
        <f>87+23</f>
        <v>110</v>
      </c>
      <c r="AH25" s="2">
        <f>83+21</f>
        <v>104</v>
      </c>
      <c r="AI25" s="2">
        <f>83+21</f>
        <v>104</v>
      </c>
      <c r="AJ25" s="2">
        <f>87+22</f>
        <v>109</v>
      </c>
      <c r="AK25" s="2">
        <f>87+22</f>
        <v>109</v>
      </c>
      <c r="AL25" s="2">
        <f>86+22</f>
        <v>108</v>
      </c>
      <c r="AM25" s="74">
        <v>114</v>
      </c>
      <c r="AN25" s="2">
        <v>126</v>
      </c>
      <c r="AO25" s="2">
        <v>127</v>
      </c>
      <c r="AP25" s="2">
        <v>125</v>
      </c>
      <c r="AQ25" s="2">
        <v>126</v>
      </c>
      <c r="AR25" s="2">
        <v>130</v>
      </c>
      <c r="AS25" s="2">
        <v>136</v>
      </c>
      <c r="AT25" s="2">
        <v>135</v>
      </c>
      <c r="AU25" s="2">
        <v>136</v>
      </c>
      <c r="AV25" s="2">
        <v>140</v>
      </c>
      <c r="AW25" s="2">
        <v>143</v>
      </c>
      <c r="AX25" s="2">
        <v>140</v>
      </c>
      <c r="AY25" s="74">
        <f>116+21</f>
        <v>137</v>
      </c>
      <c r="AZ25" s="2">
        <f>114+21</f>
        <v>135</v>
      </c>
      <c r="BA25" s="2">
        <f>116+22</f>
        <v>138</v>
      </c>
      <c r="BB25" s="2">
        <v>139</v>
      </c>
      <c r="BC25" s="2">
        <v>137</v>
      </c>
      <c r="BD25" s="2">
        <v>140</v>
      </c>
      <c r="BE25" s="2">
        <f>119+161</f>
        <v>280</v>
      </c>
      <c r="BF25" s="2">
        <f>117+168</f>
        <v>285</v>
      </c>
      <c r="BG25" s="2">
        <f>124+172</f>
        <v>296</v>
      </c>
      <c r="BH25" s="2">
        <v>146</v>
      </c>
      <c r="BI25" s="2">
        <v>151</v>
      </c>
      <c r="BJ25" s="20">
        <v>150</v>
      </c>
      <c r="BK25" s="2">
        <f>137+21</f>
        <v>158</v>
      </c>
      <c r="BL25" s="2">
        <f>138+22</f>
        <v>160</v>
      </c>
      <c r="BM25" s="2">
        <f>138+21</f>
        <v>159</v>
      </c>
      <c r="BN25" s="2">
        <f>136+21</f>
        <v>157</v>
      </c>
      <c r="BO25" s="2">
        <f>140+21</f>
        <v>161</v>
      </c>
      <c r="BP25" s="2">
        <f>147+21</f>
        <v>168</v>
      </c>
      <c r="BQ25" s="2">
        <v>159</v>
      </c>
      <c r="BR25" s="2">
        <v>162</v>
      </c>
      <c r="BS25" s="2">
        <v>163</v>
      </c>
      <c r="BT25" s="2">
        <v>161</v>
      </c>
      <c r="BU25" s="2">
        <v>163</v>
      </c>
      <c r="BV25" s="20">
        <v>164</v>
      </c>
      <c r="BW25" s="74">
        <v>162</v>
      </c>
      <c r="BX25" s="42">
        <v>165</v>
      </c>
      <c r="BY25" s="18">
        <v>165</v>
      </c>
      <c r="BZ25" s="42">
        <v>162</v>
      </c>
      <c r="CA25" s="42">
        <v>162</v>
      </c>
      <c r="CB25" s="18">
        <v>163</v>
      </c>
      <c r="CC25" s="218">
        <v>166</v>
      </c>
      <c r="CD25" s="218">
        <v>168</v>
      </c>
      <c r="CE25" s="218">
        <v>168</v>
      </c>
      <c r="CF25" s="257">
        <v>168</v>
      </c>
      <c r="CG25" s="257">
        <v>171</v>
      </c>
      <c r="CH25" s="93">
        <v>174</v>
      </c>
      <c r="CI25" s="72">
        <v>169</v>
      </c>
      <c r="CJ25" s="92">
        <v>171</v>
      </c>
      <c r="CK25" s="92">
        <v>172</v>
      </c>
      <c r="CL25" s="92">
        <f>157+19</f>
        <v>176</v>
      </c>
      <c r="CM25" s="92">
        <v>177</v>
      </c>
      <c r="CN25" s="92">
        <v>180</v>
      </c>
      <c r="CO25" s="92">
        <v>189</v>
      </c>
      <c r="CP25" s="92">
        <v>189</v>
      </c>
      <c r="CQ25" s="92">
        <v>191</v>
      </c>
      <c r="CR25" s="92">
        <v>186</v>
      </c>
      <c r="CS25" s="92">
        <v>188</v>
      </c>
      <c r="CT25" s="93">
        <v>188</v>
      </c>
      <c r="CU25" s="286">
        <v>186</v>
      </c>
      <c r="CV25" s="287">
        <v>188</v>
      </c>
      <c r="CW25" s="287">
        <v>189</v>
      </c>
      <c r="CX25" s="112">
        <v>189</v>
      </c>
      <c r="CY25" s="112">
        <v>188</v>
      </c>
      <c r="CZ25" s="112">
        <v>190</v>
      </c>
      <c r="DA25" s="112">
        <v>189</v>
      </c>
      <c r="DB25" s="112">
        <v>191</v>
      </c>
      <c r="DC25" s="112">
        <v>192</v>
      </c>
      <c r="DD25" s="112">
        <v>194</v>
      </c>
      <c r="DE25" s="112">
        <v>194</v>
      </c>
      <c r="DF25" s="197">
        <v>194</v>
      </c>
      <c r="DG25" s="307">
        <v>193</v>
      </c>
      <c r="DH25" s="308">
        <v>194</v>
      </c>
      <c r="DI25" s="308">
        <v>191</v>
      </c>
      <c r="DJ25" s="92">
        <f>169+22</f>
        <v>191</v>
      </c>
      <c r="DK25" s="92">
        <f>169+22</f>
        <v>191</v>
      </c>
      <c r="DL25" s="92">
        <f>169+22</f>
        <v>191</v>
      </c>
      <c r="DM25" s="92">
        <f>171+23</f>
        <v>194</v>
      </c>
      <c r="DN25" s="92">
        <f>169+23</f>
        <v>192</v>
      </c>
      <c r="DO25" s="92">
        <f>170+23</f>
        <v>193</v>
      </c>
      <c r="DP25" s="92">
        <v>230</v>
      </c>
      <c r="DQ25" s="112">
        <v>233</v>
      </c>
      <c r="DR25" s="112">
        <v>230</v>
      </c>
      <c r="DS25" s="349">
        <v>228</v>
      </c>
      <c r="DT25" s="112">
        <v>228</v>
      </c>
      <c r="DU25" s="349">
        <v>232</v>
      </c>
      <c r="DV25" s="308">
        <v>233</v>
      </c>
      <c r="DW25" s="308">
        <v>241</v>
      </c>
      <c r="DX25" s="308">
        <v>286</v>
      </c>
      <c r="DY25" s="308">
        <v>307</v>
      </c>
      <c r="DZ25" s="349">
        <v>309</v>
      </c>
      <c r="EA25" s="112">
        <v>314</v>
      </c>
      <c r="EB25" s="308">
        <v>299</v>
      </c>
      <c r="EC25" s="308">
        <v>303</v>
      </c>
      <c r="ED25" s="308">
        <v>307</v>
      </c>
      <c r="EE25" s="92">
        <f>294+29</f>
        <v>323</v>
      </c>
      <c r="EF25" s="92">
        <f>289+29</f>
        <v>318</v>
      </c>
      <c r="EG25" s="92">
        <f>274+28</f>
        <v>302</v>
      </c>
      <c r="EH25" s="112">
        <v>320</v>
      </c>
      <c r="EI25" s="112">
        <v>329</v>
      </c>
      <c r="EJ25" s="112">
        <v>331</v>
      </c>
      <c r="EK25" s="112">
        <v>333</v>
      </c>
      <c r="EL25" s="112">
        <v>342</v>
      </c>
      <c r="EM25" s="112">
        <v>340</v>
      </c>
      <c r="EN25" s="308">
        <v>345</v>
      </c>
      <c r="EO25" s="308">
        <v>345</v>
      </c>
      <c r="EP25" s="308">
        <v>349</v>
      </c>
      <c r="EQ25" s="308">
        <v>355</v>
      </c>
      <c r="ER25" s="308">
        <v>358</v>
      </c>
      <c r="ES25" s="308">
        <v>361</v>
      </c>
      <c r="ET25" s="308">
        <v>362</v>
      </c>
      <c r="EU25" s="112">
        <v>373</v>
      </c>
      <c r="EV25" s="112">
        <v>373</v>
      </c>
      <c r="EW25" s="308">
        <v>378</v>
      </c>
      <c r="EX25" s="308">
        <v>379</v>
      </c>
      <c r="EY25" s="308">
        <v>381</v>
      </c>
      <c r="EZ25" s="308">
        <v>384</v>
      </c>
      <c r="FA25" s="112">
        <v>389</v>
      </c>
      <c r="FB25" s="112">
        <v>393</v>
      </c>
      <c r="FC25" s="112">
        <v>394</v>
      </c>
      <c r="FD25" s="112">
        <v>394</v>
      </c>
      <c r="FE25" s="112">
        <v>395</v>
      </c>
      <c r="FF25" s="112">
        <v>400</v>
      </c>
      <c r="FG25" s="112">
        <v>401</v>
      </c>
      <c r="FH25" s="112">
        <v>405</v>
      </c>
      <c r="FI25" s="112">
        <f>377+33</f>
        <v>410</v>
      </c>
      <c r="FJ25" s="112">
        <f>381+33</f>
        <v>414</v>
      </c>
      <c r="FK25" s="112">
        <f>383+33</f>
        <v>416</v>
      </c>
      <c r="FL25" s="112">
        <f>390+33</f>
        <v>423</v>
      </c>
      <c r="FM25" s="112">
        <f>392+33</f>
        <v>425</v>
      </c>
      <c r="FN25" s="112">
        <f>394+33</f>
        <v>427</v>
      </c>
      <c r="FO25" s="112">
        <f>396+35</f>
        <v>431</v>
      </c>
      <c r="FP25" s="112">
        <f>396+36</f>
        <v>432</v>
      </c>
      <c r="FQ25" s="112">
        <f>402+36</f>
        <v>438</v>
      </c>
      <c r="FR25" s="112">
        <f>405+36</f>
        <v>441</v>
      </c>
      <c r="FS25" s="112">
        <f>403+38</f>
        <v>441</v>
      </c>
      <c r="FT25" s="112">
        <f>402+40</f>
        <v>442</v>
      </c>
    </row>
    <row r="26" spans="1:176" ht="13.8" hidden="1" thickTop="1" x14ac:dyDescent="0.25">
      <c r="B26" s="3" t="s">
        <v>9</v>
      </c>
      <c r="C26" s="25">
        <f t="shared" ref="C26:Q26" si="94">SUM(C24:C25)</f>
        <v>34</v>
      </c>
      <c r="D26" s="8">
        <f t="shared" si="94"/>
        <v>38</v>
      </c>
      <c r="E26" s="8">
        <f t="shared" si="94"/>
        <v>51</v>
      </c>
      <c r="F26" s="8">
        <f t="shared" si="94"/>
        <v>51</v>
      </c>
      <c r="G26" s="8">
        <f t="shared" si="94"/>
        <v>54</v>
      </c>
      <c r="H26" s="8">
        <f t="shared" si="94"/>
        <v>49</v>
      </c>
      <c r="I26" s="8">
        <f t="shared" si="94"/>
        <v>61</v>
      </c>
      <c r="J26" s="8">
        <f t="shared" si="94"/>
        <v>63</v>
      </c>
      <c r="K26" s="8">
        <f t="shared" si="94"/>
        <v>67</v>
      </c>
      <c r="L26" s="8">
        <f t="shared" si="94"/>
        <v>70</v>
      </c>
      <c r="M26" s="8">
        <f t="shared" si="94"/>
        <v>61</v>
      </c>
      <c r="N26" s="80">
        <f t="shared" si="94"/>
        <v>62</v>
      </c>
      <c r="O26" s="176">
        <f t="shared" si="94"/>
        <v>60</v>
      </c>
      <c r="P26" s="8">
        <f t="shared" si="94"/>
        <v>58</v>
      </c>
      <c r="Q26" s="8">
        <f t="shared" si="94"/>
        <v>72</v>
      </c>
      <c r="R26" s="8">
        <f>SUM(R24:R25)</f>
        <v>72</v>
      </c>
      <c r="S26" s="8">
        <f>SUM(S24:S25)</f>
        <v>67</v>
      </c>
      <c r="T26" s="8">
        <f>SUM(T24:T25)</f>
        <v>69</v>
      </c>
      <c r="U26" s="8">
        <f t="shared" ref="U26:Z26" si="95">SUM(U24:U25)</f>
        <v>73</v>
      </c>
      <c r="V26" s="8">
        <f t="shared" si="95"/>
        <v>73</v>
      </c>
      <c r="W26" s="8">
        <f t="shared" si="95"/>
        <v>65</v>
      </c>
      <c r="X26" s="8">
        <f t="shared" si="95"/>
        <v>69</v>
      </c>
      <c r="Y26" s="8">
        <f t="shared" si="95"/>
        <v>62</v>
      </c>
      <c r="Z26" s="9">
        <f t="shared" si="95"/>
        <v>75</v>
      </c>
      <c r="AA26" s="80">
        <f t="shared" ref="AA26:AF26" si="96">SUM(AA24:AA25)</f>
        <v>79</v>
      </c>
      <c r="AB26" s="80">
        <f t="shared" si="96"/>
        <v>78</v>
      </c>
      <c r="AC26" s="80">
        <f t="shared" si="96"/>
        <v>160</v>
      </c>
      <c r="AD26" s="80">
        <f t="shared" si="96"/>
        <v>181</v>
      </c>
      <c r="AE26" s="80">
        <f t="shared" si="96"/>
        <v>177</v>
      </c>
      <c r="AF26" s="80">
        <f t="shared" si="96"/>
        <v>195</v>
      </c>
      <c r="AG26" s="80">
        <f t="shared" ref="AG26:AL26" si="97">SUM(AG24:AG25)</f>
        <v>226</v>
      </c>
      <c r="AH26" s="80">
        <f t="shared" si="97"/>
        <v>220</v>
      </c>
      <c r="AI26" s="80">
        <f t="shared" si="97"/>
        <v>221</v>
      </c>
      <c r="AJ26" s="80">
        <f t="shared" si="97"/>
        <v>224</v>
      </c>
      <c r="AK26" s="80">
        <f t="shared" si="97"/>
        <v>222</v>
      </c>
      <c r="AL26" s="80">
        <f t="shared" si="97"/>
        <v>221</v>
      </c>
      <c r="AM26" s="194">
        <f t="shared" ref="AM26:AR26" si="98">SUM(AM24:AM25)</f>
        <v>223</v>
      </c>
      <c r="AN26" s="80">
        <f t="shared" si="98"/>
        <v>218</v>
      </c>
      <c r="AO26" s="80">
        <f t="shared" si="98"/>
        <v>219</v>
      </c>
      <c r="AP26" s="80">
        <f t="shared" si="98"/>
        <v>218</v>
      </c>
      <c r="AQ26" s="80">
        <f t="shared" si="98"/>
        <v>218</v>
      </c>
      <c r="AR26" s="80">
        <f t="shared" si="98"/>
        <v>218</v>
      </c>
      <c r="AS26" s="80">
        <f t="shared" ref="AS26:AX26" si="99">SUM(AS24:AS25)</f>
        <v>222</v>
      </c>
      <c r="AT26" s="80">
        <f t="shared" si="99"/>
        <v>220</v>
      </c>
      <c r="AU26" s="80">
        <f t="shared" si="99"/>
        <v>222</v>
      </c>
      <c r="AV26" s="80">
        <f t="shared" si="99"/>
        <v>222</v>
      </c>
      <c r="AW26" s="80">
        <f t="shared" si="99"/>
        <v>227</v>
      </c>
      <c r="AX26" s="80">
        <f t="shared" si="99"/>
        <v>221</v>
      </c>
      <c r="AY26" s="194">
        <f t="shared" ref="AY26:BJ26" si="100">SUM(AY24:AY25)</f>
        <v>222</v>
      </c>
      <c r="AZ26" s="80">
        <f t="shared" si="100"/>
        <v>219</v>
      </c>
      <c r="BA26" s="80">
        <f t="shared" si="100"/>
        <v>223</v>
      </c>
      <c r="BB26" s="80">
        <f t="shared" si="100"/>
        <v>223</v>
      </c>
      <c r="BC26" s="80">
        <f t="shared" si="100"/>
        <v>221</v>
      </c>
      <c r="BD26" s="80">
        <f t="shared" si="100"/>
        <v>223</v>
      </c>
      <c r="BE26" s="80">
        <f t="shared" si="100"/>
        <v>363</v>
      </c>
      <c r="BF26" s="80">
        <f t="shared" si="100"/>
        <v>369</v>
      </c>
      <c r="BG26" s="80">
        <f t="shared" si="100"/>
        <v>376</v>
      </c>
      <c r="BH26" s="80">
        <f t="shared" si="100"/>
        <v>219</v>
      </c>
      <c r="BI26" s="80">
        <f t="shared" si="100"/>
        <v>223</v>
      </c>
      <c r="BJ26" s="10">
        <f t="shared" si="100"/>
        <v>222</v>
      </c>
      <c r="BK26" s="80">
        <f t="shared" ref="BK26:BP26" si="101">SUM(BK24:BK25)</f>
        <v>232</v>
      </c>
      <c r="BL26" s="80">
        <f t="shared" si="101"/>
        <v>230</v>
      </c>
      <c r="BM26" s="80">
        <f t="shared" si="101"/>
        <v>228</v>
      </c>
      <c r="BN26" s="80">
        <f t="shared" si="101"/>
        <v>226</v>
      </c>
      <c r="BO26" s="80">
        <f t="shared" si="101"/>
        <v>233</v>
      </c>
      <c r="BP26" s="80">
        <f t="shared" si="101"/>
        <v>238</v>
      </c>
      <c r="BQ26" s="80">
        <f t="shared" ref="BQ26:BV26" si="102">SUM(BQ24:BQ25)</f>
        <v>228</v>
      </c>
      <c r="BR26" s="80">
        <f t="shared" si="102"/>
        <v>228</v>
      </c>
      <c r="BS26" s="80">
        <f t="shared" si="102"/>
        <v>229</v>
      </c>
      <c r="BT26" s="80">
        <f t="shared" si="102"/>
        <v>227</v>
      </c>
      <c r="BU26" s="80">
        <f t="shared" si="102"/>
        <v>229</v>
      </c>
      <c r="BV26" s="10">
        <f t="shared" si="102"/>
        <v>230</v>
      </c>
      <c r="BW26" s="194">
        <f t="shared" ref="BW26:CB26" si="103">SUM(BW24:BW25)</f>
        <v>229</v>
      </c>
      <c r="BX26" s="80">
        <f t="shared" si="103"/>
        <v>230</v>
      </c>
      <c r="BY26" s="80">
        <f t="shared" si="103"/>
        <v>229</v>
      </c>
      <c r="BZ26" s="80">
        <f t="shared" si="103"/>
        <v>227</v>
      </c>
      <c r="CA26" s="80">
        <f t="shared" si="103"/>
        <v>227</v>
      </c>
      <c r="CB26" s="80">
        <f t="shared" si="103"/>
        <v>230</v>
      </c>
      <c r="CC26" s="80">
        <f t="shared" ref="CC26:DK26" si="104">SUM(CC24:CC25)</f>
        <v>233</v>
      </c>
      <c r="CD26" s="80">
        <f t="shared" si="104"/>
        <v>232</v>
      </c>
      <c r="CE26" s="80">
        <f t="shared" si="104"/>
        <v>232</v>
      </c>
      <c r="CF26" s="80">
        <f t="shared" si="104"/>
        <v>231</v>
      </c>
      <c r="CG26" s="80">
        <f t="shared" si="104"/>
        <v>234</v>
      </c>
      <c r="CH26" s="107">
        <f t="shared" si="104"/>
        <v>236</v>
      </c>
      <c r="CI26" s="106">
        <f t="shared" si="104"/>
        <v>231</v>
      </c>
      <c r="CJ26" s="94">
        <f t="shared" si="104"/>
        <v>233</v>
      </c>
      <c r="CK26" s="94">
        <f t="shared" si="104"/>
        <v>237</v>
      </c>
      <c r="CL26" s="94">
        <f t="shared" si="104"/>
        <v>239</v>
      </c>
      <c r="CM26" s="94">
        <f t="shared" si="104"/>
        <v>239</v>
      </c>
      <c r="CN26" s="94">
        <f t="shared" si="104"/>
        <v>242</v>
      </c>
      <c r="CO26" s="94">
        <f t="shared" si="104"/>
        <v>250</v>
      </c>
      <c r="CP26" s="94">
        <f t="shared" si="104"/>
        <v>250</v>
      </c>
      <c r="CQ26" s="94">
        <f t="shared" si="104"/>
        <v>249</v>
      </c>
      <c r="CR26" s="94">
        <f t="shared" si="104"/>
        <v>243</v>
      </c>
      <c r="CS26" s="94">
        <f t="shared" si="104"/>
        <v>243</v>
      </c>
      <c r="CT26" s="96">
        <f t="shared" si="104"/>
        <v>243</v>
      </c>
      <c r="CU26" s="94">
        <f t="shared" si="104"/>
        <v>242</v>
      </c>
      <c r="CV26" s="94">
        <f t="shared" si="104"/>
        <v>242</v>
      </c>
      <c r="CW26" s="94">
        <f t="shared" si="104"/>
        <v>242</v>
      </c>
      <c r="CX26" s="94">
        <f t="shared" si="104"/>
        <v>242</v>
      </c>
      <c r="CY26" s="94">
        <f t="shared" si="104"/>
        <v>241</v>
      </c>
      <c r="CZ26" s="94">
        <f t="shared" si="104"/>
        <v>243</v>
      </c>
      <c r="DA26" s="94">
        <f t="shared" si="104"/>
        <v>242</v>
      </c>
      <c r="DB26" s="94">
        <f t="shared" si="104"/>
        <v>242</v>
      </c>
      <c r="DC26" s="94">
        <f t="shared" si="104"/>
        <v>241</v>
      </c>
      <c r="DD26" s="94">
        <f t="shared" si="104"/>
        <v>241</v>
      </c>
      <c r="DE26" s="94">
        <f t="shared" si="104"/>
        <v>241</v>
      </c>
      <c r="DF26" s="107">
        <f t="shared" si="104"/>
        <v>241</v>
      </c>
      <c r="DG26" s="94">
        <f t="shared" si="104"/>
        <v>239</v>
      </c>
      <c r="DH26" s="94">
        <f t="shared" si="104"/>
        <v>239</v>
      </c>
      <c r="DI26" s="94">
        <f t="shared" si="104"/>
        <v>237</v>
      </c>
      <c r="DJ26" s="94">
        <f t="shared" si="104"/>
        <v>239</v>
      </c>
      <c r="DK26" s="94">
        <f t="shared" si="104"/>
        <v>239</v>
      </c>
      <c r="DL26" s="94">
        <f t="shared" ref="DL26:DR26" si="105">SUM(DL24:DL25)</f>
        <v>239</v>
      </c>
      <c r="DM26" s="94">
        <f t="shared" si="105"/>
        <v>241</v>
      </c>
      <c r="DN26" s="94">
        <f t="shared" si="105"/>
        <v>239</v>
      </c>
      <c r="DO26" s="94">
        <f t="shared" si="105"/>
        <v>240</v>
      </c>
      <c r="DP26" s="94">
        <f t="shared" si="105"/>
        <v>283</v>
      </c>
      <c r="DQ26" s="94">
        <f t="shared" si="105"/>
        <v>285</v>
      </c>
      <c r="DR26" s="94">
        <f t="shared" si="105"/>
        <v>283</v>
      </c>
      <c r="DS26" s="94">
        <f t="shared" ref="DS26:FH26" si="106">SUM(DS24:DS25)</f>
        <v>283</v>
      </c>
      <c r="DT26" s="94">
        <f t="shared" si="106"/>
        <v>284</v>
      </c>
      <c r="DU26" s="94">
        <f t="shared" si="106"/>
        <v>284</v>
      </c>
      <c r="DV26" s="358">
        <f t="shared" si="106"/>
        <v>285</v>
      </c>
      <c r="DW26" s="358">
        <f t="shared" si="106"/>
        <v>287</v>
      </c>
      <c r="DX26" s="358">
        <f t="shared" si="106"/>
        <v>294</v>
      </c>
      <c r="DY26" s="358">
        <f t="shared" si="106"/>
        <v>307</v>
      </c>
      <c r="DZ26" s="358">
        <f t="shared" si="106"/>
        <v>309</v>
      </c>
      <c r="EA26" s="358">
        <f t="shared" si="106"/>
        <v>314</v>
      </c>
      <c r="EB26" s="358">
        <f t="shared" si="106"/>
        <v>299</v>
      </c>
      <c r="EC26" s="358">
        <f t="shared" si="106"/>
        <v>303</v>
      </c>
      <c r="ED26" s="358">
        <f t="shared" si="106"/>
        <v>307</v>
      </c>
      <c r="EE26" s="358">
        <f t="shared" si="106"/>
        <v>323</v>
      </c>
      <c r="EF26" s="358">
        <f t="shared" si="106"/>
        <v>318</v>
      </c>
      <c r="EG26" s="358">
        <f t="shared" si="106"/>
        <v>302</v>
      </c>
      <c r="EH26" s="358">
        <f t="shared" si="106"/>
        <v>320</v>
      </c>
      <c r="EI26" s="358">
        <f t="shared" si="106"/>
        <v>329</v>
      </c>
      <c r="EJ26" s="358">
        <f t="shared" si="106"/>
        <v>331</v>
      </c>
      <c r="EK26" s="358">
        <f t="shared" si="106"/>
        <v>333</v>
      </c>
      <c r="EL26" s="358">
        <f t="shared" si="106"/>
        <v>342</v>
      </c>
      <c r="EM26" s="358">
        <f t="shared" si="106"/>
        <v>340</v>
      </c>
      <c r="EN26" s="358">
        <f t="shared" si="106"/>
        <v>345</v>
      </c>
      <c r="EO26" s="358">
        <f t="shared" si="106"/>
        <v>345</v>
      </c>
      <c r="EP26" s="358">
        <f t="shared" si="106"/>
        <v>349</v>
      </c>
      <c r="EQ26" s="358">
        <f t="shared" si="106"/>
        <v>355</v>
      </c>
      <c r="ER26" s="358">
        <f t="shared" si="106"/>
        <v>358</v>
      </c>
      <c r="ES26" s="358">
        <f t="shared" si="106"/>
        <v>361</v>
      </c>
      <c r="ET26" s="358">
        <f t="shared" si="106"/>
        <v>362</v>
      </c>
      <c r="EU26" s="358">
        <f t="shared" si="106"/>
        <v>373</v>
      </c>
      <c r="EV26" s="358">
        <f t="shared" si="106"/>
        <v>373</v>
      </c>
      <c r="EW26" s="358">
        <f t="shared" si="106"/>
        <v>378</v>
      </c>
      <c r="EX26" s="358">
        <f t="shared" si="106"/>
        <v>379</v>
      </c>
      <c r="EY26" s="358">
        <f t="shared" si="106"/>
        <v>381</v>
      </c>
      <c r="EZ26" s="358">
        <f t="shared" si="106"/>
        <v>384</v>
      </c>
      <c r="FA26" s="358">
        <f t="shared" si="106"/>
        <v>389</v>
      </c>
      <c r="FB26" s="358">
        <f t="shared" si="106"/>
        <v>393</v>
      </c>
      <c r="FC26" s="358">
        <f t="shared" si="106"/>
        <v>394</v>
      </c>
      <c r="FD26" s="358">
        <f t="shared" si="106"/>
        <v>394</v>
      </c>
      <c r="FE26" s="358">
        <f t="shared" si="106"/>
        <v>395</v>
      </c>
      <c r="FF26" s="358">
        <f t="shared" si="106"/>
        <v>400</v>
      </c>
      <c r="FG26" s="358">
        <f t="shared" si="106"/>
        <v>401</v>
      </c>
      <c r="FH26" s="358">
        <f t="shared" si="106"/>
        <v>405</v>
      </c>
      <c r="FI26" s="358">
        <f t="shared" ref="FI26:FK26" si="107">SUM(FI24:FI25)</f>
        <v>410</v>
      </c>
      <c r="FJ26" s="358">
        <f t="shared" si="107"/>
        <v>414</v>
      </c>
      <c r="FK26" s="358">
        <f t="shared" si="107"/>
        <v>416</v>
      </c>
      <c r="FL26" s="358">
        <f t="shared" ref="FL26:FQ26" si="108">SUM(FL24:FL25)</f>
        <v>423</v>
      </c>
      <c r="FM26" s="358">
        <f t="shared" si="108"/>
        <v>425</v>
      </c>
      <c r="FN26" s="358">
        <f t="shared" si="108"/>
        <v>427</v>
      </c>
      <c r="FO26" s="358">
        <f t="shared" si="108"/>
        <v>431</v>
      </c>
      <c r="FP26" s="358">
        <f t="shared" si="108"/>
        <v>432</v>
      </c>
      <c r="FQ26" s="358">
        <f t="shared" si="108"/>
        <v>438</v>
      </c>
      <c r="FR26" s="358">
        <f t="shared" ref="FR26:FT26" si="109">SUM(FR24:FR25)</f>
        <v>441</v>
      </c>
      <c r="FS26" s="358">
        <f t="shared" si="109"/>
        <v>441</v>
      </c>
      <c r="FT26" s="358">
        <f t="shared" si="109"/>
        <v>442</v>
      </c>
    </row>
    <row r="27" spans="1:176" hidden="1" x14ac:dyDescent="0.25">
      <c r="B27" s="3" t="s">
        <v>10</v>
      </c>
      <c r="C27" s="36">
        <f t="shared" ref="C27:Q27" si="110">SUM(C24)/C26</f>
        <v>0.8529411764705882</v>
      </c>
      <c r="D27" s="14">
        <f t="shared" si="110"/>
        <v>0.76315789473684215</v>
      </c>
      <c r="E27" s="14">
        <f t="shared" si="110"/>
        <v>0.66666666666666663</v>
      </c>
      <c r="F27" s="14">
        <f t="shared" si="110"/>
        <v>0.60784313725490191</v>
      </c>
      <c r="G27" s="14">
        <f t="shared" si="110"/>
        <v>0.62962962962962965</v>
      </c>
      <c r="H27" s="14">
        <f t="shared" si="110"/>
        <v>0.63265306122448983</v>
      </c>
      <c r="I27" s="14">
        <f t="shared" si="110"/>
        <v>0.5901639344262295</v>
      </c>
      <c r="J27" s="14">
        <f t="shared" si="110"/>
        <v>0.60317460317460314</v>
      </c>
      <c r="K27" s="14">
        <f t="shared" si="110"/>
        <v>0.58208955223880599</v>
      </c>
      <c r="L27" s="14">
        <f t="shared" si="110"/>
        <v>0.61428571428571432</v>
      </c>
      <c r="M27" s="14">
        <f t="shared" si="110"/>
        <v>0.67213114754098358</v>
      </c>
      <c r="N27" s="14">
        <f t="shared" si="110"/>
        <v>0.61290322580645162</v>
      </c>
      <c r="O27" s="177">
        <f t="shared" si="110"/>
        <v>0.65</v>
      </c>
      <c r="P27" s="14">
        <f t="shared" si="110"/>
        <v>0.7068965517241379</v>
      </c>
      <c r="Q27" s="14">
        <f t="shared" si="110"/>
        <v>0.59722222222222221</v>
      </c>
      <c r="R27" s="14">
        <f>SUM(R24)/R26</f>
        <v>0.58333333333333337</v>
      </c>
      <c r="S27" s="14">
        <f>SUM(S24)/S26</f>
        <v>0.59701492537313428</v>
      </c>
      <c r="T27" s="14">
        <f>SUM(T24)/T26</f>
        <v>0.66666666666666663</v>
      </c>
      <c r="U27" s="14">
        <f t="shared" ref="U27:Z27" si="111">SUM(U24)/U26</f>
        <v>0.64383561643835618</v>
      </c>
      <c r="V27" s="14">
        <f t="shared" si="111"/>
        <v>0.61643835616438358</v>
      </c>
      <c r="W27" s="14">
        <f t="shared" si="111"/>
        <v>0.61538461538461542</v>
      </c>
      <c r="X27" s="14">
        <f t="shared" si="111"/>
        <v>0.60869565217391308</v>
      </c>
      <c r="Y27" s="14">
        <f t="shared" si="111"/>
        <v>0.61290322580645162</v>
      </c>
      <c r="Z27" s="23">
        <f t="shared" si="111"/>
        <v>0.54666666666666663</v>
      </c>
      <c r="AA27" s="14">
        <f t="shared" ref="AA27:AF27" si="112">SUM(AA24)/AA26</f>
        <v>0.55696202531645567</v>
      </c>
      <c r="AB27" s="14">
        <f t="shared" si="112"/>
        <v>0.52564102564102566</v>
      </c>
      <c r="AC27" s="14">
        <f t="shared" si="112"/>
        <v>0.59375</v>
      </c>
      <c r="AD27" s="14">
        <f t="shared" si="112"/>
        <v>0.54696132596685088</v>
      </c>
      <c r="AE27" s="14">
        <f t="shared" si="112"/>
        <v>0.57627118644067798</v>
      </c>
      <c r="AF27" s="14">
        <f t="shared" si="112"/>
        <v>0.52820512820512822</v>
      </c>
      <c r="AG27" s="14">
        <f t="shared" ref="AG27:AL27" si="113">SUM(AG24)/AG26</f>
        <v>0.51327433628318586</v>
      </c>
      <c r="AH27" s="14">
        <f t="shared" si="113"/>
        <v>0.52727272727272723</v>
      </c>
      <c r="AI27" s="14">
        <f t="shared" si="113"/>
        <v>0.52941176470588236</v>
      </c>
      <c r="AJ27" s="14">
        <f t="shared" si="113"/>
        <v>0.5133928571428571</v>
      </c>
      <c r="AK27" s="14">
        <f t="shared" si="113"/>
        <v>0.50900900900900903</v>
      </c>
      <c r="AL27" s="14">
        <f t="shared" si="113"/>
        <v>0.5113122171945701</v>
      </c>
      <c r="AM27" s="78">
        <f t="shared" ref="AM27:AR27" si="114">SUM(AM24)/AM26</f>
        <v>0.48878923766816146</v>
      </c>
      <c r="AN27" s="14">
        <f t="shared" si="114"/>
        <v>0.42201834862385323</v>
      </c>
      <c r="AO27" s="14">
        <f t="shared" si="114"/>
        <v>0.42009132420091322</v>
      </c>
      <c r="AP27" s="14">
        <f t="shared" si="114"/>
        <v>0.42660550458715596</v>
      </c>
      <c r="AQ27" s="14">
        <f t="shared" si="114"/>
        <v>0.42201834862385323</v>
      </c>
      <c r="AR27" s="14">
        <f t="shared" si="114"/>
        <v>0.40366972477064222</v>
      </c>
      <c r="AS27" s="14">
        <f t="shared" ref="AS27:AX27" si="115">SUM(AS24)/AS26</f>
        <v>0.38738738738738737</v>
      </c>
      <c r="AT27" s="14">
        <f t="shared" si="115"/>
        <v>0.38636363636363635</v>
      </c>
      <c r="AU27" s="14">
        <f t="shared" si="115"/>
        <v>0.38738738738738737</v>
      </c>
      <c r="AV27" s="14">
        <f t="shared" si="115"/>
        <v>0.36936936936936937</v>
      </c>
      <c r="AW27" s="14">
        <f t="shared" si="115"/>
        <v>0.37004405286343611</v>
      </c>
      <c r="AX27" s="14">
        <f t="shared" si="115"/>
        <v>0.36651583710407237</v>
      </c>
      <c r="AY27" s="78">
        <f t="shared" ref="AY27:BJ27" si="116">SUM(AY24)/AY26</f>
        <v>0.38288288288288286</v>
      </c>
      <c r="AZ27" s="14">
        <f t="shared" si="116"/>
        <v>0.38356164383561642</v>
      </c>
      <c r="BA27" s="14">
        <f t="shared" si="116"/>
        <v>0.3811659192825112</v>
      </c>
      <c r="BB27" s="14">
        <f t="shared" si="116"/>
        <v>0.37668161434977576</v>
      </c>
      <c r="BC27" s="14">
        <f t="shared" si="116"/>
        <v>0.38009049773755654</v>
      </c>
      <c r="BD27" s="14">
        <f t="shared" si="116"/>
        <v>0.37219730941704038</v>
      </c>
      <c r="BE27" s="14">
        <f t="shared" si="116"/>
        <v>0.22865013774104684</v>
      </c>
      <c r="BF27" s="14">
        <f t="shared" si="116"/>
        <v>0.22764227642276422</v>
      </c>
      <c r="BG27" s="14">
        <f t="shared" si="116"/>
        <v>0.21276595744680851</v>
      </c>
      <c r="BH27" s="14">
        <f t="shared" si="116"/>
        <v>0.33333333333333331</v>
      </c>
      <c r="BI27" s="14">
        <f t="shared" si="116"/>
        <v>0.32286995515695066</v>
      </c>
      <c r="BJ27" s="23">
        <f t="shared" si="116"/>
        <v>0.32432432432432434</v>
      </c>
      <c r="BK27" s="14">
        <f t="shared" ref="BK27:BP27" si="117">SUM(BK24)/BK26</f>
        <v>0.31896551724137934</v>
      </c>
      <c r="BL27" s="14">
        <f t="shared" si="117"/>
        <v>0.30434782608695654</v>
      </c>
      <c r="BM27" s="14">
        <f t="shared" si="117"/>
        <v>0.30263157894736842</v>
      </c>
      <c r="BN27" s="14">
        <f t="shared" si="117"/>
        <v>0.30530973451327431</v>
      </c>
      <c r="BO27" s="14">
        <f t="shared" si="117"/>
        <v>0.30901287553648071</v>
      </c>
      <c r="BP27" s="14">
        <f t="shared" si="117"/>
        <v>0.29411764705882354</v>
      </c>
      <c r="BQ27" s="14">
        <f t="shared" ref="BQ27:BV27" si="118">SUM(BQ24)/BQ26</f>
        <v>0.30263157894736842</v>
      </c>
      <c r="BR27" s="14">
        <f t="shared" si="118"/>
        <v>0.28947368421052633</v>
      </c>
      <c r="BS27" s="14">
        <f t="shared" si="118"/>
        <v>0.28820960698689957</v>
      </c>
      <c r="BT27" s="14">
        <f t="shared" si="118"/>
        <v>0.29074889867841408</v>
      </c>
      <c r="BU27" s="14">
        <f t="shared" si="118"/>
        <v>0.28820960698689957</v>
      </c>
      <c r="BV27" s="23">
        <f t="shared" si="118"/>
        <v>0.28695652173913044</v>
      </c>
      <c r="BW27" s="78">
        <f t="shared" ref="BW27:CB27" si="119">SUM(BW24)/BW26</f>
        <v>0.29257641921397382</v>
      </c>
      <c r="BX27" s="14">
        <f t="shared" si="119"/>
        <v>0.28260869565217389</v>
      </c>
      <c r="BY27" s="14">
        <f t="shared" si="119"/>
        <v>0.27947598253275108</v>
      </c>
      <c r="BZ27" s="14">
        <f t="shared" si="119"/>
        <v>0.28634361233480177</v>
      </c>
      <c r="CA27" s="14">
        <f t="shared" si="119"/>
        <v>0.28634361233480177</v>
      </c>
      <c r="CB27" s="14">
        <f t="shared" si="119"/>
        <v>0.29130434782608694</v>
      </c>
      <c r="CC27" s="14">
        <f t="shared" ref="CC27:DK27" si="120">SUM(CC24)/CC26</f>
        <v>0.28755364806866951</v>
      </c>
      <c r="CD27" s="14">
        <f t="shared" si="120"/>
        <v>0.27586206896551724</v>
      </c>
      <c r="CE27" s="14">
        <f t="shared" si="120"/>
        <v>0.27586206896551724</v>
      </c>
      <c r="CF27" s="14">
        <f t="shared" si="120"/>
        <v>0.27272727272727271</v>
      </c>
      <c r="CG27" s="14">
        <f t="shared" si="120"/>
        <v>0.26923076923076922</v>
      </c>
      <c r="CH27" s="241">
        <f t="shared" si="120"/>
        <v>0.26271186440677968</v>
      </c>
      <c r="CI27" s="239">
        <f t="shared" si="120"/>
        <v>0.26839826839826841</v>
      </c>
      <c r="CJ27" s="240">
        <f t="shared" si="120"/>
        <v>0.26609442060085836</v>
      </c>
      <c r="CK27" s="240">
        <f t="shared" si="120"/>
        <v>0.27426160337552741</v>
      </c>
      <c r="CL27" s="240">
        <f t="shared" si="120"/>
        <v>0.26359832635983266</v>
      </c>
      <c r="CM27" s="240">
        <f t="shared" si="120"/>
        <v>0.2594142259414226</v>
      </c>
      <c r="CN27" s="240">
        <f t="shared" si="120"/>
        <v>0.256198347107438</v>
      </c>
      <c r="CO27" s="240">
        <f t="shared" si="120"/>
        <v>0.24399999999999999</v>
      </c>
      <c r="CP27" s="240">
        <f t="shared" si="120"/>
        <v>0.24399999999999999</v>
      </c>
      <c r="CQ27" s="240">
        <f t="shared" si="120"/>
        <v>0.23293172690763053</v>
      </c>
      <c r="CR27" s="240">
        <f t="shared" si="120"/>
        <v>0.23456790123456789</v>
      </c>
      <c r="CS27" s="240">
        <f t="shared" si="120"/>
        <v>0.22633744855967078</v>
      </c>
      <c r="CT27" s="241">
        <f t="shared" si="120"/>
        <v>0.22633744855967078</v>
      </c>
      <c r="CU27" s="240">
        <f t="shared" si="120"/>
        <v>0.23140495867768596</v>
      </c>
      <c r="CV27" s="240">
        <f t="shared" si="120"/>
        <v>0.2231404958677686</v>
      </c>
      <c r="CW27" s="240">
        <f t="shared" si="120"/>
        <v>0.21900826446280991</v>
      </c>
      <c r="CX27" s="240">
        <f t="shared" si="120"/>
        <v>0.21900826446280991</v>
      </c>
      <c r="CY27" s="240">
        <f t="shared" si="120"/>
        <v>0.21991701244813278</v>
      </c>
      <c r="CZ27" s="240">
        <f t="shared" si="120"/>
        <v>0.21810699588477367</v>
      </c>
      <c r="DA27" s="240">
        <f t="shared" si="120"/>
        <v>0.21900826446280991</v>
      </c>
      <c r="DB27" s="240">
        <f t="shared" si="120"/>
        <v>0.21074380165289255</v>
      </c>
      <c r="DC27" s="240">
        <f t="shared" si="120"/>
        <v>0.2033195020746888</v>
      </c>
      <c r="DD27" s="240">
        <f t="shared" si="120"/>
        <v>0.19502074688796681</v>
      </c>
      <c r="DE27" s="240">
        <f t="shared" si="120"/>
        <v>0.19502074688796681</v>
      </c>
      <c r="DF27" s="241">
        <f t="shared" si="120"/>
        <v>0.19502074688796681</v>
      </c>
      <c r="DG27" s="240">
        <f t="shared" si="120"/>
        <v>0.19246861924686193</v>
      </c>
      <c r="DH27" s="240">
        <f t="shared" si="120"/>
        <v>0.18828451882845187</v>
      </c>
      <c r="DI27" s="240">
        <f t="shared" si="120"/>
        <v>0.1940928270042194</v>
      </c>
      <c r="DJ27" s="240">
        <f t="shared" si="120"/>
        <v>0.20083682008368201</v>
      </c>
      <c r="DK27" s="240">
        <f t="shared" si="120"/>
        <v>0.20083682008368201</v>
      </c>
      <c r="DL27" s="240">
        <f t="shared" ref="DL27:DR27" si="121">SUM(DL24)/DL26</f>
        <v>0.20083682008368201</v>
      </c>
      <c r="DM27" s="240">
        <f t="shared" si="121"/>
        <v>0.19502074688796681</v>
      </c>
      <c r="DN27" s="240">
        <f t="shared" si="121"/>
        <v>0.19665271966527198</v>
      </c>
      <c r="DO27" s="240">
        <f t="shared" si="121"/>
        <v>0.19583333333333333</v>
      </c>
      <c r="DP27" s="240">
        <f t="shared" si="121"/>
        <v>0.1872791519434629</v>
      </c>
      <c r="DQ27" s="240">
        <f t="shared" si="121"/>
        <v>0.18245614035087721</v>
      </c>
      <c r="DR27" s="240">
        <f t="shared" si="121"/>
        <v>0.1872791519434629</v>
      </c>
      <c r="DS27" s="240">
        <f t="shared" ref="DS27:FH27" si="122">SUM(DS24)/DS26</f>
        <v>0.19434628975265017</v>
      </c>
      <c r="DT27" s="240">
        <f t="shared" si="122"/>
        <v>0.19718309859154928</v>
      </c>
      <c r="DU27" s="240">
        <f t="shared" si="122"/>
        <v>0.18309859154929578</v>
      </c>
      <c r="DV27" s="356">
        <f t="shared" si="122"/>
        <v>0.18245614035087721</v>
      </c>
      <c r="DW27" s="356">
        <f t="shared" si="122"/>
        <v>0.16027874564459929</v>
      </c>
      <c r="DX27" s="356">
        <f t="shared" si="122"/>
        <v>2.7210884353741496E-2</v>
      </c>
      <c r="DY27" s="356">
        <f t="shared" si="122"/>
        <v>0</v>
      </c>
      <c r="DZ27" s="356">
        <f t="shared" si="122"/>
        <v>0</v>
      </c>
      <c r="EA27" s="356">
        <f t="shared" si="122"/>
        <v>0</v>
      </c>
      <c r="EB27" s="356">
        <f t="shared" si="122"/>
        <v>0</v>
      </c>
      <c r="EC27" s="356">
        <f t="shared" si="122"/>
        <v>0</v>
      </c>
      <c r="ED27" s="356">
        <f t="shared" si="122"/>
        <v>0</v>
      </c>
      <c r="EE27" s="356">
        <f t="shared" si="122"/>
        <v>0</v>
      </c>
      <c r="EF27" s="356">
        <f t="shared" si="122"/>
        <v>0</v>
      </c>
      <c r="EG27" s="356">
        <f t="shared" si="122"/>
        <v>0</v>
      </c>
      <c r="EH27" s="356">
        <f t="shared" si="122"/>
        <v>0</v>
      </c>
      <c r="EI27" s="356">
        <f t="shared" si="122"/>
        <v>0</v>
      </c>
      <c r="EJ27" s="356">
        <f t="shared" si="122"/>
        <v>0</v>
      </c>
      <c r="EK27" s="356">
        <f t="shared" si="122"/>
        <v>0</v>
      </c>
      <c r="EL27" s="356">
        <f t="shared" si="122"/>
        <v>0</v>
      </c>
      <c r="EM27" s="356">
        <f t="shared" si="122"/>
        <v>0</v>
      </c>
      <c r="EN27" s="356">
        <f t="shared" si="122"/>
        <v>0</v>
      </c>
      <c r="EO27" s="356">
        <f t="shared" si="122"/>
        <v>0</v>
      </c>
      <c r="EP27" s="356">
        <f t="shared" si="122"/>
        <v>0</v>
      </c>
      <c r="EQ27" s="356">
        <f t="shared" si="122"/>
        <v>0</v>
      </c>
      <c r="ER27" s="356">
        <f t="shared" si="122"/>
        <v>0</v>
      </c>
      <c r="ES27" s="356">
        <f t="shared" si="122"/>
        <v>0</v>
      </c>
      <c r="ET27" s="356">
        <f t="shared" si="122"/>
        <v>0</v>
      </c>
      <c r="EU27" s="356">
        <f t="shared" si="122"/>
        <v>0</v>
      </c>
      <c r="EV27" s="356">
        <f t="shared" si="122"/>
        <v>0</v>
      </c>
      <c r="EW27" s="356">
        <f t="shared" si="122"/>
        <v>0</v>
      </c>
      <c r="EX27" s="356">
        <f t="shared" si="122"/>
        <v>0</v>
      </c>
      <c r="EY27" s="356">
        <f t="shared" si="122"/>
        <v>0</v>
      </c>
      <c r="EZ27" s="356">
        <f t="shared" si="122"/>
        <v>0</v>
      </c>
      <c r="FA27" s="356">
        <f t="shared" si="122"/>
        <v>0</v>
      </c>
      <c r="FB27" s="356">
        <f t="shared" si="122"/>
        <v>0</v>
      </c>
      <c r="FC27" s="356">
        <f t="shared" si="122"/>
        <v>0</v>
      </c>
      <c r="FD27" s="356">
        <f t="shared" si="122"/>
        <v>0</v>
      </c>
      <c r="FE27" s="356">
        <f t="shared" si="122"/>
        <v>0</v>
      </c>
      <c r="FF27" s="356">
        <f t="shared" si="122"/>
        <v>0</v>
      </c>
      <c r="FG27" s="356">
        <f t="shared" si="122"/>
        <v>0</v>
      </c>
      <c r="FH27" s="356">
        <f t="shared" si="122"/>
        <v>0</v>
      </c>
      <c r="FI27" s="356">
        <f t="shared" ref="FI27:FK27" si="123">SUM(FI24)/FI26</f>
        <v>0</v>
      </c>
      <c r="FJ27" s="356">
        <f t="shared" si="123"/>
        <v>0</v>
      </c>
      <c r="FK27" s="356">
        <f t="shared" si="123"/>
        <v>0</v>
      </c>
      <c r="FL27" s="356">
        <f t="shared" ref="FL27:FQ27" si="124">SUM(FL24)/FL26</f>
        <v>0</v>
      </c>
      <c r="FM27" s="356">
        <f t="shared" si="124"/>
        <v>0</v>
      </c>
      <c r="FN27" s="356">
        <f t="shared" si="124"/>
        <v>0</v>
      </c>
      <c r="FO27" s="356">
        <f t="shared" si="124"/>
        <v>0</v>
      </c>
      <c r="FP27" s="356">
        <f t="shared" si="124"/>
        <v>0</v>
      </c>
      <c r="FQ27" s="356">
        <f t="shared" si="124"/>
        <v>0</v>
      </c>
      <c r="FR27" s="356">
        <f t="shared" ref="FR27:FT27" si="125">SUM(FR24)/FR26</f>
        <v>0</v>
      </c>
      <c r="FS27" s="356">
        <f t="shared" si="125"/>
        <v>0</v>
      </c>
      <c r="FT27" s="356">
        <f t="shared" si="125"/>
        <v>0</v>
      </c>
    </row>
    <row r="28" spans="1:176" ht="13.8" hidden="1" thickBot="1" x14ac:dyDescent="0.3">
      <c r="B28" s="4" t="s">
        <v>11</v>
      </c>
      <c r="C28" s="37">
        <f t="shared" ref="C28:Q28" si="126">SUM(C25/C26)</f>
        <v>0.14705882352941177</v>
      </c>
      <c r="D28" s="15">
        <f t="shared" si="126"/>
        <v>0.23684210526315788</v>
      </c>
      <c r="E28" s="15">
        <f t="shared" si="126"/>
        <v>0.33333333333333331</v>
      </c>
      <c r="F28" s="15">
        <f t="shared" si="126"/>
        <v>0.39215686274509803</v>
      </c>
      <c r="G28" s="15">
        <f t="shared" si="126"/>
        <v>0.37037037037037035</v>
      </c>
      <c r="H28" s="15">
        <f t="shared" si="126"/>
        <v>0.36734693877551022</v>
      </c>
      <c r="I28" s="15">
        <f t="shared" si="126"/>
        <v>0.4098360655737705</v>
      </c>
      <c r="J28" s="15">
        <f t="shared" si="126"/>
        <v>0.3968253968253968</v>
      </c>
      <c r="K28" s="15">
        <f t="shared" si="126"/>
        <v>0.41791044776119401</v>
      </c>
      <c r="L28" s="15">
        <f t="shared" si="126"/>
        <v>0.38571428571428573</v>
      </c>
      <c r="M28" s="15">
        <f t="shared" si="126"/>
        <v>0.32786885245901637</v>
      </c>
      <c r="N28" s="15">
        <f t="shared" si="126"/>
        <v>0.38709677419354838</v>
      </c>
      <c r="O28" s="178">
        <f t="shared" si="126"/>
        <v>0.35</v>
      </c>
      <c r="P28" s="15">
        <f t="shared" si="126"/>
        <v>0.29310344827586204</v>
      </c>
      <c r="Q28" s="15">
        <f t="shared" si="126"/>
        <v>0.40277777777777779</v>
      </c>
      <c r="R28" s="15">
        <f>SUM(R25/R26)</f>
        <v>0.41666666666666669</v>
      </c>
      <c r="S28" s="15">
        <f>SUM(S25/S26)</f>
        <v>0.40298507462686567</v>
      </c>
      <c r="T28" s="15">
        <f>SUM(T25/T26)</f>
        <v>0.33333333333333331</v>
      </c>
      <c r="U28" s="15">
        <f t="shared" ref="U28:AC28" si="127">SUM(U25/U26)</f>
        <v>0.35616438356164382</v>
      </c>
      <c r="V28" s="15">
        <f t="shared" si="127"/>
        <v>0.38356164383561642</v>
      </c>
      <c r="W28" s="15">
        <f t="shared" si="127"/>
        <v>0.38461538461538464</v>
      </c>
      <c r="X28" s="15">
        <f t="shared" si="127"/>
        <v>0.39130434782608697</v>
      </c>
      <c r="Y28" s="15">
        <f t="shared" si="127"/>
        <v>0.38709677419354838</v>
      </c>
      <c r="Z28" s="24">
        <f t="shared" si="127"/>
        <v>0.45333333333333331</v>
      </c>
      <c r="AA28" s="15">
        <f t="shared" si="127"/>
        <v>0.44303797468354428</v>
      </c>
      <c r="AB28" s="15">
        <f t="shared" si="127"/>
        <v>0.47435897435897434</v>
      </c>
      <c r="AC28" s="15">
        <f t="shared" si="127"/>
        <v>0.40625</v>
      </c>
      <c r="AD28" s="15">
        <f t="shared" ref="AD28:AI28" si="128">SUM(AD25/AD26)</f>
        <v>0.45303867403314918</v>
      </c>
      <c r="AE28" s="15">
        <f t="shared" si="128"/>
        <v>0.42372881355932202</v>
      </c>
      <c r="AF28" s="15">
        <f t="shared" si="128"/>
        <v>0.47179487179487178</v>
      </c>
      <c r="AG28" s="15">
        <f t="shared" si="128"/>
        <v>0.48672566371681414</v>
      </c>
      <c r="AH28" s="15">
        <f t="shared" si="128"/>
        <v>0.47272727272727272</v>
      </c>
      <c r="AI28" s="15">
        <f t="shared" si="128"/>
        <v>0.47058823529411764</v>
      </c>
      <c r="AJ28" s="15">
        <f t="shared" ref="AJ28:AO28" si="129">SUM(AJ25/AJ26)</f>
        <v>0.48660714285714285</v>
      </c>
      <c r="AK28" s="15">
        <f t="shared" si="129"/>
        <v>0.49099099099099097</v>
      </c>
      <c r="AL28" s="15">
        <f t="shared" si="129"/>
        <v>0.48868778280542985</v>
      </c>
      <c r="AM28" s="79">
        <f t="shared" si="129"/>
        <v>0.5112107623318386</v>
      </c>
      <c r="AN28" s="15">
        <f t="shared" si="129"/>
        <v>0.57798165137614677</v>
      </c>
      <c r="AO28" s="15">
        <f t="shared" si="129"/>
        <v>0.57990867579908678</v>
      </c>
      <c r="AP28" s="15">
        <f t="shared" ref="AP28:AU28" si="130">SUM(AP25/AP26)</f>
        <v>0.57339449541284404</v>
      </c>
      <c r="AQ28" s="15">
        <f t="shared" si="130"/>
        <v>0.57798165137614677</v>
      </c>
      <c r="AR28" s="15">
        <f t="shared" si="130"/>
        <v>0.59633027522935778</v>
      </c>
      <c r="AS28" s="15">
        <f t="shared" si="130"/>
        <v>0.61261261261261257</v>
      </c>
      <c r="AT28" s="15">
        <f t="shared" si="130"/>
        <v>0.61363636363636365</v>
      </c>
      <c r="AU28" s="15">
        <f t="shared" si="130"/>
        <v>0.61261261261261257</v>
      </c>
      <c r="AV28" s="15">
        <f>SUM(AV25/AV26)</f>
        <v>0.63063063063063063</v>
      </c>
      <c r="AW28" s="15">
        <f>SUM(AW25/AW26)</f>
        <v>0.62995594713656389</v>
      </c>
      <c r="AX28" s="15">
        <f>SUM(AX25/AX26)</f>
        <v>0.63348416289592757</v>
      </c>
      <c r="AY28" s="79">
        <f t="shared" ref="AY28:BG28" si="131">SUM(AY25/AY26)</f>
        <v>0.61711711711711714</v>
      </c>
      <c r="AZ28" s="15">
        <f t="shared" si="131"/>
        <v>0.61643835616438358</v>
      </c>
      <c r="BA28" s="15">
        <f t="shared" si="131"/>
        <v>0.6188340807174888</v>
      </c>
      <c r="BB28" s="15">
        <f t="shared" si="131"/>
        <v>0.62331838565022424</v>
      </c>
      <c r="BC28" s="15">
        <f t="shared" si="131"/>
        <v>0.61990950226244346</v>
      </c>
      <c r="BD28" s="15">
        <f t="shared" si="131"/>
        <v>0.62780269058295968</v>
      </c>
      <c r="BE28" s="15">
        <f t="shared" si="131"/>
        <v>0.77134986225895319</v>
      </c>
      <c r="BF28" s="15">
        <f t="shared" si="131"/>
        <v>0.77235772357723576</v>
      </c>
      <c r="BG28" s="15">
        <f t="shared" si="131"/>
        <v>0.78723404255319152</v>
      </c>
      <c r="BH28" s="15">
        <f t="shared" ref="BH28:BM28" si="132">SUM(BH25/BH26)</f>
        <v>0.66666666666666663</v>
      </c>
      <c r="BI28" s="15">
        <f t="shared" si="132"/>
        <v>0.67713004484304928</v>
      </c>
      <c r="BJ28" s="24">
        <f t="shared" si="132"/>
        <v>0.67567567567567566</v>
      </c>
      <c r="BK28" s="15">
        <f t="shared" si="132"/>
        <v>0.68103448275862066</v>
      </c>
      <c r="BL28" s="15">
        <f t="shared" si="132"/>
        <v>0.69565217391304346</v>
      </c>
      <c r="BM28" s="15">
        <f t="shared" si="132"/>
        <v>0.69736842105263153</v>
      </c>
      <c r="BN28" s="15">
        <f t="shared" ref="BN28:BS28" si="133">SUM(BN25/BN26)</f>
        <v>0.69469026548672563</v>
      </c>
      <c r="BO28" s="15">
        <f t="shared" si="133"/>
        <v>0.69098712446351929</v>
      </c>
      <c r="BP28" s="15">
        <f t="shared" si="133"/>
        <v>0.70588235294117652</v>
      </c>
      <c r="BQ28" s="15">
        <f t="shared" si="133"/>
        <v>0.69736842105263153</v>
      </c>
      <c r="BR28" s="15">
        <f t="shared" si="133"/>
        <v>0.71052631578947367</v>
      </c>
      <c r="BS28" s="15">
        <f t="shared" si="133"/>
        <v>0.71179039301310043</v>
      </c>
      <c r="BT28" s="15">
        <f t="shared" ref="BT28:BY28" si="134">SUM(BT25/BT26)</f>
        <v>0.70925110132158586</v>
      </c>
      <c r="BU28" s="15">
        <f t="shared" si="134"/>
        <v>0.71179039301310043</v>
      </c>
      <c r="BV28" s="24">
        <f t="shared" si="134"/>
        <v>0.71304347826086956</v>
      </c>
      <c r="BW28" s="79">
        <f t="shared" si="134"/>
        <v>0.70742358078602618</v>
      </c>
      <c r="BX28" s="15">
        <f t="shared" si="134"/>
        <v>0.71739130434782605</v>
      </c>
      <c r="BY28" s="15">
        <f t="shared" si="134"/>
        <v>0.72052401746724892</v>
      </c>
      <c r="BZ28" s="15">
        <f t="shared" ref="BZ28:DK28" si="135">SUM(BZ25/BZ26)</f>
        <v>0.71365638766519823</v>
      </c>
      <c r="CA28" s="15">
        <f t="shared" si="135"/>
        <v>0.71365638766519823</v>
      </c>
      <c r="CB28" s="15">
        <f t="shared" si="135"/>
        <v>0.70869565217391306</v>
      </c>
      <c r="CC28" s="15">
        <f t="shared" si="135"/>
        <v>0.71244635193133043</v>
      </c>
      <c r="CD28" s="15">
        <f t="shared" si="135"/>
        <v>0.72413793103448276</v>
      </c>
      <c r="CE28" s="15">
        <f t="shared" si="135"/>
        <v>0.72413793103448276</v>
      </c>
      <c r="CF28" s="15">
        <f t="shared" si="135"/>
        <v>0.72727272727272729</v>
      </c>
      <c r="CG28" s="15">
        <f t="shared" si="135"/>
        <v>0.73076923076923073</v>
      </c>
      <c r="CH28" s="246">
        <f t="shared" si="135"/>
        <v>0.73728813559322037</v>
      </c>
      <c r="CI28" s="244">
        <f t="shared" si="135"/>
        <v>0.73160173160173159</v>
      </c>
      <c r="CJ28" s="245">
        <f t="shared" si="135"/>
        <v>0.73390557939914158</v>
      </c>
      <c r="CK28" s="245">
        <f t="shared" si="135"/>
        <v>0.72573839662447259</v>
      </c>
      <c r="CL28" s="245">
        <f t="shared" si="135"/>
        <v>0.7364016736401674</v>
      </c>
      <c r="CM28" s="245">
        <f t="shared" si="135"/>
        <v>0.7405857740585774</v>
      </c>
      <c r="CN28" s="245">
        <f t="shared" si="135"/>
        <v>0.74380165289256195</v>
      </c>
      <c r="CO28" s="245">
        <f t="shared" si="135"/>
        <v>0.75600000000000001</v>
      </c>
      <c r="CP28" s="245">
        <f t="shared" si="135"/>
        <v>0.75600000000000001</v>
      </c>
      <c r="CQ28" s="245">
        <f t="shared" si="135"/>
        <v>0.76706827309236947</v>
      </c>
      <c r="CR28" s="245">
        <f t="shared" si="135"/>
        <v>0.76543209876543206</v>
      </c>
      <c r="CS28" s="245">
        <f t="shared" si="135"/>
        <v>0.77366255144032925</v>
      </c>
      <c r="CT28" s="246">
        <f t="shared" si="135"/>
        <v>0.77366255144032925</v>
      </c>
      <c r="CU28" s="285">
        <f t="shared" si="135"/>
        <v>0.76859504132231404</v>
      </c>
      <c r="CV28" s="245">
        <f t="shared" si="135"/>
        <v>0.77685950413223137</v>
      </c>
      <c r="CW28" s="245">
        <f t="shared" si="135"/>
        <v>0.78099173553719003</v>
      </c>
      <c r="CX28" s="245">
        <f t="shared" si="135"/>
        <v>0.78099173553719003</v>
      </c>
      <c r="CY28" s="245">
        <f t="shared" si="135"/>
        <v>0.78008298755186722</v>
      </c>
      <c r="CZ28" s="245">
        <f t="shared" si="135"/>
        <v>0.78189300411522633</v>
      </c>
      <c r="DA28" s="245">
        <f t="shared" si="135"/>
        <v>0.78099173553719003</v>
      </c>
      <c r="DB28" s="245">
        <f t="shared" si="135"/>
        <v>0.78925619834710747</v>
      </c>
      <c r="DC28" s="245">
        <f t="shared" si="135"/>
        <v>0.79668049792531115</v>
      </c>
      <c r="DD28" s="245">
        <f t="shared" si="135"/>
        <v>0.80497925311203322</v>
      </c>
      <c r="DE28" s="245">
        <f t="shared" si="135"/>
        <v>0.80497925311203322</v>
      </c>
      <c r="DF28" s="246">
        <f t="shared" si="135"/>
        <v>0.80497925311203322</v>
      </c>
      <c r="DG28" s="245">
        <f t="shared" si="135"/>
        <v>0.80753138075313813</v>
      </c>
      <c r="DH28" s="245">
        <f t="shared" si="135"/>
        <v>0.81171548117154813</v>
      </c>
      <c r="DI28" s="245">
        <f t="shared" si="135"/>
        <v>0.80590717299578063</v>
      </c>
      <c r="DJ28" s="245">
        <f t="shared" si="135"/>
        <v>0.79916317991631802</v>
      </c>
      <c r="DK28" s="245">
        <f t="shared" si="135"/>
        <v>0.79916317991631802</v>
      </c>
      <c r="DL28" s="245">
        <f t="shared" ref="DL28:DR28" si="136">SUM(DL25/DL26)</f>
        <v>0.79916317991631802</v>
      </c>
      <c r="DM28" s="245">
        <f t="shared" si="136"/>
        <v>0.80497925311203322</v>
      </c>
      <c r="DN28" s="245">
        <f t="shared" si="136"/>
        <v>0.80334728033472802</v>
      </c>
      <c r="DO28" s="245">
        <f t="shared" si="136"/>
        <v>0.8041666666666667</v>
      </c>
      <c r="DP28" s="245">
        <f t="shared" si="136"/>
        <v>0.8127208480565371</v>
      </c>
      <c r="DQ28" s="245">
        <f t="shared" si="136"/>
        <v>0.81754385964912279</v>
      </c>
      <c r="DR28" s="245">
        <f t="shared" si="136"/>
        <v>0.8127208480565371</v>
      </c>
      <c r="DS28" s="245">
        <f t="shared" ref="DS28:FH28" si="137">SUM(DS25/DS26)</f>
        <v>0.80565371024734977</v>
      </c>
      <c r="DT28" s="245">
        <f t="shared" si="137"/>
        <v>0.80281690140845074</v>
      </c>
      <c r="DU28" s="245">
        <f t="shared" si="137"/>
        <v>0.81690140845070425</v>
      </c>
      <c r="DV28" s="357">
        <f t="shared" si="137"/>
        <v>0.81754385964912279</v>
      </c>
      <c r="DW28" s="357">
        <f t="shared" si="137"/>
        <v>0.83972125435540068</v>
      </c>
      <c r="DX28" s="357">
        <f t="shared" si="137"/>
        <v>0.97278911564625847</v>
      </c>
      <c r="DY28" s="357">
        <f t="shared" si="137"/>
        <v>1</v>
      </c>
      <c r="DZ28" s="357">
        <f t="shared" si="137"/>
        <v>1</v>
      </c>
      <c r="EA28" s="357">
        <f t="shared" si="137"/>
        <v>1</v>
      </c>
      <c r="EB28" s="357">
        <f t="shared" si="137"/>
        <v>1</v>
      </c>
      <c r="EC28" s="357">
        <f t="shared" si="137"/>
        <v>1</v>
      </c>
      <c r="ED28" s="357">
        <f t="shared" si="137"/>
        <v>1</v>
      </c>
      <c r="EE28" s="357">
        <f t="shared" si="137"/>
        <v>1</v>
      </c>
      <c r="EF28" s="357">
        <f t="shared" si="137"/>
        <v>1</v>
      </c>
      <c r="EG28" s="357">
        <f t="shared" si="137"/>
        <v>1</v>
      </c>
      <c r="EH28" s="357">
        <f t="shared" si="137"/>
        <v>1</v>
      </c>
      <c r="EI28" s="357">
        <f t="shared" si="137"/>
        <v>1</v>
      </c>
      <c r="EJ28" s="357">
        <f t="shared" si="137"/>
        <v>1</v>
      </c>
      <c r="EK28" s="357">
        <f t="shared" si="137"/>
        <v>1</v>
      </c>
      <c r="EL28" s="357">
        <f t="shared" si="137"/>
        <v>1</v>
      </c>
      <c r="EM28" s="357">
        <f t="shared" si="137"/>
        <v>1</v>
      </c>
      <c r="EN28" s="357">
        <f t="shared" si="137"/>
        <v>1</v>
      </c>
      <c r="EO28" s="357">
        <f t="shared" si="137"/>
        <v>1</v>
      </c>
      <c r="EP28" s="357">
        <f t="shared" si="137"/>
        <v>1</v>
      </c>
      <c r="EQ28" s="357">
        <f t="shared" si="137"/>
        <v>1</v>
      </c>
      <c r="ER28" s="357">
        <f t="shared" si="137"/>
        <v>1</v>
      </c>
      <c r="ES28" s="357">
        <f t="shared" si="137"/>
        <v>1</v>
      </c>
      <c r="ET28" s="357">
        <f t="shared" si="137"/>
        <v>1</v>
      </c>
      <c r="EU28" s="357">
        <f t="shared" si="137"/>
        <v>1</v>
      </c>
      <c r="EV28" s="357">
        <f t="shared" si="137"/>
        <v>1</v>
      </c>
      <c r="EW28" s="357">
        <f t="shared" si="137"/>
        <v>1</v>
      </c>
      <c r="EX28" s="357">
        <f t="shared" si="137"/>
        <v>1</v>
      </c>
      <c r="EY28" s="357">
        <f t="shared" si="137"/>
        <v>1</v>
      </c>
      <c r="EZ28" s="357">
        <f t="shared" si="137"/>
        <v>1</v>
      </c>
      <c r="FA28" s="357">
        <f t="shared" si="137"/>
        <v>1</v>
      </c>
      <c r="FB28" s="357">
        <f t="shared" si="137"/>
        <v>1</v>
      </c>
      <c r="FC28" s="357">
        <f t="shared" si="137"/>
        <v>1</v>
      </c>
      <c r="FD28" s="357">
        <f t="shared" si="137"/>
        <v>1</v>
      </c>
      <c r="FE28" s="357">
        <f t="shared" si="137"/>
        <v>1</v>
      </c>
      <c r="FF28" s="357">
        <f t="shared" si="137"/>
        <v>1</v>
      </c>
      <c r="FG28" s="357">
        <f t="shared" si="137"/>
        <v>1</v>
      </c>
      <c r="FH28" s="357">
        <f t="shared" si="137"/>
        <v>1</v>
      </c>
      <c r="FI28" s="357">
        <f t="shared" ref="FI28:FK28" si="138">SUM(FI25/FI26)</f>
        <v>1</v>
      </c>
      <c r="FJ28" s="357">
        <f t="shared" si="138"/>
        <v>1</v>
      </c>
      <c r="FK28" s="357">
        <f t="shared" si="138"/>
        <v>1</v>
      </c>
      <c r="FL28" s="357">
        <f t="shared" ref="FL28:FQ28" si="139">SUM(FL25/FL26)</f>
        <v>1</v>
      </c>
      <c r="FM28" s="357">
        <f t="shared" si="139"/>
        <v>1</v>
      </c>
      <c r="FN28" s="357">
        <f t="shared" si="139"/>
        <v>1</v>
      </c>
      <c r="FO28" s="357">
        <f t="shared" si="139"/>
        <v>1</v>
      </c>
      <c r="FP28" s="357">
        <f t="shared" si="139"/>
        <v>1</v>
      </c>
      <c r="FQ28" s="357">
        <f t="shared" si="139"/>
        <v>1</v>
      </c>
      <c r="FR28" s="357">
        <f t="shared" ref="FR28:FT28" si="140">SUM(FR25/FR26)</f>
        <v>1</v>
      </c>
      <c r="FS28" s="357">
        <f t="shared" si="140"/>
        <v>1</v>
      </c>
      <c r="FT28" s="357">
        <f t="shared" si="140"/>
        <v>1</v>
      </c>
    </row>
    <row r="29" spans="1:176" hidden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74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20"/>
      <c r="AM29" s="74"/>
      <c r="AY29" s="74"/>
      <c r="BJ29" s="20"/>
      <c r="BV29" s="20"/>
      <c r="BW29" s="74"/>
      <c r="BX29" s="18"/>
      <c r="BY29" s="18"/>
      <c r="BZ29" s="18"/>
      <c r="CA29" s="18"/>
      <c r="CB29" s="18"/>
      <c r="CD29" s="18"/>
      <c r="CE29" s="18"/>
      <c r="CF29" s="18"/>
      <c r="CG29" s="18"/>
      <c r="CH29" s="89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18"/>
      <c r="CV29" s="18"/>
      <c r="CW29" s="18"/>
      <c r="CX29" s="18"/>
      <c r="DF29" s="20"/>
      <c r="DM29" s="69"/>
      <c r="DN29" s="275"/>
      <c r="DO29" s="275"/>
      <c r="DV29" s="302"/>
      <c r="DW29" s="302"/>
      <c r="DX29" s="302"/>
      <c r="EE29" s="302"/>
      <c r="EF29" s="302"/>
      <c r="EG29" s="302"/>
      <c r="EH29" s="302" t="s">
        <v>93</v>
      </c>
    </row>
    <row r="30" spans="1:176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81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20"/>
      <c r="AM30" s="74"/>
      <c r="AY30" s="74"/>
      <c r="BJ30" s="20"/>
      <c r="BV30" s="20"/>
      <c r="BW30" s="74"/>
      <c r="BX30" s="18"/>
      <c r="BY30" s="18"/>
      <c r="BZ30" s="18"/>
      <c r="CA30" s="18"/>
      <c r="CB30" s="18"/>
      <c r="CD30" s="18"/>
      <c r="CE30" s="18"/>
      <c r="CF30" s="18"/>
      <c r="CG30" s="18"/>
      <c r="CH30" s="89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18"/>
      <c r="CV30" s="18"/>
      <c r="CW30" s="18"/>
      <c r="CX30" s="18"/>
      <c r="DF30" s="20"/>
      <c r="DM30" s="69"/>
      <c r="DN30" s="275"/>
      <c r="DO30" s="275"/>
      <c r="DV30" s="302"/>
      <c r="DW30" s="302"/>
      <c r="DX30" s="302"/>
      <c r="EE30" s="302"/>
      <c r="EF30" s="302"/>
      <c r="EG30" s="302"/>
    </row>
    <row r="31" spans="1:176" x14ac:dyDescent="0.25">
      <c r="B31" s="3" t="s">
        <v>1</v>
      </c>
      <c r="C31" s="39">
        <v>14790</v>
      </c>
      <c r="D31" s="68">
        <v>14326</v>
      </c>
      <c r="E31" s="68">
        <v>13974</v>
      </c>
      <c r="F31" s="68">
        <v>14104</v>
      </c>
      <c r="G31" s="68">
        <v>14017</v>
      </c>
      <c r="H31" s="68">
        <v>13057</v>
      </c>
      <c r="I31" s="68">
        <v>13679</v>
      </c>
      <c r="J31" s="68">
        <v>13847</v>
      </c>
      <c r="K31" s="68">
        <v>13768</v>
      </c>
      <c r="L31" s="68">
        <v>13734</v>
      </c>
      <c r="M31" s="69">
        <v>13675</v>
      </c>
      <c r="N31" s="16">
        <v>13625</v>
      </c>
      <c r="O31" s="121">
        <f>13438</f>
        <v>13438</v>
      </c>
      <c r="P31" s="68">
        <v>13356</v>
      </c>
      <c r="Q31" s="68">
        <v>13476</v>
      </c>
      <c r="R31" s="68">
        <v>13471</v>
      </c>
      <c r="S31" s="68">
        <v>13380</v>
      </c>
      <c r="T31" s="68">
        <v>13250</v>
      </c>
      <c r="U31" s="68">
        <v>13145</v>
      </c>
      <c r="V31" s="68">
        <v>12915</v>
      </c>
      <c r="W31" s="68">
        <v>12762</v>
      </c>
      <c r="X31" s="68">
        <v>12705</v>
      </c>
      <c r="Y31" s="68">
        <v>12609</v>
      </c>
      <c r="Z31" s="89">
        <v>12571</v>
      </c>
      <c r="AA31" s="68">
        <v>12386</v>
      </c>
      <c r="AB31" s="68">
        <v>12171</v>
      </c>
      <c r="AC31" s="68">
        <v>12047</v>
      </c>
      <c r="AD31" s="68">
        <v>11947</v>
      </c>
      <c r="AE31" s="68">
        <v>11797</v>
      </c>
      <c r="AF31" s="68">
        <v>11662</v>
      </c>
      <c r="AG31" s="68">
        <v>11880</v>
      </c>
      <c r="AH31" s="68">
        <v>11682</v>
      </c>
      <c r="AI31" s="68">
        <v>11593</v>
      </c>
      <c r="AJ31" s="68">
        <v>11275</v>
      </c>
      <c r="AK31" s="68">
        <v>11166</v>
      </c>
      <c r="AL31" s="68">
        <v>11087</v>
      </c>
      <c r="AM31" s="88">
        <v>10918</v>
      </c>
      <c r="AN31" s="68">
        <v>10814</v>
      </c>
      <c r="AO31" s="68">
        <v>10719</v>
      </c>
      <c r="AP31" s="68">
        <v>10598</v>
      </c>
      <c r="AQ31" s="68">
        <v>10515</v>
      </c>
      <c r="AR31" s="68">
        <v>10426</v>
      </c>
      <c r="AS31" s="68">
        <v>10334</v>
      </c>
      <c r="AT31" s="68">
        <v>10229</v>
      </c>
      <c r="AU31" s="68">
        <v>10134</v>
      </c>
      <c r="AV31" s="68">
        <v>10034</v>
      </c>
      <c r="AW31" s="68">
        <v>9947</v>
      </c>
      <c r="AX31" s="68">
        <v>9906</v>
      </c>
      <c r="AY31" s="88">
        <v>9851</v>
      </c>
      <c r="AZ31" s="68">
        <v>9817</v>
      </c>
      <c r="BA31" s="68">
        <v>9791</v>
      </c>
      <c r="BB31" s="68">
        <v>9741</v>
      </c>
      <c r="BC31" s="68">
        <v>9663</v>
      </c>
      <c r="BD31" s="68">
        <v>9624</v>
      </c>
      <c r="BE31" s="68">
        <v>9531</v>
      </c>
      <c r="BF31" s="68">
        <v>9425</v>
      </c>
      <c r="BG31" s="68">
        <v>9344</v>
      </c>
      <c r="BH31" s="68">
        <v>9301</v>
      </c>
      <c r="BI31" s="68">
        <v>9255</v>
      </c>
      <c r="BJ31" s="89">
        <v>9253</v>
      </c>
      <c r="BK31" s="68">
        <v>9125</v>
      </c>
      <c r="BL31" s="68">
        <v>8641</v>
      </c>
      <c r="BM31" s="68">
        <v>8603</v>
      </c>
      <c r="BN31" s="68">
        <v>8570</v>
      </c>
      <c r="BO31" s="68">
        <v>8542</v>
      </c>
      <c r="BP31" s="68">
        <v>8938</v>
      </c>
      <c r="BQ31" s="68">
        <v>8283</v>
      </c>
      <c r="BR31" s="68">
        <v>8127</v>
      </c>
      <c r="BS31" s="68">
        <v>7935</v>
      </c>
      <c r="BT31" s="68">
        <v>7833</v>
      </c>
      <c r="BU31" s="68">
        <v>7730</v>
      </c>
      <c r="BV31" s="89">
        <v>7657</v>
      </c>
      <c r="BW31" s="74">
        <v>7540</v>
      </c>
      <c r="BX31" s="71">
        <v>7465</v>
      </c>
      <c r="BY31" s="18">
        <v>7381</v>
      </c>
      <c r="BZ31" s="71">
        <v>7289</v>
      </c>
      <c r="CA31" s="42">
        <v>7222</v>
      </c>
      <c r="CB31" s="18">
        <v>7128</v>
      </c>
      <c r="CC31" s="218">
        <v>7036</v>
      </c>
      <c r="CD31" s="218">
        <v>6895</v>
      </c>
      <c r="CE31" s="218">
        <v>6723</v>
      </c>
      <c r="CF31" s="257">
        <v>6520</v>
      </c>
      <c r="CG31" s="257">
        <v>6337</v>
      </c>
      <c r="CH31" s="89">
        <v>6246</v>
      </c>
      <c r="CI31" s="71">
        <v>6118</v>
      </c>
      <c r="CJ31" s="69">
        <v>6045</v>
      </c>
      <c r="CK31" s="69">
        <v>5901</v>
      </c>
      <c r="CL31" s="69">
        <v>5785</v>
      </c>
      <c r="CM31" s="69">
        <v>5721</v>
      </c>
      <c r="CN31" s="69">
        <v>5646</v>
      </c>
      <c r="CO31" s="69">
        <v>5572</v>
      </c>
      <c r="CP31" s="69">
        <v>5511</v>
      </c>
      <c r="CQ31" s="69">
        <v>5443</v>
      </c>
      <c r="CR31" s="69">
        <v>5380</v>
      </c>
      <c r="CS31" s="69">
        <v>5321</v>
      </c>
      <c r="CT31" s="89">
        <v>5274</v>
      </c>
      <c r="CU31" s="284">
        <v>5223</v>
      </c>
      <c r="CV31" s="284">
        <v>5192</v>
      </c>
      <c r="CW31" s="284">
        <v>5146</v>
      </c>
      <c r="CX31" s="284">
        <v>5087</v>
      </c>
      <c r="CY31" s="284">
        <v>5050</v>
      </c>
      <c r="CZ31" s="284">
        <v>5014</v>
      </c>
      <c r="DA31" s="284">
        <v>4977</v>
      </c>
      <c r="DB31" s="284">
        <v>4906</v>
      </c>
      <c r="DC31" s="284">
        <v>4871</v>
      </c>
      <c r="DD31" s="284">
        <v>4829</v>
      </c>
      <c r="DE31" s="284">
        <v>4785</v>
      </c>
      <c r="DF31" s="306">
        <v>4722</v>
      </c>
      <c r="DG31" s="284">
        <v>4665</v>
      </c>
      <c r="DH31" s="284">
        <v>4626</v>
      </c>
      <c r="DI31" s="284">
        <v>4596</v>
      </c>
      <c r="DJ31" s="284">
        <v>4556</v>
      </c>
      <c r="DK31" s="284">
        <v>4521</v>
      </c>
      <c r="DL31" s="284">
        <v>4517</v>
      </c>
      <c r="DM31" s="275">
        <v>4530</v>
      </c>
      <c r="DN31" s="327">
        <v>4481</v>
      </c>
      <c r="DO31" s="275">
        <v>4480</v>
      </c>
      <c r="DP31" s="284">
        <v>4402</v>
      </c>
      <c r="DQ31" s="284">
        <v>4330</v>
      </c>
      <c r="DR31" s="284">
        <v>4246</v>
      </c>
      <c r="DS31" s="311">
        <v>4219</v>
      </c>
      <c r="DT31" s="284">
        <v>4182</v>
      </c>
      <c r="DU31" s="284">
        <v>4157</v>
      </c>
      <c r="DV31" s="362">
        <v>4124</v>
      </c>
      <c r="DW31" s="362">
        <v>3871</v>
      </c>
      <c r="DX31" s="362">
        <v>2755</v>
      </c>
      <c r="DY31" s="362">
        <v>1638</v>
      </c>
      <c r="DZ31" s="362">
        <v>1624</v>
      </c>
      <c r="EA31" s="362">
        <v>1605</v>
      </c>
      <c r="EB31" s="362">
        <v>1596</v>
      </c>
      <c r="EC31" s="362">
        <v>1581</v>
      </c>
      <c r="ED31" s="362">
        <v>1565</v>
      </c>
      <c r="EE31" s="362">
        <v>1555</v>
      </c>
      <c r="EF31" s="362">
        <v>1536</v>
      </c>
      <c r="EG31" s="362">
        <v>1524</v>
      </c>
      <c r="EH31" s="362">
        <v>1508</v>
      </c>
      <c r="EI31" s="362">
        <v>1489</v>
      </c>
      <c r="EJ31" s="362">
        <v>1455</v>
      </c>
      <c r="EK31" s="362">
        <v>1440</v>
      </c>
      <c r="EL31" s="362">
        <v>1428</v>
      </c>
      <c r="EM31" s="362">
        <v>1417</v>
      </c>
      <c r="EN31" s="362">
        <v>1415</v>
      </c>
      <c r="EO31" s="362">
        <v>1384</v>
      </c>
      <c r="EP31" s="362">
        <v>1375</v>
      </c>
      <c r="EQ31" s="362">
        <v>1364</v>
      </c>
      <c r="ER31" s="362">
        <v>1347</v>
      </c>
      <c r="ES31" s="362">
        <v>1332</v>
      </c>
      <c r="ET31" s="362">
        <v>1321</v>
      </c>
      <c r="EU31" s="362">
        <v>1313</v>
      </c>
      <c r="EV31" s="362">
        <v>1306</v>
      </c>
      <c r="EW31" s="362">
        <v>1290</v>
      </c>
      <c r="EX31" s="362">
        <v>1275</v>
      </c>
      <c r="EY31" s="362">
        <v>1260</v>
      </c>
      <c r="EZ31" s="362">
        <v>1247</v>
      </c>
      <c r="FA31" s="362">
        <v>1233</v>
      </c>
      <c r="FB31" s="362">
        <v>1224</v>
      </c>
      <c r="FC31" s="362">
        <v>1196</v>
      </c>
      <c r="FD31" s="362">
        <v>1199</v>
      </c>
      <c r="FE31" s="362">
        <v>1193</v>
      </c>
      <c r="FF31" s="362">
        <v>1181</v>
      </c>
      <c r="FG31" s="362">
        <v>1170</v>
      </c>
      <c r="FH31" s="362">
        <v>1164</v>
      </c>
      <c r="FI31" s="362">
        <v>1154</v>
      </c>
      <c r="FJ31" s="362">
        <v>1144</v>
      </c>
      <c r="FK31" s="362">
        <v>1131</v>
      </c>
      <c r="FL31" s="362">
        <v>1123</v>
      </c>
      <c r="FM31" s="362">
        <v>1112</v>
      </c>
      <c r="FN31" s="362">
        <v>1104</v>
      </c>
      <c r="FO31" s="362">
        <v>1095</v>
      </c>
      <c r="FP31" s="362">
        <v>1085</v>
      </c>
      <c r="FQ31" s="362">
        <v>1078</v>
      </c>
      <c r="FR31" s="362">
        <v>1070</v>
      </c>
      <c r="FS31" s="362">
        <v>1060</v>
      </c>
      <c r="FT31" s="362">
        <v>1057</v>
      </c>
    </row>
    <row r="32" spans="1:176" ht="13.8" thickBot="1" x14ac:dyDescent="0.3">
      <c r="B32" s="5" t="s">
        <v>8</v>
      </c>
      <c r="C32" s="40">
        <v>246</v>
      </c>
      <c r="D32" s="17">
        <v>244</v>
      </c>
      <c r="E32" s="17">
        <v>366</v>
      </c>
      <c r="F32" s="17">
        <v>407</v>
      </c>
      <c r="G32" s="17">
        <v>410</v>
      </c>
      <c r="H32" s="17">
        <v>419</v>
      </c>
      <c r="I32" s="17">
        <v>472</v>
      </c>
      <c r="J32" s="17">
        <v>510</v>
      </c>
      <c r="K32" s="17">
        <v>527</v>
      </c>
      <c r="L32" s="17">
        <v>527</v>
      </c>
      <c r="M32" s="17">
        <v>528</v>
      </c>
      <c r="N32" s="16">
        <v>540</v>
      </c>
      <c r="O32" s="121">
        <v>549</v>
      </c>
      <c r="P32" s="16">
        <v>543</v>
      </c>
      <c r="Q32" s="16">
        <v>541</v>
      </c>
      <c r="R32" s="16">
        <v>515</v>
      </c>
      <c r="S32" s="16">
        <v>519</v>
      </c>
      <c r="T32" s="16">
        <v>537</v>
      </c>
      <c r="U32" s="16">
        <v>544</v>
      </c>
      <c r="V32" s="16">
        <v>540</v>
      </c>
      <c r="W32" s="16">
        <v>541</v>
      </c>
      <c r="X32" s="16">
        <v>531</v>
      </c>
      <c r="Y32" s="16">
        <v>548</v>
      </c>
      <c r="Z32" s="21">
        <v>571</v>
      </c>
      <c r="AA32" s="39">
        <v>580</v>
      </c>
      <c r="AB32" s="39">
        <v>813</v>
      </c>
      <c r="AC32" s="39">
        <v>853</v>
      </c>
      <c r="AD32" s="39">
        <v>841</v>
      </c>
      <c r="AE32" s="39">
        <v>851</v>
      </c>
      <c r="AF32" s="39">
        <v>847</v>
      </c>
      <c r="AG32" s="39">
        <v>890</v>
      </c>
      <c r="AH32" s="39">
        <v>892</v>
      </c>
      <c r="AI32" s="39">
        <v>895</v>
      </c>
      <c r="AJ32" s="39">
        <v>905</v>
      </c>
      <c r="AK32" s="39">
        <v>916</v>
      </c>
      <c r="AL32" s="39">
        <v>920</v>
      </c>
      <c r="AM32" s="121">
        <v>924</v>
      </c>
      <c r="AN32" s="39">
        <v>994</v>
      </c>
      <c r="AO32" s="39">
        <v>954</v>
      </c>
      <c r="AP32" s="39">
        <v>955</v>
      </c>
      <c r="AQ32" s="39">
        <v>964</v>
      </c>
      <c r="AR32" s="39">
        <v>980</v>
      </c>
      <c r="AS32" s="39">
        <v>968</v>
      </c>
      <c r="AT32" s="39">
        <v>1006</v>
      </c>
      <c r="AU32" s="39">
        <v>1013</v>
      </c>
      <c r="AV32" s="39">
        <v>1032</v>
      </c>
      <c r="AW32" s="39">
        <v>1034</v>
      </c>
      <c r="AX32" s="39">
        <v>1041</v>
      </c>
      <c r="AY32" s="121">
        <v>1031</v>
      </c>
      <c r="AZ32" s="39">
        <v>1004</v>
      </c>
      <c r="BA32" s="39">
        <v>984</v>
      </c>
      <c r="BB32" s="39">
        <v>994</v>
      </c>
      <c r="BC32" s="39">
        <v>1001</v>
      </c>
      <c r="BD32" s="39">
        <v>1013</v>
      </c>
      <c r="BE32" s="39">
        <v>875</v>
      </c>
      <c r="BF32" s="39">
        <v>894</v>
      </c>
      <c r="BG32" s="39">
        <v>905</v>
      </c>
      <c r="BH32" s="39">
        <v>1057</v>
      </c>
      <c r="BI32" s="39">
        <v>1059</v>
      </c>
      <c r="BJ32" s="193">
        <v>1088</v>
      </c>
      <c r="BK32" s="39">
        <v>1139</v>
      </c>
      <c r="BL32" s="39">
        <v>1505</v>
      </c>
      <c r="BM32" s="39">
        <v>1501</v>
      </c>
      <c r="BN32" s="39">
        <v>1509</v>
      </c>
      <c r="BO32" s="39">
        <v>1511</v>
      </c>
      <c r="BP32" s="39">
        <v>1647</v>
      </c>
      <c r="BQ32" s="39">
        <v>1562</v>
      </c>
      <c r="BR32" s="39">
        <v>1628</v>
      </c>
      <c r="BS32" s="39">
        <v>1717</v>
      </c>
      <c r="BT32" s="39">
        <v>1729</v>
      </c>
      <c r="BU32" s="39">
        <v>1750</v>
      </c>
      <c r="BV32" s="193">
        <v>1764</v>
      </c>
      <c r="BW32" s="74">
        <v>1776</v>
      </c>
      <c r="BX32" s="39">
        <v>1803</v>
      </c>
      <c r="BY32" s="18">
        <v>1839</v>
      </c>
      <c r="BZ32" s="39">
        <v>1867</v>
      </c>
      <c r="CA32" s="42">
        <v>1887</v>
      </c>
      <c r="CB32" s="18">
        <v>1901</v>
      </c>
      <c r="CC32" s="218">
        <v>1924</v>
      </c>
      <c r="CD32" s="218">
        <v>1979</v>
      </c>
      <c r="CE32" s="218">
        <v>2023</v>
      </c>
      <c r="CF32" s="257">
        <v>2154</v>
      </c>
      <c r="CG32" s="257">
        <v>2233</v>
      </c>
      <c r="CH32" s="93">
        <v>2267</v>
      </c>
      <c r="CI32" s="72">
        <v>2268</v>
      </c>
      <c r="CJ32" s="92">
        <v>2320</v>
      </c>
      <c r="CK32" s="92">
        <v>2320</v>
      </c>
      <c r="CL32" s="92">
        <v>2355</v>
      </c>
      <c r="CM32" s="92">
        <v>2367</v>
      </c>
      <c r="CN32" s="92">
        <v>2402</v>
      </c>
      <c r="CO32" s="92">
        <v>2433</v>
      </c>
      <c r="CP32" s="92">
        <v>2455</v>
      </c>
      <c r="CQ32" s="92">
        <v>2483</v>
      </c>
      <c r="CR32" s="92">
        <v>2495</v>
      </c>
      <c r="CS32" s="92">
        <v>2504</v>
      </c>
      <c r="CT32" s="93">
        <v>2526</v>
      </c>
      <c r="CU32" s="286">
        <v>2545</v>
      </c>
      <c r="CV32" s="287">
        <v>2536</v>
      </c>
      <c r="CW32" s="287">
        <v>2553</v>
      </c>
      <c r="CX32" s="287">
        <v>2564</v>
      </c>
      <c r="CY32" s="287">
        <v>2570</v>
      </c>
      <c r="CZ32" s="287">
        <v>2574</v>
      </c>
      <c r="DA32" s="287">
        <v>2539</v>
      </c>
      <c r="DB32" s="287">
        <v>2639</v>
      </c>
      <c r="DC32" s="287">
        <v>2671</v>
      </c>
      <c r="DD32" s="287">
        <v>2702</v>
      </c>
      <c r="DE32" s="287">
        <v>2708</v>
      </c>
      <c r="DF32" s="296">
        <v>2750</v>
      </c>
      <c r="DG32" s="286">
        <v>2785</v>
      </c>
      <c r="DH32" s="287">
        <v>2790</v>
      </c>
      <c r="DI32" s="287">
        <v>2792</v>
      </c>
      <c r="DJ32" s="287">
        <v>2816</v>
      </c>
      <c r="DK32" s="287">
        <v>2830</v>
      </c>
      <c r="DL32" s="287">
        <v>2806</v>
      </c>
      <c r="DM32" s="276">
        <v>2763</v>
      </c>
      <c r="DN32" s="334">
        <v>2771</v>
      </c>
      <c r="DO32" s="276">
        <v>2774</v>
      </c>
      <c r="DP32" s="276">
        <v>2794</v>
      </c>
      <c r="DQ32" s="276">
        <v>2843</v>
      </c>
      <c r="DR32" s="276">
        <v>2904</v>
      </c>
      <c r="DS32" s="350">
        <v>2860</v>
      </c>
      <c r="DT32" s="287">
        <v>2913</v>
      </c>
      <c r="DU32" s="287">
        <v>2914</v>
      </c>
      <c r="DV32" s="367">
        <v>2920</v>
      </c>
      <c r="DW32" s="367">
        <v>3121</v>
      </c>
      <c r="DX32" s="367">
        <v>4244</v>
      </c>
      <c r="DY32" s="17">
        <v>5327</v>
      </c>
      <c r="DZ32" s="350">
        <v>5352</v>
      </c>
      <c r="EA32" s="17">
        <v>5348</v>
      </c>
      <c r="EB32" s="378">
        <v>5335</v>
      </c>
      <c r="EC32" s="378">
        <v>5330</v>
      </c>
      <c r="ED32" s="378">
        <v>5327</v>
      </c>
      <c r="EE32" s="378">
        <v>5325</v>
      </c>
      <c r="EF32" s="378">
        <v>5306</v>
      </c>
      <c r="EG32" s="378">
        <v>5297</v>
      </c>
      <c r="EH32" s="378">
        <v>5258</v>
      </c>
      <c r="EI32" s="378">
        <v>5224</v>
      </c>
      <c r="EJ32" s="378">
        <v>5197</v>
      </c>
      <c r="EK32" s="378">
        <v>5186</v>
      </c>
      <c r="EL32" s="378">
        <v>5170</v>
      </c>
      <c r="EM32" s="378">
        <v>5162</v>
      </c>
      <c r="EN32" s="378">
        <v>5158</v>
      </c>
      <c r="EO32" s="378">
        <v>5138</v>
      </c>
      <c r="EP32" s="378">
        <v>5138</v>
      </c>
      <c r="EQ32" s="378">
        <v>5110</v>
      </c>
      <c r="ER32" s="378">
        <v>5118</v>
      </c>
      <c r="ES32" s="378">
        <v>5105</v>
      </c>
      <c r="ET32" s="378">
        <v>5099</v>
      </c>
      <c r="EU32" s="378">
        <v>5080</v>
      </c>
      <c r="EV32" s="378">
        <v>5072</v>
      </c>
      <c r="EW32" s="378">
        <v>5073</v>
      </c>
      <c r="EX32" s="378">
        <v>5062</v>
      </c>
      <c r="EY32" s="378">
        <v>5050</v>
      </c>
      <c r="EZ32" s="92">
        <v>5034</v>
      </c>
      <c r="FA32" s="92">
        <v>5029</v>
      </c>
      <c r="FB32" s="92">
        <v>5022</v>
      </c>
      <c r="FC32" s="92">
        <v>5049</v>
      </c>
      <c r="FD32" s="92">
        <v>5004</v>
      </c>
      <c r="FE32" s="92">
        <v>4998</v>
      </c>
      <c r="FF32" s="92">
        <v>4991</v>
      </c>
      <c r="FG32" s="92">
        <v>4980</v>
      </c>
      <c r="FH32" s="92">
        <v>4954</v>
      </c>
      <c r="FI32" s="92">
        <v>4958</v>
      </c>
      <c r="FJ32" s="92">
        <v>4922</v>
      </c>
      <c r="FK32" s="92">
        <v>4916</v>
      </c>
      <c r="FL32" s="92">
        <v>4897</v>
      </c>
      <c r="FM32" s="92">
        <v>4889</v>
      </c>
      <c r="FN32" s="92">
        <v>4872</v>
      </c>
      <c r="FO32" s="92">
        <v>4866</v>
      </c>
      <c r="FP32" s="92">
        <v>4854</v>
      </c>
      <c r="FQ32" s="92">
        <v>4836</v>
      </c>
      <c r="FR32" s="92">
        <v>4828</v>
      </c>
      <c r="FS32" s="92">
        <v>4828</v>
      </c>
      <c r="FT32" s="92">
        <v>4816</v>
      </c>
    </row>
    <row r="33" spans="1:182" ht="13.8" thickTop="1" x14ac:dyDescent="0.25">
      <c r="B33" s="3" t="s">
        <v>9</v>
      </c>
      <c r="C33" s="35">
        <f t="shared" ref="C33:L33" si="141">SUM(C31:C32)</f>
        <v>15036</v>
      </c>
      <c r="D33" s="8">
        <f t="shared" si="141"/>
        <v>14570</v>
      </c>
      <c r="E33" s="8">
        <f t="shared" si="141"/>
        <v>14340</v>
      </c>
      <c r="F33" s="8">
        <f t="shared" si="141"/>
        <v>14511</v>
      </c>
      <c r="G33" s="8">
        <f t="shared" si="141"/>
        <v>14427</v>
      </c>
      <c r="H33" s="8">
        <f t="shared" si="141"/>
        <v>13476</v>
      </c>
      <c r="I33" s="8">
        <f t="shared" si="141"/>
        <v>14151</v>
      </c>
      <c r="J33" s="8">
        <f t="shared" si="141"/>
        <v>14357</v>
      </c>
      <c r="K33" s="8">
        <f t="shared" si="141"/>
        <v>14295</v>
      </c>
      <c r="L33" s="8">
        <f t="shared" si="141"/>
        <v>14261</v>
      </c>
      <c r="M33" s="8">
        <f t="shared" ref="M33:T33" si="142">SUM(M31:M32)</f>
        <v>14203</v>
      </c>
      <c r="N33" s="80">
        <f t="shared" si="142"/>
        <v>14165</v>
      </c>
      <c r="O33" s="209">
        <f t="shared" si="142"/>
        <v>13987</v>
      </c>
      <c r="P33" s="80">
        <f t="shared" si="142"/>
        <v>13899</v>
      </c>
      <c r="Q33" s="80">
        <f t="shared" si="142"/>
        <v>14017</v>
      </c>
      <c r="R33" s="80">
        <f t="shared" si="142"/>
        <v>13986</v>
      </c>
      <c r="S33" s="80">
        <f t="shared" si="142"/>
        <v>13899</v>
      </c>
      <c r="T33" s="80">
        <f t="shared" si="142"/>
        <v>13787</v>
      </c>
      <c r="U33" s="80">
        <f t="shared" ref="U33:Z33" si="143">SUM(U31:U32)</f>
        <v>13689</v>
      </c>
      <c r="V33" s="80">
        <f t="shared" si="143"/>
        <v>13455</v>
      </c>
      <c r="W33" s="80">
        <f t="shared" si="143"/>
        <v>13303</v>
      </c>
      <c r="X33" s="80">
        <f t="shared" si="143"/>
        <v>13236</v>
      </c>
      <c r="Y33" s="80">
        <f t="shared" si="143"/>
        <v>13157</v>
      </c>
      <c r="Z33" s="10">
        <f t="shared" si="143"/>
        <v>13142</v>
      </c>
      <c r="AA33" s="80">
        <f t="shared" ref="AA33:AF33" si="144">SUM(AA31:AA32)</f>
        <v>12966</v>
      </c>
      <c r="AB33" s="80">
        <f t="shared" si="144"/>
        <v>12984</v>
      </c>
      <c r="AC33" s="80">
        <f t="shared" si="144"/>
        <v>12900</v>
      </c>
      <c r="AD33" s="80">
        <f t="shared" si="144"/>
        <v>12788</v>
      </c>
      <c r="AE33" s="80">
        <f t="shared" si="144"/>
        <v>12648</v>
      </c>
      <c r="AF33" s="80">
        <f t="shared" si="144"/>
        <v>12509</v>
      </c>
      <c r="AG33" s="80">
        <f t="shared" ref="AG33:AL33" si="145">SUM(AG31:AG32)</f>
        <v>12770</v>
      </c>
      <c r="AH33" s="80">
        <f t="shared" si="145"/>
        <v>12574</v>
      </c>
      <c r="AI33" s="80">
        <f t="shared" si="145"/>
        <v>12488</v>
      </c>
      <c r="AJ33" s="80">
        <f t="shared" si="145"/>
        <v>12180</v>
      </c>
      <c r="AK33" s="80">
        <f t="shared" si="145"/>
        <v>12082</v>
      </c>
      <c r="AL33" s="80">
        <f t="shared" si="145"/>
        <v>12007</v>
      </c>
      <c r="AM33" s="194">
        <f t="shared" ref="AM33:AR33" si="146">SUM(AM31:AM32)</f>
        <v>11842</v>
      </c>
      <c r="AN33" s="80">
        <f t="shared" si="146"/>
        <v>11808</v>
      </c>
      <c r="AO33" s="80">
        <f t="shared" si="146"/>
        <v>11673</v>
      </c>
      <c r="AP33" s="80">
        <f t="shared" si="146"/>
        <v>11553</v>
      </c>
      <c r="AQ33" s="80">
        <f t="shared" si="146"/>
        <v>11479</v>
      </c>
      <c r="AR33" s="80">
        <f t="shared" si="146"/>
        <v>11406</v>
      </c>
      <c r="AS33" s="80">
        <f t="shared" ref="AS33:AX33" si="147">SUM(AS31:AS32)</f>
        <v>11302</v>
      </c>
      <c r="AT33" s="80">
        <f t="shared" si="147"/>
        <v>11235</v>
      </c>
      <c r="AU33" s="80">
        <f t="shared" si="147"/>
        <v>11147</v>
      </c>
      <c r="AV33" s="80">
        <f t="shared" si="147"/>
        <v>11066</v>
      </c>
      <c r="AW33" s="80">
        <f t="shared" si="147"/>
        <v>10981</v>
      </c>
      <c r="AX33" s="80">
        <f t="shared" si="147"/>
        <v>10947</v>
      </c>
      <c r="AY33" s="194">
        <f t="shared" ref="AY33:BJ33" si="148">SUM(AY31:AY32)</f>
        <v>10882</v>
      </c>
      <c r="AZ33" s="80">
        <f t="shared" si="148"/>
        <v>10821</v>
      </c>
      <c r="BA33" s="80">
        <f t="shared" si="148"/>
        <v>10775</v>
      </c>
      <c r="BB33" s="80">
        <f t="shared" si="148"/>
        <v>10735</v>
      </c>
      <c r="BC33" s="80">
        <f t="shared" si="148"/>
        <v>10664</v>
      </c>
      <c r="BD33" s="80">
        <f t="shared" si="148"/>
        <v>10637</v>
      </c>
      <c r="BE33" s="80">
        <f t="shared" si="148"/>
        <v>10406</v>
      </c>
      <c r="BF33" s="80">
        <f t="shared" si="148"/>
        <v>10319</v>
      </c>
      <c r="BG33" s="80">
        <f t="shared" si="148"/>
        <v>10249</v>
      </c>
      <c r="BH33" s="80">
        <f t="shared" si="148"/>
        <v>10358</v>
      </c>
      <c r="BI33" s="80">
        <f t="shared" si="148"/>
        <v>10314</v>
      </c>
      <c r="BJ33" s="10">
        <f t="shared" si="148"/>
        <v>10341</v>
      </c>
      <c r="BK33" s="80">
        <f t="shared" ref="BK33:BP33" si="149">SUM(BK31:BK32)</f>
        <v>10264</v>
      </c>
      <c r="BL33" s="80">
        <f t="shared" si="149"/>
        <v>10146</v>
      </c>
      <c r="BM33" s="80">
        <f t="shared" si="149"/>
        <v>10104</v>
      </c>
      <c r="BN33" s="80">
        <f t="shared" si="149"/>
        <v>10079</v>
      </c>
      <c r="BO33" s="80">
        <f t="shared" si="149"/>
        <v>10053</v>
      </c>
      <c r="BP33" s="80">
        <f t="shared" si="149"/>
        <v>10585</v>
      </c>
      <c r="BQ33" s="80">
        <f t="shared" ref="BQ33:BV33" si="150">SUM(BQ31:BQ32)</f>
        <v>9845</v>
      </c>
      <c r="BR33" s="80">
        <f t="shared" si="150"/>
        <v>9755</v>
      </c>
      <c r="BS33" s="80">
        <f t="shared" si="150"/>
        <v>9652</v>
      </c>
      <c r="BT33" s="80">
        <f t="shared" si="150"/>
        <v>9562</v>
      </c>
      <c r="BU33" s="80">
        <f t="shared" si="150"/>
        <v>9480</v>
      </c>
      <c r="BV33" s="10">
        <f t="shared" si="150"/>
        <v>9421</v>
      </c>
      <c r="BW33" s="194">
        <f t="shared" ref="BW33:CB33" si="151">SUM(BW31:BW32)</f>
        <v>9316</v>
      </c>
      <c r="BX33" s="80">
        <f t="shared" si="151"/>
        <v>9268</v>
      </c>
      <c r="BY33" s="80">
        <f t="shared" si="151"/>
        <v>9220</v>
      </c>
      <c r="BZ33" s="80">
        <f t="shared" si="151"/>
        <v>9156</v>
      </c>
      <c r="CA33" s="80">
        <f t="shared" si="151"/>
        <v>9109</v>
      </c>
      <c r="CB33" s="80">
        <f t="shared" si="151"/>
        <v>9029</v>
      </c>
      <c r="CC33" s="80">
        <f t="shared" ref="CC33:DK33" si="152">SUM(CC31:CC32)</f>
        <v>8960</v>
      </c>
      <c r="CD33" s="80">
        <f t="shared" si="152"/>
        <v>8874</v>
      </c>
      <c r="CE33" s="80">
        <f t="shared" si="152"/>
        <v>8746</v>
      </c>
      <c r="CF33" s="80">
        <f t="shared" si="152"/>
        <v>8674</v>
      </c>
      <c r="CG33" s="80">
        <f t="shared" si="152"/>
        <v>8570</v>
      </c>
      <c r="CH33" s="107">
        <f t="shared" si="152"/>
        <v>8513</v>
      </c>
      <c r="CI33" s="106">
        <f t="shared" si="152"/>
        <v>8386</v>
      </c>
      <c r="CJ33" s="94">
        <f t="shared" si="152"/>
        <v>8365</v>
      </c>
      <c r="CK33" s="94">
        <f t="shared" si="152"/>
        <v>8221</v>
      </c>
      <c r="CL33" s="94">
        <f t="shared" si="152"/>
        <v>8140</v>
      </c>
      <c r="CM33" s="94">
        <f t="shared" si="152"/>
        <v>8088</v>
      </c>
      <c r="CN33" s="94">
        <f t="shared" si="152"/>
        <v>8048</v>
      </c>
      <c r="CO33" s="94">
        <f t="shared" si="152"/>
        <v>8005</v>
      </c>
      <c r="CP33" s="94">
        <f t="shared" si="152"/>
        <v>7966</v>
      </c>
      <c r="CQ33" s="94">
        <f t="shared" si="152"/>
        <v>7926</v>
      </c>
      <c r="CR33" s="94">
        <f t="shared" si="152"/>
        <v>7875</v>
      </c>
      <c r="CS33" s="94">
        <f t="shared" si="152"/>
        <v>7825</v>
      </c>
      <c r="CT33" s="96">
        <f t="shared" si="152"/>
        <v>7800</v>
      </c>
      <c r="CU33" s="94">
        <f t="shared" si="152"/>
        <v>7768</v>
      </c>
      <c r="CV33" s="94">
        <f t="shared" si="152"/>
        <v>7728</v>
      </c>
      <c r="CW33" s="94">
        <f t="shared" si="152"/>
        <v>7699</v>
      </c>
      <c r="CX33" s="94">
        <f t="shared" si="152"/>
        <v>7651</v>
      </c>
      <c r="CY33" s="94">
        <f t="shared" si="152"/>
        <v>7620</v>
      </c>
      <c r="CZ33" s="94">
        <f t="shared" si="152"/>
        <v>7588</v>
      </c>
      <c r="DA33" s="94">
        <f t="shared" si="152"/>
        <v>7516</v>
      </c>
      <c r="DB33" s="94">
        <f t="shared" si="152"/>
        <v>7545</v>
      </c>
      <c r="DC33" s="94">
        <f t="shared" si="152"/>
        <v>7542</v>
      </c>
      <c r="DD33" s="94">
        <f t="shared" si="152"/>
        <v>7531</v>
      </c>
      <c r="DE33" s="94">
        <f t="shared" si="152"/>
        <v>7493</v>
      </c>
      <c r="DF33" s="107">
        <f t="shared" si="152"/>
        <v>7472</v>
      </c>
      <c r="DG33" s="94">
        <f t="shared" si="152"/>
        <v>7450</v>
      </c>
      <c r="DH33" s="94">
        <f t="shared" si="152"/>
        <v>7416</v>
      </c>
      <c r="DI33" s="94">
        <f t="shared" si="152"/>
        <v>7388</v>
      </c>
      <c r="DJ33" s="94">
        <f t="shared" si="152"/>
        <v>7372</v>
      </c>
      <c r="DK33" s="94">
        <f t="shared" si="152"/>
        <v>7351</v>
      </c>
      <c r="DL33" s="94">
        <f t="shared" ref="DL33:DR33" si="153">SUM(DL31:DL32)</f>
        <v>7323</v>
      </c>
      <c r="DM33" s="94">
        <f t="shared" si="153"/>
        <v>7293</v>
      </c>
      <c r="DN33" s="94">
        <f t="shared" si="153"/>
        <v>7252</v>
      </c>
      <c r="DO33" s="94">
        <f t="shared" si="153"/>
        <v>7254</v>
      </c>
      <c r="DP33" s="94">
        <f t="shared" si="153"/>
        <v>7196</v>
      </c>
      <c r="DQ33" s="94">
        <f t="shared" si="153"/>
        <v>7173</v>
      </c>
      <c r="DR33" s="94">
        <f t="shared" si="153"/>
        <v>7150</v>
      </c>
      <c r="DS33" s="94">
        <f t="shared" ref="DS33:DX33" si="154">SUM(DS31:DS32)</f>
        <v>7079</v>
      </c>
      <c r="DT33" s="94">
        <f t="shared" si="154"/>
        <v>7095</v>
      </c>
      <c r="DU33" s="94">
        <f t="shared" si="154"/>
        <v>7071</v>
      </c>
      <c r="DV33" s="358">
        <f t="shared" si="154"/>
        <v>7044</v>
      </c>
      <c r="DW33" s="358">
        <f t="shared" si="154"/>
        <v>6992</v>
      </c>
      <c r="DX33" s="358">
        <f t="shared" si="154"/>
        <v>6999</v>
      </c>
      <c r="DY33" s="369">
        <v>6965</v>
      </c>
      <c r="DZ33" s="369">
        <v>6976</v>
      </c>
      <c r="EA33" s="369">
        <v>6953</v>
      </c>
      <c r="EB33" s="369">
        <v>6931</v>
      </c>
      <c r="EC33" s="369">
        <v>6911</v>
      </c>
      <c r="ED33" s="369">
        <v>6892</v>
      </c>
      <c r="EE33" s="358">
        <f t="shared" ref="EE33:FH33" si="155">SUM(EE31:EE32)</f>
        <v>6880</v>
      </c>
      <c r="EF33" s="358">
        <f t="shared" si="155"/>
        <v>6842</v>
      </c>
      <c r="EG33" s="358">
        <f t="shared" si="155"/>
        <v>6821</v>
      </c>
      <c r="EH33" s="358">
        <f t="shared" si="155"/>
        <v>6766</v>
      </c>
      <c r="EI33" s="358">
        <f t="shared" si="155"/>
        <v>6713</v>
      </c>
      <c r="EJ33" s="358">
        <f t="shared" si="155"/>
        <v>6652</v>
      </c>
      <c r="EK33" s="358">
        <f t="shared" si="155"/>
        <v>6626</v>
      </c>
      <c r="EL33" s="358">
        <f t="shared" si="155"/>
        <v>6598</v>
      </c>
      <c r="EM33" s="358">
        <f t="shared" si="155"/>
        <v>6579</v>
      </c>
      <c r="EN33" s="358">
        <f t="shared" si="155"/>
        <v>6573</v>
      </c>
      <c r="EO33" s="358">
        <f t="shared" si="155"/>
        <v>6522</v>
      </c>
      <c r="EP33" s="358">
        <f t="shared" si="155"/>
        <v>6513</v>
      </c>
      <c r="EQ33" s="358">
        <f t="shared" si="155"/>
        <v>6474</v>
      </c>
      <c r="ER33" s="358">
        <f t="shared" si="155"/>
        <v>6465</v>
      </c>
      <c r="ES33" s="358">
        <f t="shared" si="155"/>
        <v>6437</v>
      </c>
      <c r="ET33" s="358">
        <f t="shared" si="155"/>
        <v>6420</v>
      </c>
      <c r="EU33" s="358">
        <f t="shared" si="155"/>
        <v>6393</v>
      </c>
      <c r="EV33" s="358">
        <f t="shared" si="155"/>
        <v>6378</v>
      </c>
      <c r="EW33" s="358">
        <f t="shared" si="155"/>
        <v>6363</v>
      </c>
      <c r="EX33" s="358">
        <f t="shared" si="155"/>
        <v>6337</v>
      </c>
      <c r="EY33" s="358">
        <f t="shared" si="155"/>
        <v>6310</v>
      </c>
      <c r="EZ33" s="358">
        <f t="shared" si="155"/>
        <v>6281</v>
      </c>
      <c r="FA33" s="358">
        <f t="shared" si="155"/>
        <v>6262</v>
      </c>
      <c r="FB33" s="358">
        <f t="shared" si="155"/>
        <v>6246</v>
      </c>
      <c r="FC33" s="358">
        <f t="shared" si="155"/>
        <v>6245</v>
      </c>
      <c r="FD33" s="358">
        <f t="shared" si="155"/>
        <v>6203</v>
      </c>
      <c r="FE33" s="358">
        <f t="shared" si="155"/>
        <v>6191</v>
      </c>
      <c r="FF33" s="358">
        <f t="shared" si="155"/>
        <v>6172</v>
      </c>
      <c r="FG33" s="358">
        <f t="shared" si="155"/>
        <v>6150</v>
      </c>
      <c r="FH33" s="358">
        <f t="shared" si="155"/>
        <v>6118</v>
      </c>
      <c r="FI33" s="358">
        <f t="shared" ref="FI33:FK33" si="156">SUM(FI31:FI32)</f>
        <v>6112</v>
      </c>
      <c r="FJ33" s="358">
        <f t="shared" si="156"/>
        <v>6066</v>
      </c>
      <c r="FK33" s="358">
        <f t="shared" si="156"/>
        <v>6047</v>
      </c>
      <c r="FL33" s="358">
        <f t="shared" ref="FL33:FT33" si="157">SUM(FL31:FL32)</f>
        <v>6020</v>
      </c>
      <c r="FM33" s="358">
        <f t="shared" si="157"/>
        <v>6001</v>
      </c>
      <c r="FN33" s="358">
        <f t="shared" si="157"/>
        <v>5976</v>
      </c>
      <c r="FO33" s="358">
        <f t="shared" si="157"/>
        <v>5961</v>
      </c>
      <c r="FP33" s="358">
        <f t="shared" si="157"/>
        <v>5939</v>
      </c>
      <c r="FQ33" s="358">
        <f t="shared" si="157"/>
        <v>5914</v>
      </c>
      <c r="FR33" s="358">
        <f t="shared" si="157"/>
        <v>5898</v>
      </c>
      <c r="FS33" s="358">
        <f t="shared" si="157"/>
        <v>5888</v>
      </c>
      <c r="FT33" s="358">
        <f t="shared" si="157"/>
        <v>5873</v>
      </c>
    </row>
    <row r="34" spans="1:182" x14ac:dyDescent="0.25">
      <c r="B34" s="3" t="s">
        <v>10</v>
      </c>
      <c r="C34" s="36">
        <f t="shared" ref="C34:Q34" si="158">SUM(C31)/C33</f>
        <v>0.98363926576217076</v>
      </c>
      <c r="D34" s="14">
        <f t="shared" si="158"/>
        <v>0.98325326012354153</v>
      </c>
      <c r="E34" s="14">
        <f t="shared" si="158"/>
        <v>0.97447698744769873</v>
      </c>
      <c r="F34" s="14">
        <f t="shared" si="158"/>
        <v>0.97195231203914267</v>
      </c>
      <c r="G34" s="14">
        <f t="shared" si="158"/>
        <v>0.97158106328412008</v>
      </c>
      <c r="H34" s="14">
        <f t="shared" si="158"/>
        <v>0.96890768774116953</v>
      </c>
      <c r="I34" s="14">
        <f t="shared" si="158"/>
        <v>0.96664546675146634</v>
      </c>
      <c r="J34" s="14">
        <f t="shared" si="158"/>
        <v>0.96447725848018384</v>
      </c>
      <c r="K34" s="14">
        <f t="shared" si="158"/>
        <v>0.96313396292409936</v>
      </c>
      <c r="L34" s="14">
        <f t="shared" si="158"/>
        <v>0.96304606970058204</v>
      </c>
      <c r="M34" s="14">
        <f t="shared" si="158"/>
        <v>0.9628247553333803</v>
      </c>
      <c r="N34" s="14">
        <f t="shared" si="158"/>
        <v>0.96187786798446873</v>
      </c>
      <c r="O34" s="177">
        <f t="shared" si="158"/>
        <v>0.96074926717666409</v>
      </c>
      <c r="P34" s="14">
        <f t="shared" si="158"/>
        <v>0.96093244118281895</v>
      </c>
      <c r="Q34" s="14">
        <f t="shared" si="158"/>
        <v>0.96140400941713633</v>
      </c>
      <c r="R34" s="14">
        <f>SUM(R31)/R33</f>
        <v>0.96317746317746322</v>
      </c>
      <c r="S34" s="14">
        <f>SUM(S31)/S33</f>
        <v>0.96265918411396501</v>
      </c>
      <c r="T34" s="14">
        <f>SUM(T31)/T33</f>
        <v>0.96105026474214839</v>
      </c>
      <c r="U34" s="14">
        <f t="shared" ref="U34:Z34" si="159">SUM(U31)/U33</f>
        <v>0.96026006282416543</v>
      </c>
      <c r="V34" s="14">
        <f t="shared" si="159"/>
        <v>0.95986622073578598</v>
      </c>
      <c r="W34" s="14">
        <f t="shared" si="159"/>
        <v>0.95933248139517402</v>
      </c>
      <c r="X34" s="14">
        <f t="shared" si="159"/>
        <v>0.95988213961922031</v>
      </c>
      <c r="Y34" s="14">
        <f t="shared" si="159"/>
        <v>0.9583491677434065</v>
      </c>
      <c r="Z34" s="23">
        <f t="shared" si="159"/>
        <v>0.95655151422918883</v>
      </c>
      <c r="AA34" s="14">
        <f t="shared" ref="AA34:AF34" si="160">SUM(AA31)/AA33</f>
        <v>0.95526762301403667</v>
      </c>
      <c r="AB34" s="14">
        <f t="shared" si="160"/>
        <v>0.93738447319778184</v>
      </c>
      <c r="AC34" s="14">
        <f t="shared" si="160"/>
        <v>0.93387596899224801</v>
      </c>
      <c r="AD34" s="14">
        <f t="shared" si="160"/>
        <v>0.9342352205192368</v>
      </c>
      <c r="AE34" s="14">
        <f t="shared" si="160"/>
        <v>0.93271663504111324</v>
      </c>
      <c r="AF34" s="14">
        <f t="shared" si="160"/>
        <v>0.93228875209848905</v>
      </c>
      <c r="AG34" s="14">
        <f t="shared" ref="AG34:AL34" si="161">SUM(AG31)/AG33</f>
        <v>0.9303054032889585</v>
      </c>
      <c r="AH34" s="14">
        <f t="shared" si="161"/>
        <v>0.9290599650071576</v>
      </c>
      <c r="AI34" s="14">
        <f t="shared" si="161"/>
        <v>0.92833119795003205</v>
      </c>
      <c r="AJ34" s="14">
        <f t="shared" si="161"/>
        <v>0.92569786535303777</v>
      </c>
      <c r="AK34" s="14">
        <f t="shared" si="161"/>
        <v>0.92418473762622078</v>
      </c>
      <c r="AL34" s="14">
        <f t="shared" si="161"/>
        <v>0.92337802948280168</v>
      </c>
      <c r="AM34" s="78">
        <f t="shared" ref="AM34:AR34" si="162">SUM(AM31)/AM33</f>
        <v>0.92197263975679788</v>
      </c>
      <c r="AN34" s="14">
        <f t="shared" si="162"/>
        <v>0.91581978319783197</v>
      </c>
      <c r="AO34" s="14">
        <f t="shared" si="162"/>
        <v>0.91827293754818817</v>
      </c>
      <c r="AP34" s="14">
        <f t="shared" si="162"/>
        <v>0.91733748809832949</v>
      </c>
      <c r="AQ34" s="14">
        <f t="shared" si="162"/>
        <v>0.91602055928216741</v>
      </c>
      <c r="AR34" s="14">
        <f t="shared" si="162"/>
        <v>0.91408030860950373</v>
      </c>
      <c r="AS34" s="14">
        <f t="shared" ref="AS34:AX34" si="163">SUM(AS31)/AS33</f>
        <v>0.91435144222261544</v>
      </c>
      <c r="AT34" s="14">
        <f t="shared" si="163"/>
        <v>0.91045838896306186</v>
      </c>
      <c r="AU34" s="14">
        <f t="shared" si="163"/>
        <v>0.90912353099488652</v>
      </c>
      <c r="AV34" s="14">
        <f t="shared" si="163"/>
        <v>0.90674136996204591</v>
      </c>
      <c r="AW34" s="14">
        <f t="shared" si="163"/>
        <v>0.90583735543210997</v>
      </c>
      <c r="AX34" s="14">
        <f t="shared" si="163"/>
        <v>0.90490545354891749</v>
      </c>
      <c r="AY34" s="78">
        <f t="shared" ref="AY34:BJ34" si="164">SUM(AY31)/AY33</f>
        <v>0.90525638669362252</v>
      </c>
      <c r="AZ34" s="14">
        <f t="shared" si="164"/>
        <v>0.90721744755567879</v>
      </c>
      <c r="BA34" s="14">
        <f t="shared" si="164"/>
        <v>0.90867749419953592</v>
      </c>
      <c r="BB34" s="14">
        <f t="shared" si="164"/>
        <v>0.90740568234746155</v>
      </c>
      <c r="BC34" s="14">
        <f t="shared" si="164"/>
        <v>0.90613278319579893</v>
      </c>
      <c r="BD34" s="14">
        <f t="shared" si="164"/>
        <v>0.90476638149854283</v>
      </c>
      <c r="BE34" s="14">
        <f t="shared" si="164"/>
        <v>0.91591389582932925</v>
      </c>
      <c r="BF34" s="14">
        <f t="shared" si="164"/>
        <v>0.91336369803275508</v>
      </c>
      <c r="BG34" s="14">
        <f t="shared" si="164"/>
        <v>0.91169870231242067</v>
      </c>
      <c r="BH34" s="14">
        <f t="shared" si="164"/>
        <v>0.89795327283259319</v>
      </c>
      <c r="BI34" s="14">
        <f t="shared" si="164"/>
        <v>0.89732402559627689</v>
      </c>
      <c r="BJ34" s="23">
        <f t="shared" si="164"/>
        <v>0.89478773812977463</v>
      </c>
      <c r="BK34" s="14">
        <f t="shared" ref="BK34:BP34" si="165">SUM(BK31)/BK33</f>
        <v>0.88902961808261882</v>
      </c>
      <c r="BL34" s="14">
        <f t="shared" si="165"/>
        <v>0.85166568105657403</v>
      </c>
      <c r="BM34" s="14">
        <f t="shared" si="165"/>
        <v>0.85144497228820271</v>
      </c>
      <c r="BN34" s="14">
        <f t="shared" si="165"/>
        <v>0.85028276614743525</v>
      </c>
      <c r="BO34" s="14">
        <f t="shared" si="165"/>
        <v>0.84969660797771807</v>
      </c>
      <c r="BP34" s="14">
        <f t="shared" si="165"/>
        <v>0.84440245630609356</v>
      </c>
      <c r="BQ34" s="14">
        <f t="shared" ref="BQ34:BV34" si="166">SUM(BQ31)/BQ33</f>
        <v>0.84134078212290497</v>
      </c>
      <c r="BR34" s="14">
        <f t="shared" si="166"/>
        <v>0.83311122501281398</v>
      </c>
      <c r="BS34" s="14">
        <f t="shared" si="166"/>
        <v>0.82210940737670946</v>
      </c>
      <c r="BT34" s="14">
        <f t="shared" si="166"/>
        <v>0.81918008784773055</v>
      </c>
      <c r="BU34" s="14">
        <f t="shared" si="166"/>
        <v>0.81540084388185652</v>
      </c>
      <c r="BV34" s="23">
        <f t="shared" si="166"/>
        <v>0.81275873049570113</v>
      </c>
      <c r="BW34" s="78">
        <f t="shared" ref="BW34:CB34" si="167">SUM(BW31)/BW33</f>
        <v>0.80936024044654353</v>
      </c>
      <c r="BX34" s="14">
        <f t="shared" si="167"/>
        <v>0.80545964609408716</v>
      </c>
      <c r="BY34" s="14">
        <f t="shared" si="167"/>
        <v>0.80054229934924082</v>
      </c>
      <c r="BZ34" s="14">
        <f t="shared" si="167"/>
        <v>0.79608999563128002</v>
      </c>
      <c r="CA34" s="14">
        <f t="shared" si="167"/>
        <v>0.79284224393457026</v>
      </c>
      <c r="CB34" s="14">
        <f t="shared" si="167"/>
        <v>0.78945619669952372</v>
      </c>
      <c r="CC34" s="14">
        <f t="shared" ref="CC34:DK34" si="168">SUM(CC31)/CC33</f>
        <v>0.78526785714285718</v>
      </c>
      <c r="CD34" s="14">
        <f t="shared" si="168"/>
        <v>0.77698895650214106</v>
      </c>
      <c r="CE34" s="14">
        <f t="shared" si="168"/>
        <v>0.76869426023324949</v>
      </c>
      <c r="CF34" s="14">
        <f t="shared" si="168"/>
        <v>0.75167166243947425</v>
      </c>
      <c r="CG34" s="14">
        <f t="shared" si="168"/>
        <v>0.73943990665110848</v>
      </c>
      <c r="CH34" s="241">
        <f t="shared" si="168"/>
        <v>0.73370139786209332</v>
      </c>
      <c r="CI34" s="239">
        <f t="shared" si="168"/>
        <v>0.72954924874791316</v>
      </c>
      <c r="CJ34" s="240">
        <f t="shared" si="168"/>
        <v>0.72265391512253441</v>
      </c>
      <c r="CK34" s="240">
        <f t="shared" si="168"/>
        <v>0.71779588857803189</v>
      </c>
      <c r="CL34" s="240">
        <f t="shared" si="168"/>
        <v>0.7106879606879607</v>
      </c>
      <c r="CM34" s="240">
        <f t="shared" si="168"/>
        <v>0.70734421364985167</v>
      </c>
      <c r="CN34" s="240">
        <f t="shared" si="168"/>
        <v>0.70154075546719685</v>
      </c>
      <c r="CO34" s="240">
        <f t="shared" si="168"/>
        <v>0.69606495940037472</v>
      </c>
      <c r="CP34" s="240">
        <f t="shared" si="168"/>
        <v>0.69181521466231488</v>
      </c>
      <c r="CQ34" s="240">
        <f t="shared" si="168"/>
        <v>0.68672722684834719</v>
      </c>
      <c r="CR34" s="240">
        <f t="shared" si="168"/>
        <v>0.68317460317460321</v>
      </c>
      <c r="CS34" s="240">
        <f t="shared" si="168"/>
        <v>0.68</v>
      </c>
      <c r="CT34" s="241">
        <f t="shared" si="168"/>
        <v>0.67615384615384611</v>
      </c>
      <c r="CU34" s="240">
        <f t="shared" si="168"/>
        <v>0.67237384140061796</v>
      </c>
      <c r="CV34" s="240">
        <f t="shared" si="168"/>
        <v>0.67184265010351962</v>
      </c>
      <c r="CW34" s="240">
        <f t="shared" si="168"/>
        <v>0.66839849331081957</v>
      </c>
      <c r="CX34" s="240">
        <f t="shared" si="168"/>
        <v>0.66488040778983137</v>
      </c>
      <c r="CY34" s="240">
        <f t="shared" si="168"/>
        <v>0.66272965879265089</v>
      </c>
      <c r="CZ34" s="240">
        <f t="shared" si="168"/>
        <v>0.6607801792303637</v>
      </c>
      <c r="DA34" s="240">
        <f t="shared" si="168"/>
        <v>0.66218733368813198</v>
      </c>
      <c r="DB34" s="240">
        <f t="shared" si="168"/>
        <v>0.65023194168323395</v>
      </c>
      <c r="DC34" s="240">
        <f t="shared" si="168"/>
        <v>0.64584990718642266</v>
      </c>
      <c r="DD34" s="240">
        <f t="shared" si="168"/>
        <v>0.64121630593546675</v>
      </c>
      <c r="DE34" s="240">
        <f t="shared" si="168"/>
        <v>0.63859602295475781</v>
      </c>
      <c r="DF34" s="241">
        <f t="shared" si="168"/>
        <v>0.63195931477516065</v>
      </c>
      <c r="DG34" s="240">
        <f t="shared" si="168"/>
        <v>0.62617449664429525</v>
      </c>
      <c r="DH34" s="240">
        <f t="shared" si="168"/>
        <v>0.62378640776699024</v>
      </c>
      <c r="DI34" s="240">
        <f t="shared" si="168"/>
        <v>0.62208987547374117</v>
      </c>
      <c r="DJ34" s="240">
        <f t="shared" si="168"/>
        <v>0.61801410743353224</v>
      </c>
      <c r="DK34" s="240">
        <f t="shared" si="168"/>
        <v>0.61501836484831995</v>
      </c>
      <c r="DL34" s="240">
        <f t="shared" ref="DL34:DR34" si="169">SUM(DL31)/DL33</f>
        <v>0.61682370613136694</v>
      </c>
      <c r="DM34" s="240">
        <f t="shared" si="169"/>
        <v>0.62114356232003287</v>
      </c>
      <c r="DN34" s="240">
        <f t="shared" si="169"/>
        <v>0.61789851075565361</v>
      </c>
      <c r="DO34" s="240">
        <f t="shared" si="169"/>
        <v>0.6175902950096499</v>
      </c>
      <c r="DP34" s="240">
        <f t="shared" si="169"/>
        <v>0.6117287381878822</v>
      </c>
      <c r="DQ34" s="240">
        <f t="shared" si="169"/>
        <v>0.60365258608671402</v>
      </c>
      <c r="DR34" s="240">
        <f t="shared" si="169"/>
        <v>0.5938461538461538</v>
      </c>
      <c r="DS34" s="240">
        <f t="shared" ref="DS34:FH34" si="170">SUM(DS31)/DS33</f>
        <v>0.59598813391721994</v>
      </c>
      <c r="DT34" s="240">
        <f t="shared" si="170"/>
        <v>0.58942917547568707</v>
      </c>
      <c r="DU34" s="240">
        <f t="shared" si="170"/>
        <v>0.58789421581105927</v>
      </c>
      <c r="DV34" s="356">
        <f t="shared" si="170"/>
        <v>0.58546280522430438</v>
      </c>
      <c r="DW34" s="356">
        <f t="shared" si="170"/>
        <v>0.55363272311212819</v>
      </c>
      <c r="DX34" s="356">
        <f t="shared" si="170"/>
        <v>0.39362766109444208</v>
      </c>
      <c r="DY34" s="356">
        <f t="shared" si="170"/>
        <v>0.23517587939698492</v>
      </c>
      <c r="DZ34" s="356">
        <f t="shared" si="170"/>
        <v>0.23279816513761467</v>
      </c>
      <c r="EA34" s="356">
        <f t="shared" si="170"/>
        <v>0.23083561052782972</v>
      </c>
      <c r="EB34" s="356">
        <f t="shared" si="170"/>
        <v>0.23026980233732505</v>
      </c>
      <c r="EC34" s="356">
        <f t="shared" si="170"/>
        <v>0.22876573578353349</v>
      </c>
      <c r="ED34" s="356">
        <f t="shared" si="170"/>
        <v>0.22707486941381311</v>
      </c>
      <c r="EE34" s="356">
        <f t="shared" si="170"/>
        <v>0.22601744186046513</v>
      </c>
      <c r="EF34" s="356">
        <f t="shared" si="170"/>
        <v>0.22449576147325342</v>
      </c>
      <c r="EG34" s="356">
        <f t="shared" si="170"/>
        <v>0.22342764990470607</v>
      </c>
      <c r="EH34" s="356">
        <f t="shared" si="170"/>
        <v>0.22287910138929945</v>
      </c>
      <c r="EI34" s="356">
        <f t="shared" si="170"/>
        <v>0.22180843140175779</v>
      </c>
      <c r="EJ34" s="356">
        <f t="shared" si="170"/>
        <v>0.21873120865904991</v>
      </c>
      <c r="EK34" s="356">
        <f t="shared" si="170"/>
        <v>0.2173256866888017</v>
      </c>
      <c r="EL34" s="356">
        <f t="shared" si="170"/>
        <v>0.21642922097605335</v>
      </c>
      <c r="EM34" s="356">
        <f t="shared" si="170"/>
        <v>0.21538227694178447</v>
      </c>
      <c r="EN34" s="356">
        <f t="shared" si="170"/>
        <v>0.21527460824585426</v>
      </c>
      <c r="EO34" s="356">
        <f t="shared" si="170"/>
        <v>0.21220484513952775</v>
      </c>
      <c r="EP34" s="356">
        <f t="shared" si="170"/>
        <v>0.21111622908030095</v>
      </c>
      <c r="EQ34" s="356">
        <f t="shared" si="170"/>
        <v>0.21068890948409022</v>
      </c>
      <c r="ER34" s="356">
        <f t="shared" si="170"/>
        <v>0.20835266821345708</v>
      </c>
      <c r="ES34" s="356">
        <f t="shared" si="170"/>
        <v>0.20692869349075657</v>
      </c>
      <c r="ET34" s="356">
        <f t="shared" si="170"/>
        <v>0.20576323987538941</v>
      </c>
      <c r="EU34" s="356">
        <f t="shared" si="170"/>
        <v>0.20538088534334428</v>
      </c>
      <c r="EV34" s="356">
        <f t="shared" si="170"/>
        <v>0.20476638444653497</v>
      </c>
      <c r="EW34" s="356">
        <f t="shared" si="170"/>
        <v>0.20273455917020272</v>
      </c>
      <c r="EX34" s="356">
        <f t="shared" si="170"/>
        <v>0.20119930566514124</v>
      </c>
      <c r="EY34" s="356">
        <f t="shared" si="170"/>
        <v>0.19968304278922344</v>
      </c>
      <c r="EZ34" s="356">
        <f t="shared" si="170"/>
        <v>0.19853526508517752</v>
      </c>
      <c r="FA34" s="356">
        <f t="shared" si="170"/>
        <v>0.19690194825934207</v>
      </c>
      <c r="FB34" s="356">
        <f t="shared" si="170"/>
        <v>0.19596541786743515</v>
      </c>
      <c r="FC34" s="356">
        <f t="shared" si="170"/>
        <v>0.19151321056845477</v>
      </c>
      <c r="FD34" s="356">
        <f t="shared" si="170"/>
        <v>0.19329356762856681</v>
      </c>
      <c r="FE34" s="356">
        <f t="shared" si="170"/>
        <v>0.19269907930867389</v>
      </c>
      <c r="FF34" s="356">
        <f t="shared" si="170"/>
        <v>0.19134802333117304</v>
      </c>
      <c r="FG34" s="356">
        <f t="shared" si="170"/>
        <v>0.19024390243902439</v>
      </c>
      <c r="FH34" s="356">
        <f t="shared" si="170"/>
        <v>0.19025825433148089</v>
      </c>
      <c r="FI34" s="356">
        <f t="shared" ref="FI34:FK34" si="171">SUM(FI31)/FI33</f>
        <v>0.1888089005235602</v>
      </c>
      <c r="FJ34" s="356">
        <f t="shared" si="171"/>
        <v>0.18859215298384438</v>
      </c>
      <c r="FK34" s="356">
        <f t="shared" si="171"/>
        <v>0.18703489333553827</v>
      </c>
      <c r="FL34" s="356">
        <f t="shared" ref="FL34:FT34" si="172">SUM(FL31)/FL33</f>
        <v>0.18654485049833888</v>
      </c>
      <c r="FM34" s="356">
        <f t="shared" si="172"/>
        <v>0.18530244959173472</v>
      </c>
      <c r="FN34" s="356">
        <f t="shared" si="172"/>
        <v>0.18473895582329317</v>
      </c>
      <c r="FO34" s="356">
        <f t="shared" si="172"/>
        <v>0.18369401107196778</v>
      </c>
      <c r="FP34" s="356">
        <f t="shared" si="172"/>
        <v>0.18269068866812593</v>
      </c>
      <c r="FQ34" s="356">
        <f t="shared" si="172"/>
        <v>0.18227933716604666</v>
      </c>
      <c r="FR34" s="356">
        <f t="shared" si="172"/>
        <v>0.18141742963716515</v>
      </c>
      <c r="FS34" s="356">
        <f t="shared" si="172"/>
        <v>0.18002717391304349</v>
      </c>
      <c r="FT34" s="356">
        <f t="shared" si="172"/>
        <v>0.1799761620977354</v>
      </c>
    </row>
    <row r="35" spans="1:182" ht="13.8" thickBot="1" x14ac:dyDescent="0.3">
      <c r="B35" s="4" t="s">
        <v>11</v>
      </c>
      <c r="C35" s="37">
        <f t="shared" ref="C35:Q35" si="173">SUM(C32/C33)</f>
        <v>1.6360734237829209E-2</v>
      </c>
      <c r="D35" s="15">
        <f t="shared" si="173"/>
        <v>1.6746739876458475E-2</v>
      </c>
      <c r="E35" s="15">
        <f t="shared" si="173"/>
        <v>2.5523012552301255E-2</v>
      </c>
      <c r="F35" s="15">
        <f t="shared" si="173"/>
        <v>2.8047687960857281E-2</v>
      </c>
      <c r="G35" s="15">
        <f t="shared" si="173"/>
        <v>2.8418936715879948E-2</v>
      </c>
      <c r="H35" s="15">
        <f t="shared" si="173"/>
        <v>3.1092312258830513E-2</v>
      </c>
      <c r="I35" s="15">
        <f t="shared" si="173"/>
        <v>3.3354533248533672E-2</v>
      </c>
      <c r="J35" s="15">
        <f t="shared" si="173"/>
        <v>3.5522741519816117E-2</v>
      </c>
      <c r="K35" s="15">
        <f t="shared" si="173"/>
        <v>3.6866037075900665E-2</v>
      </c>
      <c r="L35" s="15">
        <f t="shared" si="173"/>
        <v>3.6953930299417993E-2</v>
      </c>
      <c r="M35" s="15">
        <f t="shared" si="173"/>
        <v>3.7175244666619728E-2</v>
      </c>
      <c r="N35" s="15">
        <f t="shared" si="173"/>
        <v>3.8122132015531239E-2</v>
      </c>
      <c r="O35" s="178">
        <f t="shared" si="173"/>
        <v>3.9250732823335951E-2</v>
      </c>
      <c r="P35" s="15">
        <f t="shared" si="173"/>
        <v>3.9067558817181089E-2</v>
      </c>
      <c r="Q35" s="15">
        <f t="shared" si="173"/>
        <v>3.8595990582863664E-2</v>
      </c>
      <c r="R35" s="15">
        <f>SUM(R32/R33)</f>
        <v>3.6822536822536819E-2</v>
      </c>
      <c r="S35" s="15">
        <f>SUM(S32/S33)</f>
        <v>3.7340815886034967E-2</v>
      </c>
      <c r="T35" s="15">
        <f>SUM(T32/T33)</f>
        <v>3.89497352578516E-2</v>
      </c>
      <c r="U35" s="15">
        <f t="shared" ref="U35:Z35" si="174">SUM(U32/U33)</f>
        <v>3.9739937175834614E-2</v>
      </c>
      <c r="V35" s="15">
        <f t="shared" si="174"/>
        <v>4.0133779264214048E-2</v>
      </c>
      <c r="W35" s="15">
        <f t="shared" si="174"/>
        <v>4.0667518604825981E-2</v>
      </c>
      <c r="X35" s="15">
        <f t="shared" si="174"/>
        <v>4.0117860380779691E-2</v>
      </c>
      <c r="Y35" s="15">
        <f t="shared" si="174"/>
        <v>4.1650832256593447E-2</v>
      </c>
      <c r="Z35" s="24">
        <f t="shared" si="174"/>
        <v>4.3448485770811139E-2</v>
      </c>
      <c r="AA35" s="15">
        <f t="shared" ref="AA35:AF35" si="175">SUM(AA32/AA33)</f>
        <v>4.4732376985963287E-2</v>
      </c>
      <c r="AB35" s="15">
        <f t="shared" si="175"/>
        <v>6.2615526802218116E-2</v>
      </c>
      <c r="AC35" s="15">
        <f t="shared" si="175"/>
        <v>6.6124031007751938E-2</v>
      </c>
      <c r="AD35" s="15">
        <f t="shared" si="175"/>
        <v>6.5764779480763216E-2</v>
      </c>
      <c r="AE35" s="15">
        <f t="shared" si="175"/>
        <v>6.7283364958886774E-2</v>
      </c>
      <c r="AF35" s="15">
        <f t="shared" si="175"/>
        <v>6.771124790151091E-2</v>
      </c>
      <c r="AG35" s="15">
        <f t="shared" ref="AG35:AL35" si="176">SUM(AG32/AG33)</f>
        <v>6.9694596711041501E-2</v>
      </c>
      <c r="AH35" s="15">
        <f t="shared" si="176"/>
        <v>7.0940034992842377E-2</v>
      </c>
      <c r="AI35" s="15">
        <f t="shared" si="176"/>
        <v>7.1668802049967964E-2</v>
      </c>
      <c r="AJ35" s="15">
        <f t="shared" si="176"/>
        <v>7.430213464696224E-2</v>
      </c>
      <c r="AK35" s="15">
        <f t="shared" si="176"/>
        <v>7.5815262373779183E-2</v>
      </c>
      <c r="AL35" s="15">
        <f t="shared" si="176"/>
        <v>7.6621970517198296E-2</v>
      </c>
      <c r="AM35" s="79">
        <f t="shared" ref="AM35:AR35" si="177">SUM(AM32/AM33)</f>
        <v>7.8027360243202157E-2</v>
      </c>
      <c r="AN35" s="15">
        <f t="shared" si="177"/>
        <v>8.4180216802168029E-2</v>
      </c>
      <c r="AO35" s="15">
        <f t="shared" si="177"/>
        <v>8.1727062451811869E-2</v>
      </c>
      <c r="AP35" s="15">
        <f t="shared" si="177"/>
        <v>8.2662511901670566E-2</v>
      </c>
      <c r="AQ35" s="15">
        <f t="shared" si="177"/>
        <v>8.397944071783256E-2</v>
      </c>
      <c r="AR35" s="15">
        <f t="shared" si="177"/>
        <v>8.5919691390496225E-2</v>
      </c>
      <c r="AS35" s="15">
        <f t="shared" ref="AS35:BD35" si="178">SUM(AS32/AS33)</f>
        <v>8.5648557777384532E-2</v>
      </c>
      <c r="AT35" s="15">
        <f t="shared" si="178"/>
        <v>8.954161103693814E-2</v>
      </c>
      <c r="AU35" s="15">
        <f t="shared" si="178"/>
        <v>9.087646900511348E-2</v>
      </c>
      <c r="AV35" s="15">
        <f t="shared" si="178"/>
        <v>9.3258630037954093E-2</v>
      </c>
      <c r="AW35" s="15">
        <f t="shared" si="178"/>
        <v>9.4162644567889989E-2</v>
      </c>
      <c r="AX35" s="15">
        <f t="shared" si="178"/>
        <v>9.5094546451082493E-2</v>
      </c>
      <c r="AY35" s="79">
        <f t="shared" si="178"/>
        <v>9.4743613306377511E-2</v>
      </c>
      <c r="AZ35" s="15">
        <f t="shared" si="178"/>
        <v>9.2782552444321223E-2</v>
      </c>
      <c r="BA35" s="15">
        <f t="shared" si="178"/>
        <v>9.1322505800464041E-2</v>
      </c>
      <c r="BB35" s="15">
        <f t="shared" si="178"/>
        <v>9.2594317652538422E-2</v>
      </c>
      <c r="BC35" s="15">
        <f t="shared" si="178"/>
        <v>9.3867216804201056E-2</v>
      </c>
      <c r="BD35" s="15">
        <f t="shared" si="178"/>
        <v>9.5233618501457173E-2</v>
      </c>
      <c r="BE35" s="15">
        <f t="shared" ref="BE35:BJ35" si="179">SUM(BE32/BE33)</f>
        <v>8.4086104170670764E-2</v>
      </c>
      <c r="BF35" s="15">
        <f t="shared" si="179"/>
        <v>8.6636301967244894E-2</v>
      </c>
      <c r="BG35" s="15">
        <f t="shared" si="179"/>
        <v>8.8301297687579272E-2</v>
      </c>
      <c r="BH35" s="15">
        <f t="shared" si="179"/>
        <v>0.10204672716740684</v>
      </c>
      <c r="BI35" s="15">
        <f t="shared" si="179"/>
        <v>0.1026759744037231</v>
      </c>
      <c r="BJ35" s="24">
        <f t="shared" si="179"/>
        <v>0.10521226187022531</v>
      </c>
      <c r="BK35" s="15">
        <f t="shared" ref="BK35:BP35" si="180">SUM(BK32/BK33)</f>
        <v>0.11097038191738114</v>
      </c>
      <c r="BL35" s="15">
        <f t="shared" si="180"/>
        <v>0.14833431894342597</v>
      </c>
      <c r="BM35" s="15">
        <f t="shared" si="180"/>
        <v>0.14855502771179732</v>
      </c>
      <c r="BN35" s="15">
        <f t="shared" si="180"/>
        <v>0.14971723385256475</v>
      </c>
      <c r="BO35" s="15">
        <f t="shared" si="180"/>
        <v>0.15030339202228191</v>
      </c>
      <c r="BP35" s="15">
        <f t="shared" si="180"/>
        <v>0.15559754369390646</v>
      </c>
      <c r="BQ35" s="15">
        <f t="shared" ref="BQ35:BV35" si="181">SUM(BQ32/BQ33)</f>
        <v>0.15865921787709497</v>
      </c>
      <c r="BR35" s="15">
        <f t="shared" si="181"/>
        <v>0.16688877498718604</v>
      </c>
      <c r="BS35" s="15">
        <f t="shared" si="181"/>
        <v>0.17789059262329052</v>
      </c>
      <c r="BT35" s="15">
        <f t="shared" si="181"/>
        <v>0.18081991215226939</v>
      </c>
      <c r="BU35" s="15">
        <f t="shared" si="181"/>
        <v>0.18459915611814345</v>
      </c>
      <c r="BV35" s="24">
        <f t="shared" si="181"/>
        <v>0.1872412695042989</v>
      </c>
      <c r="BW35" s="79">
        <f t="shared" ref="BW35:CB35" si="182">SUM(BW32/BW33)</f>
        <v>0.19063975955345641</v>
      </c>
      <c r="BX35" s="15">
        <f t="shared" si="182"/>
        <v>0.19454035390591282</v>
      </c>
      <c r="BY35" s="15">
        <f t="shared" si="182"/>
        <v>0.19945770065075921</v>
      </c>
      <c r="BZ35" s="15">
        <f t="shared" si="182"/>
        <v>0.20391000436871998</v>
      </c>
      <c r="CA35" s="15">
        <f t="shared" si="182"/>
        <v>0.2071577560654298</v>
      </c>
      <c r="CB35" s="15">
        <f t="shared" si="182"/>
        <v>0.21054380330047626</v>
      </c>
      <c r="CC35" s="15">
        <f t="shared" ref="CC35:DK35" si="183">SUM(CC32/CC33)</f>
        <v>0.21473214285714284</v>
      </c>
      <c r="CD35" s="15">
        <f t="shared" si="183"/>
        <v>0.22301104349785891</v>
      </c>
      <c r="CE35" s="15">
        <f t="shared" si="183"/>
        <v>0.23130573976675051</v>
      </c>
      <c r="CF35" s="15">
        <f t="shared" si="183"/>
        <v>0.24832833756052572</v>
      </c>
      <c r="CG35" s="15">
        <f t="shared" si="183"/>
        <v>0.26056009334889146</v>
      </c>
      <c r="CH35" s="246">
        <f t="shared" si="183"/>
        <v>0.26629860213790674</v>
      </c>
      <c r="CI35" s="244">
        <f t="shared" si="183"/>
        <v>0.27045075125208679</v>
      </c>
      <c r="CJ35" s="245">
        <f t="shared" si="183"/>
        <v>0.27734608487746565</v>
      </c>
      <c r="CK35" s="245">
        <f t="shared" si="183"/>
        <v>0.28220411142196811</v>
      </c>
      <c r="CL35" s="245">
        <f t="shared" si="183"/>
        <v>0.2893120393120393</v>
      </c>
      <c r="CM35" s="245">
        <f t="shared" si="183"/>
        <v>0.29265578635014838</v>
      </c>
      <c r="CN35" s="245">
        <f t="shared" si="183"/>
        <v>0.2984592445328032</v>
      </c>
      <c r="CO35" s="245">
        <f t="shared" si="183"/>
        <v>0.30393504059962523</v>
      </c>
      <c r="CP35" s="245">
        <f t="shared" si="183"/>
        <v>0.30818478533768517</v>
      </c>
      <c r="CQ35" s="245">
        <f t="shared" si="183"/>
        <v>0.31327277315165281</v>
      </c>
      <c r="CR35" s="245">
        <f t="shared" si="183"/>
        <v>0.31682539682539684</v>
      </c>
      <c r="CS35" s="245">
        <f t="shared" si="183"/>
        <v>0.32</v>
      </c>
      <c r="CT35" s="246">
        <f t="shared" si="183"/>
        <v>0.32384615384615384</v>
      </c>
      <c r="CU35" s="285">
        <f t="shared" si="183"/>
        <v>0.3276261585993821</v>
      </c>
      <c r="CV35" s="245">
        <f t="shared" si="183"/>
        <v>0.32815734989648032</v>
      </c>
      <c r="CW35" s="245">
        <f t="shared" si="183"/>
        <v>0.33160150668918043</v>
      </c>
      <c r="CX35" s="245">
        <f t="shared" si="183"/>
        <v>0.33511959221016863</v>
      </c>
      <c r="CY35" s="245">
        <f t="shared" si="183"/>
        <v>0.33727034120734906</v>
      </c>
      <c r="CZ35" s="245">
        <f t="shared" si="183"/>
        <v>0.33921982076963625</v>
      </c>
      <c r="DA35" s="245">
        <f t="shared" si="183"/>
        <v>0.33781266631186802</v>
      </c>
      <c r="DB35" s="245">
        <f t="shared" si="183"/>
        <v>0.34976805831676605</v>
      </c>
      <c r="DC35" s="245">
        <f t="shared" si="183"/>
        <v>0.35415009281357729</v>
      </c>
      <c r="DD35" s="245">
        <f t="shared" si="183"/>
        <v>0.35878369406453325</v>
      </c>
      <c r="DE35" s="245">
        <f t="shared" si="183"/>
        <v>0.36140397704524224</v>
      </c>
      <c r="DF35" s="246">
        <f t="shared" si="183"/>
        <v>0.3680406852248394</v>
      </c>
      <c r="DG35" s="245">
        <f t="shared" si="183"/>
        <v>0.37382550335570469</v>
      </c>
      <c r="DH35" s="245">
        <f t="shared" si="183"/>
        <v>0.37621359223300971</v>
      </c>
      <c r="DI35" s="245">
        <f t="shared" si="183"/>
        <v>0.37791012452625877</v>
      </c>
      <c r="DJ35" s="245">
        <f t="shared" si="183"/>
        <v>0.3819858925664677</v>
      </c>
      <c r="DK35" s="245">
        <f t="shared" si="183"/>
        <v>0.38498163515168005</v>
      </c>
      <c r="DL35" s="245">
        <f t="shared" ref="DL35:DR35" si="184">SUM(DL32/DL33)</f>
        <v>0.38317629386863306</v>
      </c>
      <c r="DM35" s="245">
        <f t="shared" si="184"/>
        <v>0.37885643767996707</v>
      </c>
      <c r="DN35" s="245">
        <f t="shared" si="184"/>
        <v>0.38210148924434639</v>
      </c>
      <c r="DO35" s="245">
        <f t="shared" si="184"/>
        <v>0.38240970499035015</v>
      </c>
      <c r="DP35" s="245">
        <f t="shared" si="184"/>
        <v>0.38827126181211785</v>
      </c>
      <c r="DQ35" s="245">
        <f t="shared" si="184"/>
        <v>0.39634741391328593</v>
      </c>
      <c r="DR35" s="245">
        <f t="shared" si="184"/>
        <v>0.40615384615384614</v>
      </c>
      <c r="DS35" s="245">
        <f t="shared" ref="DS35:FH35" si="185">SUM(DS32/DS33)</f>
        <v>0.40401186608278006</v>
      </c>
      <c r="DT35" s="245">
        <f t="shared" si="185"/>
        <v>0.41057082452431287</v>
      </c>
      <c r="DU35" s="245">
        <f t="shared" si="185"/>
        <v>0.41210578418894073</v>
      </c>
      <c r="DV35" s="357">
        <f t="shared" si="185"/>
        <v>0.41453719477569562</v>
      </c>
      <c r="DW35" s="357">
        <f t="shared" si="185"/>
        <v>0.44636727688787187</v>
      </c>
      <c r="DX35" s="357">
        <f t="shared" si="185"/>
        <v>0.60637233890555797</v>
      </c>
      <c r="DY35" s="357">
        <f t="shared" si="185"/>
        <v>0.76482412060301508</v>
      </c>
      <c r="DZ35" s="357">
        <f t="shared" si="185"/>
        <v>0.76720183486238536</v>
      </c>
      <c r="EA35" s="357">
        <f t="shared" si="185"/>
        <v>0.76916438947217025</v>
      </c>
      <c r="EB35" s="357">
        <f t="shared" si="185"/>
        <v>0.76973019766267492</v>
      </c>
      <c r="EC35" s="357">
        <f t="shared" si="185"/>
        <v>0.77123426421646646</v>
      </c>
      <c r="ED35" s="357">
        <f t="shared" si="185"/>
        <v>0.77292513058618684</v>
      </c>
      <c r="EE35" s="357">
        <f t="shared" si="185"/>
        <v>0.77398255813953487</v>
      </c>
      <c r="EF35" s="357">
        <f t="shared" si="185"/>
        <v>0.77550423852674655</v>
      </c>
      <c r="EG35" s="357">
        <f t="shared" si="185"/>
        <v>0.77657235009529391</v>
      </c>
      <c r="EH35" s="357">
        <f t="shared" si="185"/>
        <v>0.77712089861070055</v>
      </c>
      <c r="EI35" s="357">
        <f t="shared" si="185"/>
        <v>0.77819156859824223</v>
      </c>
      <c r="EJ35" s="357">
        <f t="shared" si="185"/>
        <v>0.78126879134095006</v>
      </c>
      <c r="EK35" s="357">
        <f t="shared" si="185"/>
        <v>0.7826743133111983</v>
      </c>
      <c r="EL35" s="357">
        <f t="shared" si="185"/>
        <v>0.78357077902394667</v>
      </c>
      <c r="EM35" s="357">
        <f t="shared" si="185"/>
        <v>0.78461772305821553</v>
      </c>
      <c r="EN35" s="357">
        <f t="shared" si="185"/>
        <v>0.7847253917541458</v>
      </c>
      <c r="EO35" s="357">
        <f t="shared" si="185"/>
        <v>0.78779515486047225</v>
      </c>
      <c r="EP35" s="357">
        <f t="shared" si="185"/>
        <v>0.78888377091969908</v>
      </c>
      <c r="EQ35" s="357">
        <f t="shared" si="185"/>
        <v>0.78931109051590975</v>
      </c>
      <c r="ER35" s="357">
        <f t="shared" si="185"/>
        <v>0.7916473317865429</v>
      </c>
      <c r="ES35" s="357">
        <f t="shared" si="185"/>
        <v>0.7930713065092434</v>
      </c>
      <c r="ET35" s="357">
        <f t="shared" si="185"/>
        <v>0.79423676012461064</v>
      </c>
      <c r="EU35" s="357">
        <f t="shared" si="185"/>
        <v>0.79461911465665569</v>
      </c>
      <c r="EV35" s="357">
        <f t="shared" si="185"/>
        <v>0.79523361555346506</v>
      </c>
      <c r="EW35" s="357">
        <f t="shared" si="185"/>
        <v>0.79726544082979722</v>
      </c>
      <c r="EX35" s="357">
        <f t="shared" si="185"/>
        <v>0.79880069433485879</v>
      </c>
      <c r="EY35" s="357">
        <f t="shared" si="185"/>
        <v>0.80031695721077656</v>
      </c>
      <c r="EZ35" s="357">
        <f t="shared" si="185"/>
        <v>0.80146473491482251</v>
      </c>
      <c r="FA35" s="357">
        <f t="shared" si="185"/>
        <v>0.80309805174065796</v>
      </c>
      <c r="FB35" s="357">
        <f t="shared" si="185"/>
        <v>0.80403458213256485</v>
      </c>
      <c r="FC35" s="357">
        <f t="shared" si="185"/>
        <v>0.80848678943154528</v>
      </c>
      <c r="FD35" s="357">
        <f t="shared" si="185"/>
        <v>0.80670643237143314</v>
      </c>
      <c r="FE35" s="357">
        <f t="shared" si="185"/>
        <v>0.80730092069132608</v>
      </c>
      <c r="FF35" s="357">
        <f t="shared" si="185"/>
        <v>0.80865197666882693</v>
      </c>
      <c r="FG35" s="357">
        <f t="shared" si="185"/>
        <v>0.80975609756097566</v>
      </c>
      <c r="FH35" s="357">
        <f t="shared" si="185"/>
        <v>0.80974174566851909</v>
      </c>
      <c r="FI35" s="357">
        <f t="shared" ref="FI35:FK35" si="186">SUM(FI32/FI33)</f>
        <v>0.81119109947643975</v>
      </c>
      <c r="FJ35" s="357">
        <f t="shared" si="186"/>
        <v>0.81140784701615565</v>
      </c>
      <c r="FK35" s="357">
        <f t="shared" si="186"/>
        <v>0.81296510666446176</v>
      </c>
      <c r="FL35" s="357">
        <f t="shared" ref="FL35:FT35" si="187">SUM(FL32/FL33)</f>
        <v>0.81345514950166109</v>
      </c>
      <c r="FM35" s="357">
        <f t="shared" si="187"/>
        <v>0.8146975504082653</v>
      </c>
      <c r="FN35" s="357">
        <f t="shared" si="187"/>
        <v>0.81526104417670686</v>
      </c>
      <c r="FO35" s="357">
        <f t="shared" si="187"/>
        <v>0.81630598892803219</v>
      </c>
      <c r="FP35" s="357">
        <f t="shared" si="187"/>
        <v>0.81730931133187401</v>
      </c>
      <c r="FQ35" s="357">
        <f t="shared" si="187"/>
        <v>0.81772066283395328</v>
      </c>
      <c r="FR35" s="357">
        <f t="shared" si="187"/>
        <v>0.81858257036283488</v>
      </c>
      <c r="FS35" s="357">
        <f t="shared" si="187"/>
        <v>0.81997282608695654</v>
      </c>
      <c r="FT35" s="357">
        <f t="shared" si="187"/>
        <v>0.82002383790226463</v>
      </c>
    </row>
    <row r="36" spans="1:182" x14ac:dyDescent="0.25">
      <c r="A36" s="20"/>
      <c r="C36" s="38"/>
      <c r="O36" s="81"/>
      <c r="Z36" s="20"/>
      <c r="AM36" s="74"/>
      <c r="AY36" s="74"/>
      <c r="BJ36" s="20"/>
      <c r="BV36" s="20"/>
      <c r="BW36" s="74"/>
      <c r="BX36" s="18"/>
      <c r="BY36" s="18"/>
      <c r="BZ36" s="18"/>
      <c r="CA36" s="18"/>
      <c r="CB36" s="18"/>
      <c r="CD36" s="18"/>
      <c r="CE36" s="18"/>
      <c r="CF36" s="18"/>
      <c r="CG36" s="18"/>
      <c r="CH36" s="224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18"/>
      <c r="CV36" s="18"/>
      <c r="CW36" s="18"/>
      <c r="CX36" s="18"/>
      <c r="DF36" s="20"/>
      <c r="DM36" s="69"/>
      <c r="DN36" s="275"/>
      <c r="DO36" s="275"/>
      <c r="DV36" s="302"/>
      <c r="DW36" s="302"/>
      <c r="DX36" s="302"/>
      <c r="EE36" s="302"/>
      <c r="EF36" s="302"/>
      <c r="EG36" s="302"/>
    </row>
    <row r="37" spans="1:182" x14ac:dyDescent="0.25">
      <c r="A37" s="20"/>
      <c r="B37" s="278" t="s">
        <v>57</v>
      </c>
      <c r="C37" s="42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18"/>
      <c r="O37" s="81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20"/>
      <c r="AM37" s="74"/>
      <c r="AY37" s="74"/>
      <c r="BJ37" s="20"/>
      <c r="BV37" s="20"/>
      <c r="BW37" s="74"/>
      <c r="BX37" s="18"/>
      <c r="BY37" s="18"/>
      <c r="BZ37" s="18"/>
      <c r="CA37" s="18"/>
      <c r="CB37" s="18"/>
      <c r="CD37" s="18"/>
      <c r="CE37" s="18"/>
      <c r="CF37" s="18"/>
      <c r="CG37" s="18"/>
      <c r="CH37" s="89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18"/>
      <c r="CV37" s="18"/>
      <c r="CW37" s="18"/>
      <c r="CX37" s="18"/>
      <c r="DF37" s="20"/>
      <c r="DM37" s="69"/>
      <c r="DN37" s="275"/>
      <c r="DO37" s="275"/>
      <c r="DV37" s="302"/>
      <c r="DW37" s="302"/>
      <c r="DX37" s="302"/>
      <c r="EE37" s="302"/>
      <c r="EF37" s="302"/>
      <c r="EG37" s="302"/>
    </row>
    <row r="38" spans="1:182" x14ac:dyDescent="0.25">
      <c r="B38" s="3" t="s">
        <v>1</v>
      </c>
      <c r="C38" s="39">
        <f>SUM(C8,C16,C24,C31)</f>
        <v>204697</v>
      </c>
      <c r="D38" s="16">
        <f t="shared" ref="D38:N39" si="188">SUM(D8,D16,D24,D31)</f>
        <v>203851</v>
      </c>
      <c r="E38" s="16">
        <f t="shared" si="188"/>
        <v>201519</v>
      </c>
      <c r="F38" s="16">
        <f t="shared" si="188"/>
        <v>203731</v>
      </c>
      <c r="G38" s="16">
        <f t="shared" si="188"/>
        <v>203469</v>
      </c>
      <c r="H38" s="16">
        <f t="shared" si="188"/>
        <v>202405</v>
      </c>
      <c r="I38" s="16">
        <f t="shared" si="188"/>
        <v>202805</v>
      </c>
      <c r="J38" s="16">
        <f t="shared" si="188"/>
        <v>209672</v>
      </c>
      <c r="K38" s="102">
        <f t="shared" si="188"/>
        <v>210904</v>
      </c>
      <c r="L38" s="16">
        <f t="shared" si="188"/>
        <v>211007</v>
      </c>
      <c r="M38" s="16">
        <f t="shared" si="188"/>
        <v>210069</v>
      </c>
      <c r="N38" s="16">
        <f t="shared" si="188"/>
        <v>208747</v>
      </c>
      <c r="O38" s="121">
        <f t="shared" ref="O38:Q39" si="189">O31+O24+O16+O8</f>
        <v>199527</v>
      </c>
      <c r="P38" s="16">
        <f t="shared" si="189"/>
        <v>199180</v>
      </c>
      <c r="Q38" s="16">
        <f t="shared" si="189"/>
        <v>199608</v>
      </c>
      <c r="R38" s="16">
        <f t="shared" ref="R38:T39" si="190">R31+R24+R16+R8</f>
        <v>199879</v>
      </c>
      <c r="S38" s="16">
        <f t="shared" si="190"/>
        <v>200375</v>
      </c>
      <c r="T38" s="16">
        <f t="shared" si="190"/>
        <v>199171</v>
      </c>
      <c r="U38" s="16">
        <f t="shared" ref="U38:Z38" si="191">U31+U24+U16+U8</f>
        <v>196430</v>
      </c>
      <c r="V38" s="16">
        <f t="shared" si="191"/>
        <v>194502</v>
      </c>
      <c r="W38" s="16">
        <f t="shared" si="191"/>
        <v>192534</v>
      </c>
      <c r="X38" s="16">
        <f t="shared" si="191"/>
        <v>191320</v>
      </c>
      <c r="Y38" s="16">
        <f t="shared" si="191"/>
        <v>188799</v>
      </c>
      <c r="Z38" s="21">
        <f t="shared" si="191"/>
        <v>188533</v>
      </c>
      <c r="AA38" s="16">
        <f t="shared" ref="AA38:AC39" si="192">AA31+AA24+AA16+AA8</f>
        <v>186394</v>
      </c>
      <c r="AB38" s="16">
        <f t="shared" si="192"/>
        <v>185414</v>
      </c>
      <c r="AC38" s="16">
        <f t="shared" si="192"/>
        <v>185026</v>
      </c>
      <c r="AD38" s="16">
        <f t="shared" ref="AD38:AF39" si="193">AD31+AD24+AD16+AD8</f>
        <v>183999</v>
      </c>
      <c r="AE38" s="16">
        <f t="shared" si="193"/>
        <v>182076</v>
      </c>
      <c r="AF38" s="16">
        <f t="shared" si="193"/>
        <v>181405</v>
      </c>
      <c r="AG38" s="16">
        <f t="shared" ref="AG38:AI39" si="194">AG31+AG24+AG16+AG8</f>
        <v>178922</v>
      </c>
      <c r="AH38" s="16">
        <f t="shared" si="194"/>
        <v>176893</v>
      </c>
      <c r="AI38" s="16">
        <f t="shared" si="194"/>
        <v>175234</v>
      </c>
      <c r="AJ38" s="16">
        <f t="shared" ref="AJ38:AL39" si="195">AJ31+AJ24+AJ16+AJ8</f>
        <v>173934</v>
      </c>
      <c r="AK38" s="16">
        <f t="shared" si="195"/>
        <v>173188</v>
      </c>
      <c r="AL38" s="16">
        <f t="shared" si="195"/>
        <v>171924</v>
      </c>
      <c r="AM38" s="75">
        <f t="shared" ref="AM38:AO39" si="196">AM31+AM24+AM16+AM8</f>
        <v>170899</v>
      </c>
      <c r="AN38" s="16">
        <f t="shared" si="196"/>
        <v>169593</v>
      </c>
      <c r="AO38" s="16">
        <f t="shared" si="196"/>
        <v>168973</v>
      </c>
      <c r="AP38" s="16">
        <f t="shared" ref="AP38:AR39" si="197">AP31+AP24+AP16+AP8</f>
        <v>168622</v>
      </c>
      <c r="AQ38" s="16">
        <f t="shared" si="197"/>
        <v>167772</v>
      </c>
      <c r="AR38" s="16">
        <f t="shared" si="197"/>
        <v>166918</v>
      </c>
      <c r="AS38" s="16">
        <f t="shared" ref="AS38:AU39" si="198">AS31+AS24+AS16+AS8</f>
        <v>165363</v>
      </c>
      <c r="AT38" s="16">
        <f t="shared" si="198"/>
        <v>164090</v>
      </c>
      <c r="AU38" s="16">
        <f t="shared" si="198"/>
        <v>162349</v>
      </c>
      <c r="AV38" s="16">
        <f t="shared" ref="AV38:BG39" si="199">AV31+AV24+AV16+AV8</f>
        <v>161194</v>
      </c>
      <c r="AW38" s="16">
        <f t="shared" si="199"/>
        <v>160214</v>
      </c>
      <c r="AX38" s="16">
        <f t="shared" si="199"/>
        <v>160049</v>
      </c>
      <c r="AY38" s="75">
        <f t="shared" si="199"/>
        <v>157738</v>
      </c>
      <c r="AZ38" s="16">
        <f t="shared" si="199"/>
        <v>156933</v>
      </c>
      <c r="BA38" s="16">
        <f t="shared" si="199"/>
        <v>156532</v>
      </c>
      <c r="BB38" s="16">
        <f t="shared" si="199"/>
        <v>155818</v>
      </c>
      <c r="BC38" s="16">
        <f t="shared" si="199"/>
        <v>154672</v>
      </c>
      <c r="BD38" s="16">
        <f t="shared" si="199"/>
        <v>153809</v>
      </c>
      <c r="BE38" s="16">
        <f t="shared" si="199"/>
        <v>151944</v>
      </c>
      <c r="BF38" s="16">
        <f t="shared" si="199"/>
        <v>150850</v>
      </c>
      <c r="BG38" s="16">
        <f t="shared" si="199"/>
        <v>150014</v>
      </c>
      <c r="BH38" s="16">
        <f t="shared" ref="BH38:BJ39" si="200">BH31+BH24+BH16+BH8</f>
        <v>148958</v>
      </c>
      <c r="BI38" s="16">
        <f t="shared" si="200"/>
        <v>148098</v>
      </c>
      <c r="BJ38" s="21">
        <f t="shared" si="200"/>
        <v>148068</v>
      </c>
      <c r="BK38" s="16">
        <f t="shared" ref="BK38:BM39" si="201">BK31+BK24+BK16+BK8</f>
        <v>145981</v>
      </c>
      <c r="BL38" s="16">
        <f t="shared" si="201"/>
        <v>144305</v>
      </c>
      <c r="BM38" s="16">
        <f t="shared" si="201"/>
        <v>143535</v>
      </c>
      <c r="BN38" s="16">
        <f t="shared" ref="BN38:BP39" si="202">BN31+BN24+BN16+BN8</f>
        <v>141910</v>
      </c>
      <c r="BO38" s="16">
        <f t="shared" si="202"/>
        <v>140720</v>
      </c>
      <c r="BP38" s="16">
        <f t="shared" si="202"/>
        <v>140413</v>
      </c>
      <c r="BQ38" s="16">
        <f t="shared" ref="BQ38:BS39" si="203">BQ31+BQ24+BQ16+BQ8</f>
        <v>137275</v>
      </c>
      <c r="BR38" s="16">
        <f t="shared" si="203"/>
        <v>135655</v>
      </c>
      <c r="BS38" s="16">
        <f t="shared" si="203"/>
        <v>134001</v>
      </c>
      <c r="BT38" s="16">
        <f t="shared" ref="BT38:BV39" si="204">BT31+BT24+BT16+BT8</f>
        <v>132534</v>
      </c>
      <c r="BU38" s="16">
        <f t="shared" si="204"/>
        <v>130722</v>
      </c>
      <c r="BV38" s="21">
        <f t="shared" si="204"/>
        <v>128783</v>
      </c>
      <c r="BW38" s="75">
        <f t="shared" ref="BW38:BY39" si="205">BW31+BW24+BW16+BW8</f>
        <v>126325</v>
      </c>
      <c r="BX38" s="16">
        <f t="shared" si="205"/>
        <v>124551</v>
      </c>
      <c r="BY38" s="16">
        <f t="shared" si="205"/>
        <v>122527</v>
      </c>
      <c r="BZ38" s="16">
        <f t="shared" ref="BZ38:CH38" si="206">BZ31+BZ24+BZ16+BZ8</f>
        <v>120374</v>
      </c>
      <c r="CA38" s="16">
        <f t="shared" si="206"/>
        <v>118335</v>
      </c>
      <c r="CB38" s="16">
        <f t="shared" si="206"/>
        <v>116614</v>
      </c>
      <c r="CC38" s="16">
        <f t="shared" si="206"/>
        <v>114502</v>
      </c>
      <c r="CD38" s="16">
        <f t="shared" si="206"/>
        <v>110375</v>
      </c>
      <c r="CE38" s="16">
        <f t="shared" si="206"/>
        <v>104279</v>
      </c>
      <c r="CF38" s="16">
        <f t="shared" si="206"/>
        <v>97907</v>
      </c>
      <c r="CG38" s="16">
        <f t="shared" si="206"/>
        <v>93599</v>
      </c>
      <c r="CH38" s="89">
        <f t="shared" si="206"/>
        <v>91679</v>
      </c>
      <c r="CI38" s="201">
        <f t="shared" ref="CI38:CK39" si="207">SUM(CI8,CI16,CI24,CI31)</f>
        <v>90456</v>
      </c>
      <c r="CJ38" s="69">
        <f t="shared" si="207"/>
        <v>89631</v>
      </c>
      <c r="CK38" s="69">
        <f t="shared" si="207"/>
        <v>88922</v>
      </c>
      <c r="CL38" s="69">
        <f t="shared" ref="CL38:DK38" si="208">SUM(CL8,CL16,CL24,CL31)</f>
        <v>88082</v>
      </c>
      <c r="CM38" s="69">
        <f t="shared" si="208"/>
        <v>87341</v>
      </c>
      <c r="CN38" s="69">
        <f t="shared" si="208"/>
        <v>86453</v>
      </c>
      <c r="CO38" s="69">
        <f t="shared" si="208"/>
        <v>85703</v>
      </c>
      <c r="CP38" s="69">
        <f t="shared" si="208"/>
        <v>84776</v>
      </c>
      <c r="CQ38" s="69">
        <f t="shared" si="208"/>
        <v>83589</v>
      </c>
      <c r="CR38" s="69">
        <f t="shared" si="208"/>
        <v>82350</v>
      </c>
      <c r="CS38" s="69">
        <f t="shared" si="208"/>
        <v>81282</v>
      </c>
      <c r="CT38" s="89">
        <f t="shared" si="208"/>
        <v>80467</v>
      </c>
      <c r="CU38" s="69">
        <f t="shared" si="208"/>
        <v>79818</v>
      </c>
      <c r="CV38" s="69">
        <f t="shared" si="208"/>
        <v>79172</v>
      </c>
      <c r="CW38" s="69">
        <f t="shared" si="208"/>
        <v>78350</v>
      </c>
      <c r="CX38" s="69">
        <f t="shared" si="208"/>
        <v>77532</v>
      </c>
      <c r="CY38" s="69">
        <f t="shared" si="208"/>
        <v>76651</v>
      </c>
      <c r="CZ38" s="69">
        <f t="shared" si="208"/>
        <v>75770</v>
      </c>
      <c r="DA38" s="69">
        <f t="shared" si="208"/>
        <v>74820</v>
      </c>
      <c r="DB38" s="69">
        <f t="shared" si="208"/>
        <v>73735</v>
      </c>
      <c r="DC38" s="69">
        <f t="shared" si="208"/>
        <v>72813</v>
      </c>
      <c r="DD38" s="69">
        <f t="shared" si="208"/>
        <v>71835</v>
      </c>
      <c r="DE38" s="69">
        <f t="shared" si="208"/>
        <v>70944</v>
      </c>
      <c r="DF38" s="89">
        <f t="shared" si="208"/>
        <v>70185</v>
      </c>
      <c r="DG38" s="69">
        <f t="shared" si="208"/>
        <v>69563</v>
      </c>
      <c r="DH38" s="69">
        <f t="shared" si="208"/>
        <v>69025</v>
      </c>
      <c r="DI38" s="69">
        <f t="shared" si="208"/>
        <v>68496</v>
      </c>
      <c r="DJ38" s="69">
        <f t="shared" si="208"/>
        <v>67789</v>
      </c>
      <c r="DK38" s="69">
        <f t="shared" si="208"/>
        <v>67273</v>
      </c>
      <c r="DL38" s="69">
        <f t="shared" ref="DL38:DR38" si="209">SUM(DL8,DL16,DL24,DL31)</f>
        <v>66786</v>
      </c>
      <c r="DM38" s="69">
        <f t="shared" si="209"/>
        <v>66439</v>
      </c>
      <c r="DN38" s="69">
        <f t="shared" si="209"/>
        <v>66293</v>
      </c>
      <c r="DO38" s="69">
        <f t="shared" si="209"/>
        <v>66309</v>
      </c>
      <c r="DP38" s="69">
        <f t="shared" si="209"/>
        <v>64811</v>
      </c>
      <c r="DQ38" s="69">
        <f t="shared" si="209"/>
        <v>64020</v>
      </c>
      <c r="DR38" s="69">
        <f t="shared" si="209"/>
        <v>63540</v>
      </c>
      <c r="DS38" s="69">
        <f t="shared" ref="DS38:EA38" si="210">SUM(DS8,DS16,DS24,DS31)</f>
        <v>63211</v>
      </c>
      <c r="DT38" s="69">
        <f t="shared" si="210"/>
        <v>62593</v>
      </c>
      <c r="DU38" s="69">
        <f t="shared" si="210"/>
        <v>62174</v>
      </c>
      <c r="DV38" s="359">
        <f t="shared" si="210"/>
        <v>61751</v>
      </c>
      <c r="DW38" s="359">
        <f t="shared" si="210"/>
        <v>60020</v>
      </c>
      <c r="DX38" s="359">
        <f t="shared" si="210"/>
        <v>53134</v>
      </c>
      <c r="DY38" s="359">
        <f t="shared" si="210"/>
        <v>50525</v>
      </c>
      <c r="DZ38" s="359">
        <f t="shared" si="210"/>
        <v>50087</v>
      </c>
      <c r="EA38" s="359">
        <f t="shared" si="210"/>
        <v>49636</v>
      </c>
      <c r="EB38" s="297">
        <v>49179</v>
      </c>
      <c r="EC38" s="297">
        <v>48782</v>
      </c>
      <c r="ED38" s="297">
        <v>48448</v>
      </c>
      <c r="EE38" s="69">
        <f t="shared" ref="EE38:ET39" si="211">SUM(EE8,EE16,EE24,EE31)</f>
        <v>48315</v>
      </c>
      <c r="EF38" s="69">
        <f t="shared" si="211"/>
        <v>47741</v>
      </c>
      <c r="EG38" s="69">
        <f t="shared" si="211"/>
        <v>47419</v>
      </c>
      <c r="EH38" s="69">
        <f t="shared" si="211"/>
        <v>47116</v>
      </c>
      <c r="EI38" s="69">
        <f t="shared" si="211"/>
        <v>46850</v>
      </c>
      <c r="EJ38" s="69">
        <f t="shared" si="211"/>
        <v>46358</v>
      </c>
      <c r="EK38" s="69">
        <f t="shared" si="211"/>
        <v>46206</v>
      </c>
      <c r="EL38" s="69">
        <f t="shared" si="211"/>
        <v>45831</v>
      </c>
      <c r="EM38" s="69">
        <f t="shared" si="211"/>
        <v>45486</v>
      </c>
      <c r="EN38" s="69">
        <f t="shared" si="211"/>
        <v>45448</v>
      </c>
      <c r="EO38" s="69">
        <f t="shared" si="211"/>
        <v>44799</v>
      </c>
      <c r="EP38" s="69">
        <f t="shared" si="211"/>
        <v>44828</v>
      </c>
      <c r="EQ38" s="69">
        <f t="shared" si="211"/>
        <v>44452</v>
      </c>
      <c r="ER38" s="69">
        <f t="shared" si="211"/>
        <v>44166</v>
      </c>
      <c r="ES38" s="69">
        <f t="shared" si="211"/>
        <v>43937</v>
      </c>
      <c r="ET38" s="69">
        <f t="shared" si="211"/>
        <v>43696</v>
      </c>
      <c r="EU38" s="69">
        <f t="shared" ref="EU38:FH39" si="212">SUM(EU8,EU16,EU24,EU31)</f>
        <v>43424</v>
      </c>
      <c r="EV38" s="69">
        <f t="shared" si="212"/>
        <v>43078</v>
      </c>
      <c r="EW38" s="69">
        <f t="shared" si="212"/>
        <v>42726</v>
      </c>
      <c r="EX38" s="69">
        <f t="shared" si="212"/>
        <v>42319</v>
      </c>
      <c r="EY38" s="69">
        <f t="shared" si="212"/>
        <v>41896</v>
      </c>
      <c r="EZ38" s="69">
        <f t="shared" si="212"/>
        <v>41638</v>
      </c>
      <c r="FA38" s="69">
        <f t="shared" si="212"/>
        <v>41320</v>
      </c>
      <c r="FB38" s="69">
        <f t="shared" si="212"/>
        <v>41079</v>
      </c>
      <c r="FC38" s="69">
        <f t="shared" si="212"/>
        <v>40616</v>
      </c>
      <c r="FD38" s="69">
        <f t="shared" si="212"/>
        <v>40544</v>
      </c>
      <c r="FE38" s="69">
        <f t="shared" si="212"/>
        <v>40235</v>
      </c>
      <c r="FF38" s="69">
        <f t="shared" si="212"/>
        <v>39956</v>
      </c>
      <c r="FG38" s="69">
        <f t="shared" si="212"/>
        <v>39784</v>
      </c>
      <c r="FH38" s="69">
        <f t="shared" si="212"/>
        <v>39664</v>
      </c>
      <c r="FI38" s="69">
        <f t="shared" ref="FI38:FT38" si="213">SUM(FI8,FI16,FI24,FI31)</f>
        <v>39444</v>
      </c>
      <c r="FJ38" s="69">
        <f t="shared" si="213"/>
        <v>39125</v>
      </c>
      <c r="FK38" s="69">
        <f t="shared" si="213"/>
        <v>38766</v>
      </c>
      <c r="FL38" s="69">
        <f t="shared" si="213"/>
        <v>38375</v>
      </c>
      <c r="FM38" s="69">
        <f t="shared" si="213"/>
        <v>38082</v>
      </c>
      <c r="FN38" s="69">
        <f t="shared" si="213"/>
        <v>37786</v>
      </c>
      <c r="FO38" s="69">
        <f t="shared" si="213"/>
        <v>37576</v>
      </c>
      <c r="FP38" s="69">
        <f t="shared" si="213"/>
        <v>37380</v>
      </c>
      <c r="FQ38" s="69">
        <f t="shared" si="213"/>
        <v>37194</v>
      </c>
      <c r="FR38" s="69">
        <f t="shared" si="213"/>
        <v>37030</v>
      </c>
      <c r="FS38" s="69">
        <f t="shared" si="213"/>
        <v>36802</v>
      </c>
      <c r="FT38" s="69">
        <f t="shared" si="213"/>
        <v>36565</v>
      </c>
    </row>
    <row r="39" spans="1:182" ht="13.8" thickBot="1" x14ac:dyDescent="0.3">
      <c r="B39" s="5" t="s">
        <v>8</v>
      </c>
      <c r="C39" s="40">
        <f>SUM(C9,C17,C25,C32)</f>
        <v>2691</v>
      </c>
      <c r="D39" s="17">
        <f t="shared" si="188"/>
        <v>4032</v>
      </c>
      <c r="E39" s="17">
        <f t="shared" si="188"/>
        <v>4824</v>
      </c>
      <c r="F39" s="17">
        <f t="shared" si="188"/>
        <v>6208</v>
      </c>
      <c r="G39" s="17">
        <f t="shared" si="188"/>
        <v>6820</v>
      </c>
      <c r="H39" s="17">
        <f t="shared" si="188"/>
        <v>6160</v>
      </c>
      <c r="I39" s="17">
        <f t="shared" si="188"/>
        <v>8035</v>
      </c>
      <c r="J39" s="17">
        <f t="shared" si="188"/>
        <v>9417</v>
      </c>
      <c r="K39" s="40">
        <f t="shared" si="188"/>
        <v>10012</v>
      </c>
      <c r="L39" s="17">
        <f t="shared" si="188"/>
        <v>10866</v>
      </c>
      <c r="M39" s="17">
        <f t="shared" si="188"/>
        <v>11454</v>
      </c>
      <c r="N39" s="17">
        <f t="shared" si="188"/>
        <v>12202</v>
      </c>
      <c r="O39" s="175">
        <f t="shared" si="189"/>
        <v>13006</v>
      </c>
      <c r="P39" s="17">
        <f t="shared" si="189"/>
        <v>13322</v>
      </c>
      <c r="Q39" s="17">
        <f t="shared" si="189"/>
        <v>13666</v>
      </c>
      <c r="R39" s="17">
        <f t="shared" si="190"/>
        <v>13922</v>
      </c>
      <c r="S39" s="17">
        <f t="shared" si="190"/>
        <v>14106</v>
      </c>
      <c r="T39" s="17">
        <f t="shared" si="190"/>
        <v>15341</v>
      </c>
      <c r="U39" s="17">
        <f t="shared" ref="U39:Z39" si="214">U32+U25+U17+U9</f>
        <v>18803</v>
      </c>
      <c r="V39" s="17">
        <f t="shared" si="214"/>
        <v>20526</v>
      </c>
      <c r="W39" s="17">
        <f t="shared" si="214"/>
        <v>22314</v>
      </c>
      <c r="X39" s="17">
        <f t="shared" si="214"/>
        <v>24227</v>
      </c>
      <c r="Y39" s="17">
        <f t="shared" si="214"/>
        <v>25874</v>
      </c>
      <c r="Z39" s="22">
        <f t="shared" si="214"/>
        <v>27799</v>
      </c>
      <c r="AA39" s="17">
        <f t="shared" si="192"/>
        <v>29564</v>
      </c>
      <c r="AB39" s="17">
        <f t="shared" si="192"/>
        <v>30760</v>
      </c>
      <c r="AC39" s="17">
        <f t="shared" si="192"/>
        <v>31658</v>
      </c>
      <c r="AD39" s="17">
        <f t="shared" si="193"/>
        <v>32921</v>
      </c>
      <c r="AE39" s="17">
        <f t="shared" si="193"/>
        <v>34415</v>
      </c>
      <c r="AF39" s="17">
        <f t="shared" si="193"/>
        <v>37186</v>
      </c>
      <c r="AG39" s="17">
        <f t="shared" si="194"/>
        <v>37784</v>
      </c>
      <c r="AH39" s="17">
        <f t="shared" si="194"/>
        <v>39131</v>
      </c>
      <c r="AI39" s="17">
        <f t="shared" si="194"/>
        <v>41059</v>
      </c>
      <c r="AJ39" s="17">
        <f t="shared" si="195"/>
        <v>42414</v>
      </c>
      <c r="AK39" s="17">
        <f t="shared" si="195"/>
        <v>43655</v>
      </c>
      <c r="AL39" s="17">
        <f t="shared" si="195"/>
        <v>44797</v>
      </c>
      <c r="AM39" s="76">
        <f t="shared" si="196"/>
        <v>45780</v>
      </c>
      <c r="AN39" s="17">
        <f t="shared" si="196"/>
        <v>47343</v>
      </c>
      <c r="AO39" s="17">
        <f t="shared" si="196"/>
        <v>48048</v>
      </c>
      <c r="AP39" s="17">
        <f t="shared" si="197"/>
        <v>49108</v>
      </c>
      <c r="AQ39" s="17">
        <f t="shared" si="197"/>
        <v>50233</v>
      </c>
      <c r="AR39" s="17">
        <f t="shared" si="197"/>
        <v>51593</v>
      </c>
      <c r="AS39" s="17">
        <f t="shared" si="198"/>
        <v>52902</v>
      </c>
      <c r="AT39" s="17">
        <f t="shared" si="198"/>
        <v>54528</v>
      </c>
      <c r="AU39" s="17">
        <f t="shared" si="198"/>
        <v>55866</v>
      </c>
      <c r="AV39" s="17">
        <f t="shared" si="199"/>
        <v>57424</v>
      </c>
      <c r="AW39" s="17">
        <f t="shared" si="199"/>
        <v>59032</v>
      </c>
      <c r="AX39" s="17">
        <f t="shared" si="199"/>
        <v>60405</v>
      </c>
      <c r="AY39" s="76">
        <f t="shared" si="199"/>
        <v>61516</v>
      </c>
      <c r="AZ39" s="17">
        <f t="shared" si="199"/>
        <v>62473</v>
      </c>
      <c r="BA39" s="17">
        <f t="shared" si="199"/>
        <v>63431</v>
      </c>
      <c r="BB39" s="17">
        <f t="shared" si="199"/>
        <v>64874</v>
      </c>
      <c r="BC39" s="17">
        <f t="shared" si="199"/>
        <v>65988</v>
      </c>
      <c r="BD39" s="17">
        <f t="shared" si="199"/>
        <v>67549</v>
      </c>
      <c r="BE39" s="17">
        <f t="shared" si="199"/>
        <v>69171</v>
      </c>
      <c r="BF39" s="17">
        <f t="shared" si="199"/>
        <v>70555</v>
      </c>
      <c r="BG39" s="17">
        <f t="shared" si="199"/>
        <v>71763</v>
      </c>
      <c r="BH39" s="17">
        <f t="shared" si="200"/>
        <v>73006</v>
      </c>
      <c r="BI39" s="17">
        <f t="shared" si="200"/>
        <v>74486</v>
      </c>
      <c r="BJ39" s="22">
        <f t="shared" si="200"/>
        <v>75917</v>
      </c>
      <c r="BK39" s="17">
        <f t="shared" si="201"/>
        <v>76795</v>
      </c>
      <c r="BL39" s="17">
        <f t="shared" si="201"/>
        <v>78375</v>
      </c>
      <c r="BM39" s="17">
        <f t="shared" si="201"/>
        <v>79887</v>
      </c>
      <c r="BN39" s="17">
        <f t="shared" si="202"/>
        <v>81459</v>
      </c>
      <c r="BO39" s="17">
        <f t="shared" si="202"/>
        <v>83324</v>
      </c>
      <c r="BP39" s="17">
        <f t="shared" si="202"/>
        <v>85391</v>
      </c>
      <c r="BQ39" s="17">
        <f t="shared" si="203"/>
        <v>86702</v>
      </c>
      <c r="BR39" s="17">
        <f t="shared" si="203"/>
        <v>88881</v>
      </c>
      <c r="BS39" s="17">
        <f t="shared" si="203"/>
        <v>90820</v>
      </c>
      <c r="BT39" s="17">
        <f t="shared" si="204"/>
        <v>92592</v>
      </c>
      <c r="BU39" s="17">
        <f t="shared" si="204"/>
        <v>94581</v>
      </c>
      <c r="BV39" s="22">
        <f t="shared" si="204"/>
        <v>96663</v>
      </c>
      <c r="BW39" s="76">
        <f t="shared" si="205"/>
        <v>98672</v>
      </c>
      <c r="BX39" s="17">
        <f t="shared" si="205"/>
        <v>100625</v>
      </c>
      <c r="BY39" s="17">
        <f t="shared" si="205"/>
        <v>102915</v>
      </c>
      <c r="BZ39" s="17">
        <f t="shared" ref="BZ39:CH39" si="215">BZ32+BZ25+BZ17+BZ9</f>
        <v>105275</v>
      </c>
      <c r="CA39" s="17">
        <f t="shared" si="215"/>
        <v>107614</v>
      </c>
      <c r="CB39" s="17">
        <f t="shared" si="215"/>
        <v>109625</v>
      </c>
      <c r="CC39" s="17">
        <f t="shared" si="215"/>
        <v>112003</v>
      </c>
      <c r="CD39" s="17">
        <f t="shared" si="215"/>
        <v>116315</v>
      </c>
      <c r="CE39" s="17">
        <f t="shared" si="215"/>
        <v>122456</v>
      </c>
      <c r="CF39" s="17">
        <f t="shared" si="215"/>
        <v>128590</v>
      </c>
      <c r="CG39" s="17">
        <f t="shared" si="215"/>
        <v>133631</v>
      </c>
      <c r="CH39" s="93">
        <f t="shared" si="215"/>
        <v>135863</v>
      </c>
      <c r="CI39" s="210">
        <f t="shared" si="207"/>
        <v>136841</v>
      </c>
      <c r="CJ39" s="92">
        <f t="shared" si="207"/>
        <v>137949</v>
      </c>
      <c r="CK39" s="92">
        <f t="shared" si="207"/>
        <v>138806</v>
      </c>
      <c r="CL39" s="92">
        <f t="shared" ref="CL39:DK39" si="216">SUM(CL9,CL17,CL25,CL32)</f>
        <v>139571</v>
      </c>
      <c r="CM39" s="92">
        <f t="shared" si="216"/>
        <v>140376</v>
      </c>
      <c r="CN39" s="92">
        <f t="shared" si="216"/>
        <v>141350</v>
      </c>
      <c r="CO39" s="92">
        <f t="shared" si="216"/>
        <v>142261</v>
      </c>
      <c r="CP39" s="92">
        <f t="shared" si="216"/>
        <v>143364</v>
      </c>
      <c r="CQ39" s="92">
        <f t="shared" si="216"/>
        <v>144585</v>
      </c>
      <c r="CR39" s="92">
        <f t="shared" si="216"/>
        <v>145502</v>
      </c>
      <c r="CS39" s="92">
        <f t="shared" si="216"/>
        <v>146477</v>
      </c>
      <c r="CT39" s="93">
        <f t="shared" si="216"/>
        <v>147234</v>
      </c>
      <c r="CU39" s="91">
        <f t="shared" si="216"/>
        <v>147985</v>
      </c>
      <c r="CV39" s="92">
        <f t="shared" si="216"/>
        <v>148701</v>
      </c>
      <c r="CW39" s="92">
        <f t="shared" si="216"/>
        <v>149884</v>
      </c>
      <c r="CX39" s="92">
        <f t="shared" si="216"/>
        <v>150788</v>
      </c>
      <c r="CY39" s="92">
        <f t="shared" si="216"/>
        <v>152051</v>
      </c>
      <c r="CZ39" s="92">
        <f t="shared" si="216"/>
        <v>153088</v>
      </c>
      <c r="DA39" s="92">
        <f t="shared" si="216"/>
        <v>154128</v>
      </c>
      <c r="DB39" s="92">
        <f t="shared" si="216"/>
        <v>155411</v>
      </c>
      <c r="DC39" s="92">
        <f t="shared" si="216"/>
        <v>156432</v>
      </c>
      <c r="DD39" s="92">
        <f t="shared" si="216"/>
        <v>157379</v>
      </c>
      <c r="DE39" s="92">
        <f t="shared" si="216"/>
        <v>158469</v>
      </c>
      <c r="DF39" s="93">
        <f t="shared" si="216"/>
        <v>159373</v>
      </c>
      <c r="DG39" s="92">
        <f t="shared" si="216"/>
        <v>160117</v>
      </c>
      <c r="DH39" s="92">
        <f t="shared" si="216"/>
        <v>160922</v>
      </c>
      <c r="DI39" s="92">
        <f t="shared" si="216"/>
        <v>161923</v>
      </c>
      <c r="DJ39" s="92">
        <f t="shared" si="216"/>
        <v>162850</v>
      </c>
      <c r="DK39" s="92">
        <f t="shared" si="216"/>
        <v>163636</v>
      </c>
      <c r="DL39" s="92">
        <f t="shared" ref="DL39:DR39" si="217">SUM(DL9,DL17,DL25,DL32)</f>
        <v>164279</v>
      </c>
      <c r="DM39" s="92">
        <f t="shared" si="217"/>
        <v>164831</v>
      </c>
      <c r="DN39" s="92">
        <f t="shared" si="217"/>
        <v>165253</v>
      </c>
      <c r="DO39" s="92">
        <f t="shared" si="217"/>
        <v>165305</v>
      </c>
      <c r="DP39" s="92">
        <f t="shared" si="217"/>
        <v>166552</v>
      </c>
      <c r="DQ39" s="92">
        <f t="shared" si="217"/>
        <v>167352</v>
      </c>
      <c r="DR39" s="92">
        <f t="shared" si="217"/>
        <v>168012</v>
      </c>
      <c r="DS39" s="92">
        <f>SUM(DS9,DS17,DS25,DS32)</f>
        <v>168129</v>
      </c>
      <c r="DT39" s="92">
        <f>SUM(DT9,DT17,DT25,DT32)</f>
        <v>168753</v>
      </c>
      <c r="DU39" s="92">
        <f>SUM(DU9,DU17,DU25,DU32)</f>
        <v>169995</v>
      </c>
      <c r="DV39" s="352">
        <v>170770</v>
      </c>
      <c r="DW39" s="352">
        <v>172571</v>
      </c>
      <c r="DX39" s="352">
        <v>179688</v>
      </c>
      <c r="DY39" s="352">
        <v>182429</v>
      </c>
      <c r="DZ39" s="352">
        <v>183135</v>
      </c>
      <c r="EA39" s="352">
        <v>183695</v>
      </c>
      <c r="EB39" s="352">
        <v>184261</v>
      </c>
      <c r="EC39" s="352">
        <v>184728</v>
      </c>
      <c r="ED39" s="352">
        <v>185147</v>
      </c>
      <c r="EE39" s="92">
        <f t="shared" si="211"/>
        <v>186620</v>
      </c>
      <c r="EF39" s="92">
        <f t="shared" si="211"/>
        <v>186745</v>
      </c>
      <c r="EG39" s="92">
        <f t="shared" si="211"/>
        <v>187223</v>
      </c>
      <c r="EH39" s="92">
        <f t="shared" si="211"/>
        <v>188001</v>
      </c>
      <c r="EI39" s="92">
        <f t="shared" si="211"/>
        <v>188626</v>
      </c>
      <c r="EJ39" s="92">
        <f t="shared" si="211"/>
        <v>188815</v>
      </c>
      <c r="EK39" s="92">
        <f t="shared" si="211"/>
        <v>189733</v>
      </c>
      <c r="EL39" s="92">
        <f t="shared" si="211"/>
        <v>189921</v>
      </c>
      <c r="EM39" s="92">
        <f t="shared" si="211"/>
        <v>190544</v>
      </c>
      <c r="EN39" s="92">
        <f t="shared" si="211"/>
        <v>191676</v>
      </c>
      <c r="EO39" s="92">
        <f t="shared" si="211"/>
        <v>191167</v>
      </c>
      <c r="EP39" s="92">
        <f t="shared" si="211"/>
        <v>192051</v>
      </c>
      <c r="EQ39" s="92">
        <f t="shared" si="211"/>
        <v>191882</v>
      </c>
      <c r="ER39" s="92">
        <f t="shared" si="211"/>
        <v>192547</v>
      </c>
      <c r="ES39" s="92">
        <f t="shared" si="211"/>
        <v>193247</v>
      </c>
      <c r="ET39" s="92">
        <f t="shared" si="211"/>
        <v>193727</v>
      </c>
      <c r="EU39" s="92">
        <f t="shared" si="212"/>
        <v>194021</v>
      </c>
      <c r="EV39" s="92">
        <f t="shared" si="212"/>
        <v>195225</v>
      </c>
      <c r="EW39" s="92">
        <f t="shared" si="212"/>
        <v>195984</v>
      </c>
      <c r="EX39" s="92">
        <f t="shared" si="212"/>
        <v>196906</v>
      </c>
      <c r="EY39" s="92">
        <f t="shared" si="212"/>
        <v>197416</v>
      </c>
      <c r="EZ39" s="92">
        <f t="shared" si="212"/>
        <v>197651</v>
      </c>
      <c r="FA39" s="92">
        <f t="shared" si="212"/>
        <v>198261</v>
      </c>
      <c r="FB39" s="92">
        <f t="shared" si="212"/>
        <v>198748</v>
      </c>
      <c r="FC39" s="92">
        <f t="shared" si="212"/>
        <v>199368</v>
      </c>
      <c r="FD39" s="92">
        <f t="shared" si="212"/>
        <v>199732</v>
      </c>
      <c r="FE39" s="92">
        <f t="shared" si="212"/>
        <v>200449</v>
      </c>
      <c r="FF39" s="92">
        <f t="shared" si="212"/>
        <v>201055</v>
      </c>
      <c r="FG39" s="92">
        <f t="shared" si="212"/>
        <v>201589</v>
      </c>
      <c r="FH39" s="92">
        <f t="shared" si="212"/>
        <v>202177</v>
      </c>
      <c r="FI39" s="92">
        <f t="shared" ref="FI39:FT39" si="218">SUM(FI9,FI17,FI25,FI32)</f>
        <v>203407</v>
      </c>
      <c r="FJ39" s="92">
        <f t="shared" si="218"/>
        <v>203944</v>
      </c>
      <c r="FK39" s="92">
        <f t="shared" si="218"/>
        <v>204539</v>
      </c>
      <c r="FL39" s="92">
        <f t="shared" si="218"/>
        <v>205295</v>
      </c>
      <c r="FM39" s="92">
        <f t="shared" si="218"/>
        <v>205797</v>
      </c>
      <c r="FN39" s="92">
        <f t="shared" si="218"/>
        <v>206205</v>
      </c>
      <c r="FO39" s="92">
        <f t="shared" si="218"/>
        <v>206708</v>
      </c>
      <c r="FP39" s="92">
        <f t="shared" si="218"/>
        <v>207177</v>
      </c>
      <c r="FQ39" s="92">
        <f t="shared" si="218"/>
        <v>207722</v>
      </c>
      <c r="FR39" s="92">
        <f t="shared" si="218"/>
        <v>208184</v>
      </c>
      <c r="FS39" s="92">
        <f t="shared" si="218"/>
        <v>208847</v>
      </c>
      <c r="FT39" s="92">
        <f t="shared" si="218"/>
        <v>209373</v>
      </c>
    </row>
    <row r="40" spans="1:182" ht="13.8" thickTop="1" x14ac:dyDescent="0.25">
      <c r="B40" s="3" t="s">
        <v>9</v>
      </c>
      <c r="C40" s="35">
        <f t="shared" ref="C40:Q40" si="219">SUM(C38:C39)</f>
        <v>207388</v>
      </c>
      <c r="D40" s="8">
        <f t="shared" si="219"/>
        <v>207883</v>
      </c>
      <c r="E40" s="8">
        <f t="shared" si="219"/>
        <v>206343</v>
      </c>
      <c r="F40" s="8">
        <f t="shared" si="219"/>
        <v>209939</v>
      </c>
      <c r="G40" s="8">
        <f t="shared" si="219"/>
        <v>210289</v>
      </c>
      <c r="H40" s="8">
        <f t="shared" si="219"/>
        <v>208565</v>
      </c>
      <c r="I40" s="8">
        <f t="shared" si="219"/>
        <v>210840</v>
      </c>
      <c r="J40" s="8">
        <f t="shared" si="219"/>
        <v>219089</v>
      </c>
      <c r="K40" s="35">
        <f t="shared" si="219"/>
        <v>220916</v>
      </c>
      <c r="L40" s="8">
        <f t="shared" si="219"/>
        <v>221873</v>
      </c>
      <c r="M40" s="8">
        <f t="shared" si="219"/>
        <v>221523</v>
      </c>
      <c r="N40" s="10">
        <f t="shared" si="219"/>
        <v>220949</v>
      </c>
      <c r="O40" s="35">
        <f t="shared" si="219"/>
        <v>212533</v>
      </c>
      <c r="P40" s="8">
        <f t="shared" si="219"/>
        <v>212502</v>
      </c>
      <c r="Q40" s="8">
        <f t="shared" si="219"/>
        <v>213274</v>
      </c>
      <c r="R40" s="8">
        <f>SUM(R38:R39)</f>
        <v>213801</v>
      </c>
      <c r="S40" s="8">
        <f>SUM(S38:S39)</f>
        <v>214481</v>
      </c>
      <c r="T40" s="8">
        <f>SUM(T38:T39)</f>
        <v>214512</v>
      </c>
      <c r="U40" s="8">
        <f t="shared" ref="U40:Z40" si="220">SUM(U38:U39)</f>
        <v>215233</v>
      </c>
      <c r="V40" s="8">
        <f t="shared" si="220"/>
        <v>215028</v>
      </c>
      <c r="W40" s="8">
        <f t="shared" si="220"/>
        <v>214848</v>
      </c>
      <c r="X40" s="8">
        <f t="shared" si="220"/>
        <v>215547</v>
      </c>
      <c r="Y40" s="8">
        <f t="shared" si="220"/>
        <v>214673</v>
      </c>
      <c r="Z40" s="9">
        <f t="shared" si="220"/>
        <v>216332</v>
      </c>
      <c r="AA40" s="8">
        <f t="shared" ref="AA40:AF40" si="221">SUM(AA38:AA39)</f>
        <v>215958</v>
      </c>
      <c r="AB40" s="8">
        <f t="shared" si="221"/>
        <v>216174</v>
      </c>
      <c r="AC40" s="8">
        <f t="shared" si="221"/>
        <v>216684</v>
      </c>
      <c r="AD40" s="8">
        <f t="shared" si="221"/>
        <v>216920</v>
      </c>
      <c r="AE40" s="8">
        <f t="shared" si="221"/>
        <v>216491</v>
      </c>
      <c r="AF40" s="8">
        <f t="shared" si="221"/>
        <v>218591</v>
      </c>
      <c r="AG40" s="8">
        <f t="shared" ref="AG40:AL40" si="222">SUM(AG38:AG39)</f>
        <v>216706</v>
      </c>
      <c r="AH40" s="8">
        <f t="shared" si="222"/>
        <v>216024</v>
      </c>
      <c r="AI40" s="8">
        <f t="shared" si="222"/>
        <v>216293</v>
      </c>
      <c r="AJ40" s="8">
        <f t="shared" si="222"/>
        <v>216348</v>
      </c>
      <c r="AK40" s="8">
        <f t="shared" si="222"/>
        <v>216843</v>
      </c>
      <c r="AL40" s="8">
        <f t="shared" si="222"/>
        <v>216721</v>
      </c>
      <c r="AM40" s="77">
        <f t="shared" ref="AM40:AR40" si="223">SUM(AM38:AM39)</f>
        <v>216679</v>
      </c>
      <c r="AN40" s="8">
        <f t="shared" si="223"/>
        <v>216936</v>
      </c>
      <c r="AO40" s="8">
        <f t="shared" si="223"/>
        <v>217021</v>
      </c>
      <c r="AP40" s="8">
        <f t="shared" si="223"/>
        <v>217730</v>
      </c>
      <c r="AQ40" s="8">
        <f t="shared" si="223"/>
        <v>218005</v>
      </c>
      <c r="AR40" s="8">
        <f t="shared" si="223"/>
        <v>218511</v>
      </c>
      <c r="AS40" s="8">
        <f t="shared" ref="AS40:AX40" si="224">SUM(AS38:AS39)</f>
        <v>218265</v>
      </c>
      <c r="AT40" s="8">
        <f t="shared" si="224"/>
        <v>218618</v>
      </c>
      <c r="AU40" s="8">
        <f t="shared" si="224"/>
        <v>218215</v>
      </c>
      <c r="AV40" s="8">
        <f t="shared" si="224"/>
        <v>218618</v>
      </c>
      <c r="AW40" s="8">
        <f t="shared" si="224"/>
        <v>219246</v>
      </c>
      <c r="AX40" s="8">
        <f t="shared" si="224"/>
        <v>220454</v>
      </c>
      <c r="AY40" s="77">
        <f t="shared" ref="AY40:BJ40" si="225">SUM(AY38:AY39)</f>
        <v>219254</v>
      </c>
      <c r="AZ40" s="8">
        <f t="shared" si="225"/>
        <v>219406</v>
      </c>
      <c r="BA40" s="8">
        <f t="shared" si="225"/>
        <v>219963</v>
      </c>
      <c r="BB40" s="8">
        <f t="shared" si="225"/>
        <v>220692</v>
      </c>
      <c r="BC40" s="8">
        <f t="shared" si="225"/>
        <v>220660</v>
      </c>
      <c r="BD40" s="8">
        <f t="shared" si="225"/>
        <v>221358</v>
      </c>
      <c r="BE40" s="8">
        <f t="shared" si="225"/>
        <v>221115</v>
      </c>
      <c r="BF40" s="8">
        <f t="shared" si="225"/>
        <v>221405</v>
      </c>
      <c r="BG40" s="8">
        <f t="shared" si="225"/>
        <v>221777</v>
      </c>
      <c r="BH40" s="8">
        <f t="shared" si="225"/>
        <v>221964</v>
      </c>
      <c r="BI40" s="8">
        <f t="shared" si="225"/>
        <v>222584</v>
      </c>
      <c r="BJ40" s="9">
        <f t="shared" si="225"/>
        <v>223985</v>
      </c>
      <c r="BK40" s="8">
        <f t="shared" ref="BK40:BP40" si="226">SUM(BK38:BK39)</f>
        <v>222776</v>
      </c>
      <c r="BL40" s="8">
        <f t="shared" si="226"/>
        <v>222680</v>
      </c>
      <c r="BM40" s="8">
        <f t="shared" si="226"/>
        <v>223422</v>
      </c>
      <c r="BN40" s="8">
        <f t="shared" si="226"/>
        <v>223369</v>
      </c>
      <c r="BO40" s="8">
        <f t="shared" si="226"/>
        <v>224044</v>
      </c>
      <c r="BP40" s="8">
        <f t="shared" si="226"/>
        <v>225804</v>
      </c>
      <c r="BQ40" s="8">
        <f t="shared" ref="BQ40:BV40" si="227">SUM(BQ38:BQ39)</f>
        <v>223977</v>
      </c>
      <c r="BR40" s="8">
        <f t="shared" si="227"/>
        <v>224536</v>
      </c>
      <c r="BS40" s="8">
        <f t="shared" si="227"/>
        <v>224821</v>
      </c>
      <c r="BT40" s="8">
        <f t="shared" si="227"/>
        <v>225126</v>
      </c>
      <c r="BU40" s="8">
        <f t="shared" si="227"/>
        <v>225303</v>
      </c>
      <c r="BV40" s="9">
        <f t="shared" si="227"/>
        <v>225446</v>
      </c>
      <c r="BW40" s="77">
        <f t="shared" ref="BW40:CB40" si="228">SUM(BW38:BW39)</f>
        <v>224997</v>
      </c>
      <c r="BX40" s="8">
        <f t="shared" si="228"/>
        <v>225176</v>
      </c>
      <c r="BY40" s="8">
        <f t="shared" si="228"/>
        <v>225442</v>
      </c>
      <c r="BZ40" s="8">
        <f t="shared" si="228"/>
        <v>225649</v>
      </c>
      <c r="CA40" s="8">
        <f t="shared" si="228"/>
        <v>225949</v>
      </c>
      <c r="CB40" s="8">
        <f t="shared" si="228"/>
        <v>226239</v>
      </c>
      <c r="CC40" s="8">
        <f t="shared" ref="CC40:DK40" si="229">SUM(CC38:CC39)</f>
        <v>226505</v>
      </c>
      <c r="CD40" s="8">
        <f t="shared" si="229"/>
        <v>226690</v>
      </c>
      <c r="CE40" s="8">
        <f t="shared" si="229"/>
        <v>226735</v>
      </c>
      <c r="CF40" s="8">
        <f t="shared" si="229"/>
        <v>226497</v>
      </c>
      <c r="CG40" s="8">
        <f t="shared" si="229"/>
        <v>227230</v>
      </c>
      <c r="CH40" s="107">
        <f t="shared" si="229"/>
        <v>227542</v>
      </c>
      <c r="CI40" s="106">
        <f t="shared" si="229"/>
        <v>227297</v>
      </c>
      <c r="CJ40" s="94">
        <f t="shared" si="229"/>
        <v>227580</v>
      </c>
      <c r="CK40" s="94">
        <f t="shared" si="229"/>
        <v>227728</v>
      </c>
      <c r="CL40" s="94">
        <f t="shared" si="229"/>
        <v>227653</v>
      </c>
      <c r="CM40" s="94">
        <f t="shared" si="229"/>
        <v>227717</v>
      </c>
      <c r="CN40" s="94">
        <f t="shared" si="229"/>
        <v>227803</v>
      </c>
      <c r="CO40" s="94">
        <f t="shared" si="229"/>
        <v>227964</v>
      </c>
      <c r="CP40" s="94">
        <f t="shared" si="229"/>
        <v>228140</v>
      </c>
      <c r="CQ40" s="94">
        <f t="shared" si="229"/>
        <v>228174</v>
      </c>
      <c r="CR40" s="94">
        <f t="shared" si="229"/>
        <v>227852</v>
      </c>
      <c r="CS40" s="94">
        <f t="shared" si="229"/>
        <v>227759</v>
      </c>
      <c r="CT40" s="96">
        <f t="shared" si="229"/>
        <v>227701</v>
      </c>
      <c r="CU40" s="94">
        <f t="shared" si="229"/>
        <v>227803</v>
      </c>
      <c r="CV40" s="94">
        <f t="shared" si="229"/>
        <v>227873</v>
      </c>
      <c r="CW40" s="94">
        <f t="shared" si="229"/>
        <v>228234</v>
      </c>
      <c r="CX40" s="94">
        <f t="shared" si="229"/>
        <v>228320</v>
      </c>
      <c r="CY40" s="94">
        <f t="shared" si="229"/>
        <v>228702</v>
      </c>
      <c r="CZ40" s="94">
        <f t="shared" si="229"/>
        <v>228858</v>
      </c>
      <c r="DA40" s="94">
        <f t="shared" si="229"/>
        <v>228948</v>
      </c>
      <c r="DB40" s="94">
        <f t="shared" si="229"/>
        <v>229146</v>
      </c>
      <c r="DC40" s="94">
        <f t="shared" si="229"/>
        <v>229245</v>
      </c>
      <c r="DD40" s="94">
        <f t="shared" si="229"/>
        <v>229214</v>
      </c>
      <c r="DE40" s="94">
        <f t="shared" si="229"/>
        <v>229413</v>
      </c>
      <c r="DF40" s="96">
        <f t="shared" si="229"/>
        <v>229558</v>
      </c>
      <c r="DG40" s="94">
        <f t="shared" si="229"/>
        <v>229680</v>
      </c>
      <c r="DH40" s="94">
        <f t="shared" si="229"/>
        <v>229947</v>
      </c>
      <c r="DI40" s="94">
        <f t="shared" si="229"/>
        <v>230419</v>
      </c>
      <c r="DJ40" s="94">
        <f t="shared" si="229"/>
        <v>230639</v>
      </c>
      <c r="DK40" s="94">
        <f t="shared" si="229"/>
        <v>230909</v>
      </c>
      <c r="DL40" s="94">
        <f t="shared" ref="DL40:DR40" si="230">SUM(DL38:DL39)</f>
        <v>231065</v>
      </c>
      <c r="DM40" s="94">
        <f t="shared" si="230"/>
        <v>231270</v>
      </c>
      <c r="DN40" s="94">
        <f t="shared" si="230"/>
        <v>231546</v>
      </c>
      <c r="DO40" s="94">
        <f t="shared" si="230"/>
        <v>231614</v>
      </c>
      <c r="DP40" s="94">
        <f t="shared" si="230"/>
        <v>231363</v>
      </c>
      <c r="DQ40" s="94">
        <f t="shared" si="230"/>
        <v>231372</v>
      </c>
      <c r="DR40" s="94">
        <f t="shared" si="230"/>
        <v>231552</v>
      </c>
      <c r="DS40" s="94">
        <f>SUM(DS38:DS39)</f>
        <v>231340</v>
      </c>
      <c r="DT40" s="94">
        <f>SUM(DT38:DT39)</f>
        <v>231346</v>
      </c>
      <c r="DU40" s="94">
        <f>SUM(DU38:DU39)</f>
        <v>232169</v>
      </c>
      <c r="DV40" s="358">
        <f t="shared" ref="DV40:EA40" si="231">SUM(DV38:DV39)</f>
        <v>232521</v>
      </c>
      <c r="DW40" s="358">
        <f t="shared" si="231"/>
        <v>232591</v>
      </c>
      <c r="DX40" s="358">
        <f t="shared" si="231"/>
        <v>232822</v>
      </c>
      <c r="DY40" s="358">
        <f t="shared" si="231"/>
        <v>232954</v>
      </c>
      <c r="DZ40" s="358">
        <f t="shared" si="231"/>
        <v>233222</v>
      </c>
      <c r="EA40" s="358">
        <f t="shared" si="231"/>
        <v>233331</v>
      </c>
      <c r="EB40" s="358">
        <v>233440</v>
      </c>
      <c r="EC40" s="358">
        <v>233510</v>
      </c>
      <c r="ED40" s="358">
        <v>233595</v>
      </c>
      <c r="EE40" s="358">
        <f t="shared" ref="EE40:FH40" si="232">SUM(EE38:EE39)</f>
        <v>234935</v>
      </c>
      <c r="EF40" s="358">
        <f t="shared" si="232"/>
        <v>234486</v>
      </c>
      <c r="EG40" s="358">
        <f t="shared" si="232"/>
        <v>234642</v>
      </c>
      <c r="EH40" s="358">
        <f t="shared" si="232"/>
        <v>235117</v>
      </c>
      <c r="EI40" s="358">
        <f t="shared" si="232"/>
        <v>235476</v>
      </c>
      <c r="EJ40" s="358">
        <f t="shared" si="232"/>
        <v>235173</v>
      </c>
      <c r="EK40" s="358">
        <f t="shared" si="232"/>
        <v>235939</v>
      </c>
      <c r="EL40" s="358">
        <f t="shared" si="232"/>
        <v>235752</v>
      </c>
      <c r="EM40" s="358">
        <f t="shared" si="232"/>
        <v>236030</v>
      </c>
      <c r="EN40" s="358">
        <f t="shared" si="232"/>
        <v>237124</v>
      </c>
      <c r="EO40" s="358">
        <f t="shared" si="232"/>
        <v>235966</v>
      </c>
      <c r="EP40" s="358">
        <f t="shared" si="232"/>
        <v>236879</v>
      </c>
      <c r="EQ40" s="358">
        <f t="shared" si="232"/>
        <v>236334</v>
      </c>
      <c r="ER40" s="358">
        <f t="shared" si="232"/>
        <v>236713</v>
      </c>
      <c r="ES40" s="358">
        <f t="shared" si="232"/>
        <v>237184</v>
      </c>
      <c r="ET40" s="358">
        <f t="shared" si="232"/>
        <v>237423</v>
      </c>
      <c r="EU40" s="358">
        <f t="shared" si="232"/>
        <v>237445</v>
      </c>
      <c r="EV40" s="358">
        <f t="shared" si="232"/>
        <v>238303</v>
      </c>
      <c r="EW40" s="358">
        <f t="shared" si="232"/>
        <v>238710</v>
      </c>
      <c r="EX40" s="358">
        <f t="shared" si="232"/>
        <v>239225</v>
      </c>
      <c r="EY40" s="358">
        <f t="shared" si="232"/>
        <v>239312</v>
      </c>
      <c r="EZ40" s="358">
        <f t="shared" si="232"/>
        <v>239289</v>
      </c>
      <c r="FA40" s="358">
        <f t="shared" si="232"/>
        <v>239581</v>
      </c>
      <c r="FB40" s="358">
        <f t="shared" si="232"/>
        <v>239827</v>
      </c>
      <c r="FC40" s="358">
        <f t="shared" si="232"/>
        <v>239984</v>
      </c>
      <c r="FD40" s="358">
        <f t="shared" si="232"/>
        <v>240276</v>
      </c>
      <c r="FE40" s="358">
        <f t="shared" si="232"/>
        <v>240684</v>
      </c>
      <c r="FF40" s="358">
        <f t="shared" si="232"/>
        <v>241011</v>
      </c>
      <c r="FG40" s="358">
        <f t="shared" si="232"/>
        <v>241373</v>
      </c>
      <c r="FH40" s="358">
        <f t="shared" si="232"/>
        <v>241841</v>
      </c>
      <c r="FI40" s="358">
        <f t="shared" ref="FI40:FT40" si="233">SUM(FI38:FI39)</f>
        <v>242851</v>
      </c>
      <c r="FJ40" s="358">
        <f t="shared" si="233"/>
        <v>243069</v>
      </c>
      <c r="FK40" s="358">
        <f t="shared" si="233"/>
        <v>243305</v>
      </c>
      <c r="FL40" s="358">
        <f t="shared" si="233"/>
        <v>243670</v>
      </c>
      <c r="FM40" s="358">
        <f t="shared" si="233"/>
        <v>243879</v>
      </c>
      <c r="FN40" s="358">
        <f t="shared" si="233"/>
        <v>243991</v>
      </c>
      <c r="FO40" s="358">
        <f t="shared" si="233"/>
        <v>244284</v>
      </c>
      <c r="FP40" s="358">
        <f t="shared" si="233"/>
        <v>244557</v>
      </c>
      <c r="FQ40" s="358">
        <f t="shared" si="233"/>
        <v>244916</v>
      </c>
      <c r="FR40" s="358">
        <f t="shared" si="233"/>
        <v>245214</v>
      </c>
      <c r="FS40" s="358">
        <f t="shared" si="233"/>
        <v>245649</v>
      </c>
      <c r="FT40" s="358">
        <f t="shared" si="233"/>
        <v>245938</v>
      </c>
    </row>
    <row r="41" spans="1:182" x14ac:dyDescent="0.25">
      <c r="B41" s="3" t="s">
        <v>10</v>
      </c>
      <c r="C41" s="36">
        <f t="shared" ref="C41:Q41" si="234">SUM(C38)/C40</f>
        <v>0.98702432156151754</v>
      </c>
      <c r="D41" s="14">
        <f t="shared" si="234"/>
        <v>0.98060447463236533</v>
      </c>
      <c r="E41" s="14">
        <f t="shared" si="234"/>
        <v>0.97662145069132467</v>
      </c>
      <c r="F41" s="14">
        <f t="shared" si="234"/>
        <v>0.97042950571356446</v>
      </c>
      <c r="G41" s="14">
        <f t="shared" si="234"/>
        <v>0.96756844152570987</v>
      </c>
      <c r="H41" s="14">
        <f t="shared" si="234"/>
        <v>0.97046484309447889</v>
      </c>
      <c r="I41" s="14">
        <f t="shared" si="234"/>
        <v>0.96189053310567252</v>
      </c>
      <c r="J41" s="14">
        <f t="shared" si="234"/>
        <v>0.95701746778706376</v>
      </c>
      <c r="K41" s="36">
        <f t="shared" si="234"/>
        <v>0.95467960672834928</v>
      </c>
      <c r="L41" s="14">
        <f t="shared" si="234"/>
        <v>0.95102603741780212</v>
      </c>
      <c r="M41" s="14">
        <f t="shared" si="234"/>
        <v>0.94829430804024861</v>
      </c>
      <c r="N41" s="23">
        <f t="shared" si="234"/>
        <v>0.94477458599043218</v>
      </c>
      <c r="O41" s="36">
        <f t="shared" si="234"/>
        <v>0.93880479737264333</v>
      </c>
      <c r="P41" s="14">
        <f t="shared" si="234"/>
        <v>0.93730882532870274</v>
      </c>
      <c r="Q41" s="14">
        <f t="shared" si="234"/>
        <v>0.93592280352973167</v>
      </c>
      <c r="R41" s="14">
        <f>SUM(R38)/R40</f>
        <v>0.93488337285606704</v>
      </c>
      <c r="S41" s="14">
        <f>SUM(S38)/S40</f>
        <v>0.9342319366284193</v>
      </c>
      <c r="T41" s="14">
        <f>SUM(T38)/T40</f>
        <v>0.92848418736480942</v>
      </c>
      <c r="U41" s="14">
        <f t="shared" ref="U41:Z41" si="235">SUM(U38)/U40</f>
        <v>0.91263886114118187</v>
      </c>
      <c r="V41" s="14">
        <f t="shared" si="235"/>
        <v>0.90454266421117246</v>
      </c>
      <c r="W41" s="14">
        <f t="shared" si="235"/>
        <v>0.89614052725647897</v>
      </c>
      <c r="X41" s="14">
        <f t="shared" si="235"/>
        <v>0.88760223988271703</v>
      </c>
      <c r="Y41" s="14">
        <f t="shared" si="235"/>
        <v>0.87947250003493682</v>
      </c>
      <c r="Z41" s="23">
        <f t="shared" si="235"/>
        <v>0.87149843758667234</v>
      </c>
      <c r="AA41" s="14">
        <f t="shared" ref="AA41:AF41" si="236">SUM(AA38)/AA40</f>
        <v>0.8631030107706128</v>
      </c>
      <c r="AB41" s="14">
        <f t="shared" si="236"/>
        <v>0.85770721733418454</v>
      </c>
      <c r="AC41" s="14">
        <f t="shared" si="236"/>
        <v>0.85389784201879237</v>
      </c>
      <c r="AD41" s="14">
        <f t="shared" si="236"/>
        <v>0.84823437211875341</v>
      </c>
      <c r="AE41" s="14">
        <f t="shared" si="236"/>
        <v>0.84103265262759186</v>
      </c>
      <c r="AF41" s="14">
        <f t="shared" si="236"/>
        <v>0.82988320653640812</v>
      </c>
      <c r="AG41" s="14">
        <f t="shared" ref="AG41:AL41" si="237">SUM(AG38)/AG40</f>
        <v>0.82564396001956564</v>
      </c>
      <c r="AH41" s="14">
        <f t="shared" si="237"/>
        <v>0.81885808984186947</v>
      </c>
      <c r="AI41" s="14">
        <f t="shared" si="237"/>
        <v>0.81016953854262508</v>
      </c>
      <c r="AJ41" s="14">
        <f t="shared" si="237"/>
        <v>0.80395473958622221</v>
      </c>
      <c r="AK41" s="14">
        <f t="shared" si="237"/>
        <v>0.79867922875075514</v>
      </c>
      <c r="AL41" s="14">
        <f t="shared" si="237"/>
        <v>0.79329645027477724</v>
      </c>
      <c r="AM41" s="78">
        <f t="shared" ref="AM41:AR41" si="238">SUM(AM38)/AM40</f>
        <v>0.78871971903137816</v>
      </c>
      <c r="AN41" s="14">
        <f t="shared" si="238"/>
        <v>0.78176512888593874</v>
      </c>
      <c r="AO41" s="14">
        <f t="shared" si="238"/>
        <v>0.77860207076734511</v>
      </c>
      <c r="AP41" s="14">
        <f t="shared" si="238"/>
        <v>0.77445459973361508</v>
      </c>
      <c r="AQ41" s="14">
        <f t="shared" si="238"/>
        <v>0.76957867938808744</v>
      </c>
      <c r="AR41" s="14">
        <f t="shared" si="238"/>
        <v>0.76388831683530811</v>
      </c>
      <c r="AS41" s="14">
        <f t="shared" ref="AS41:AX41" si="239">SUM(AS38)/AS40</f>
        <v>0.75762490550477635</v>
      </c>
      <c r="AT41" s="14">
        <f t="shared" si="239"/>
        <v>0.75057863487910415</v>
      </c>
      <c r="AU41" s="14">
        <f t="shared" si="239"/>
        <v>0.74398643539628351</v>
      </c>
      <c r="AV41" s="14">
        <f t="shared" si="239"/>
        <v>0.73733178420807066</v>
      </c>
      <c r="AW41" s="14">
        <f t="shared" si="239"/>
        <v>0.73074993386424381</v>
      </c>
      <c r="AX41" s="14">
        <f t="shared" si="239"/>
        <v>0.72599726019940669</v>
      </c>
      <c r="AY41" s="78">
        <f t="shared" ref="AY41:BJ41" si="240">SUM(AY38)/AY40</f>
        <v>0.7194304322840176</v>
      </c>
      <c r="AZ41" s="14">
        <f t="shared" si="240"/>
        <v>0.71526302835838584</v>
      </c>
      <c r="BA41" s="14">
        <f t="shared" si="240"/>
        <v>0.711628773930161</v>
      </c>
      <c r="BB41" s="14">
        <f t="shared" si="240"/>
        <v>0.70604281079513531</v>
      </c>
      <c r="BC41" s="14">
        <f t="shared" si="240"/>
        <v>0.70095169038339522</v>
      </c>
      <c r="BD41" s="14">
        <f t="shared" si="240"/>
        <v>0.69484274342919616</v>
      </c>
      <c r="BE41" s="14">
        <f t="shared" si="240"/>
        <v>0.68717183366121704</v>
      </c>
      <c r="BF41" s="14">
        <f t="shared" si="240"/>
        <v>0.68133059325670153</v>
      </c>
      <c r="BG41" s="14">
        <f t="shared" si="240"/>
        <v>0.67641820387145646</v>
      </c>
      <c r="BH41" s="14">
        <f t="shared" si="240"/>
        <v>0.67109080751833627</v>
      </c>
      <c r="BI41" s="14">
        <f t="shared" si="240"/>
        <v>0.66535779750566082</v>
      </c>
      <c r="BJ41" s="23">
        <f t="shared" si="240"/>
        <v>0.66106212469585013</v>
      </c>
      <c r="BK41" s="14">
        <f t="shared" ref="BK41:BP41" si="241">SUM(BK38)/BK40</f>
        <v>0.65528153840629155</v>
      </c>
      <c r="BL41" s="14">
        <f t="shared" si="241"/>
        <v>0.648037542662116</v>
      </c>
      <c r="BM41" s="14">
        <f t="shared" si="241"/>
        <v>0.64243897199022482</v>
      </c>
      <c r="BN41" s="14">
        <f t="shared" si="241"/>
        <v>0.6353164494625485</v>
      </c>
      <c r="BO41" s="14">
        <f t="shared" si="241"/>
        <v>0.62809091071396694</v>
      </c>
      <c r="BP41" s="14">
        <f t="shared" si="241"/>
        <v>0.62183575135958624</v>
      </c>
      <c r="BQ41" s="14">
        <f t="shared" ref="BQ41:BV41" si="242">SUM(BQ38)/BQ40</f>
        <v>0.6128977528942704</v>
      </c>
      <c r="BR41" s="14">
        <f t="shared" si="242"/>
        <v>0.60415701713756365</v>
      </c>
      <c r="BS41" s="14">
        <f t="shared" si="242"/>
        <v>0.59603417830184902</v>
      </c>
      <c r="BT41" s="14">
        <f t="shared" si="242"/>
        <v>0.5887103222195571</v>
      </c>
      <c r="BU41" s="14">
        <f t="shared" si="242"/>
        <v>0.58020532349768983</v>
      </c>
      <c r="BV41" s="23">
        <f t="shared" si="242"/>
        <v>0.57123657106358061</v>
      </c>
      <c r="BW41" s="78">
        <f t="shared" ref="BW41:CB41" si="243">SUM(BW38)/BW40</f>
        <v>0.56145193047018405</v>
      </c>
      <c r="BX41" s="14">
        <f t="shared" si="243"/>
        <v>0.55312733150957472</v>
      </c>
      <c r="BY41" s="14">
        <f t="shared" si="243"/>
        <v>0.54349677522378259</v>
      </c>
      <c r="BZ41" s="14">
        <f t="shared" si="243"/>
        <v>0.53345682896888535</v>
      </c>
      <c r="CA41" s="14">
        <f t="shared" si="243"/>
        <v>0.52372438028050583</v>
      </c>
      <c r="CB41" s="14">
        <f t="shared" si="243"/>
        <v>0.51544605483581518</v>
      </c>
      <c r="CC41" s="14">
        <f t="shared" ref="CC41:DK41" si="244">SUM(CC38)/CC40</f>
        <v>0.50551643451579431</v>
      </c>
      <c r="CD41" s="14">
        <f t="shared" si="244"/>
        <v>0.48689840751687324</v>
      </c>
      <c r="CE41" s="14">
        <f t="shared" si="244"/>
        <v>0.45991576068979206</v>
      </c>
      <c r="CF41" s="14">
        <f t="shared" si="244"/>
        <v>0.43226621103149271</v>
      </c>
      <c r="CG41" s="14">
        <f t="shared" si="244"/>
        <v>0.41191303965145448</v>
      </c>
      <c r="CH41" s="241">
        <f t="shared" si="244"/>
        <v>0.40291023195717712</v>
      </c>
      <c r="CI41" s="239">
        <f t="shared" si="244"/>
        <v>0.39796389745575173</v>
      </c>
      <c r="CJ41" s="240">
        <f t="shared" si="244"/>
        <v>0.39384392301608223</v>
      </c>
      <c r="CK41" s="240">
        <f t="shared" si="244"/>
        <v>0.39047460127871847</v>
      </c>
      <c r="CL41" s="240">
        <f t="shared" si="244"/>
        <v>0.3869134164715598</v>
      </c>
      <c r="CM41" s="240">
        <f t="shared" si="244"/>
        <v>0.38355063521827532</v>
      </c>
      <c r="CN41" s="240">
        <f t="shared" si="244"/>
        <v>0.37950773255839476</v>
      </c>
      <c r="CO41" s="240">
        <f t="shared" si="244"/>
        <v>0.3759497113579337</v>
      </c>
      <c r="CP41" s="240">
        <f t="shared" si="244"/>
        <v>0.37159638818269486</v>
      </c>
      <c r="CQ41" s="240">
        <f t="shared" si="244"/>
        <v>0.36633884666964683</v>
      </c>
      <c r="CR41" s="240">
        <f t="shared" si="244"/>
        <v>0.36141881572248652</v>
      </c>
      <c r="CS41" s="240">
        <f t="shared" si="244"/>
        <v>0.35687722548834516</v>
      </c>
      <c r="CT41" s="241">
        <f t="shared" si="244"/>
        <v>0.35338887400582342</v>
      </c>
      <c r="CU41" s="240">
        <f t="shared" si="244"/>
        <v>0.3503816894421935</v>
      </c>
      <c r="CV41" s="240">
        <f t="shared" si="244"/>
        <v>0.34743914373357088</v>
      </c>
      <c r="CW41" s="240">
        <f t="shared" si="244"/>
        <v>0.34328802895274146</v>
      </c>
      <c r="CX41" s="240">
        <f t="shared" si="244"/>
        <v>0.33957603363700067</v>
      </c>
      <c r="CY41" s="240">
        <f t="shared" si="244"/>
        <v>0.33515666675411671</v>
      </c>
      <c r="CZ41" s="240">
        <f t="shared" si="244"/>
        <v>0.3310786601298622</v>
      </c>
      <c r="DA41" s="240">
        <f t="shared" si="244"/>
        <v>0.32679909848524558</v>
      </c>
      <c r="DB41" s="240">
        <f t="shared" si="244"/>
        <v>0.32178174613565153</v>
      </c>
      <c r="DC41" s="240">
        <f t="shared" si="244"/>
        <v>0.31762088595171106</v>
      </c>
      <c r="DD41" s="240">
        <f t="shared" si="244"/>
        <v>0.31339708743794009</v>
      </c>
      <c r="DE41" s="240">
        <f t="shared" si="244"/>
        <v>0.30924141177701353</v>
      </c>
      <c r="DF41" s="241">
        <f t="shared" si="244"/>
        <v>0.30573972590804938</v>
      </c>
      <c r="DG41" s="240">
        <f t="shared" si="244"/>
        <v>0.30286920933472655</v>
      </c>
      <c r="DH41" s="240">
        <f t="shared" si="244"/>
        <v>0.30017786707371696</v>
      </c>
      <c r="DI41" s="240">
        <f t="shared" si="244"/>
        <v>0.29726715244836582</v>
      </c>
      <c r="DJ41" s="240">
        <f t="shared" si="244"/>
        <v>0.29391820117152778</v>
      </c>
      <c r="DK41" s="240">
        <f t="shared" si="244"/>
        <v>0.2913398784802671</v>
      </c>
      <c r="DL41" s="240">
        <f t="shared" ref="DL41:DR41" si="245">SUM(DL38)/DL40</f>
        <v>0.28903555276653753</v>
      </c>
      <c r="DM41" s="240">
        <f t="shared" si="245"/>
        <v>0.28727893803779131</v>
      </c>
      <c r="DN41" s="240">
        <f t="shared" si="245"/>
        <v>0.28630596080260512</v>
      </c>
      <c r="DO41" s="240">
        <f t="shared" si="245"/>
        <v>0.28629098413740101</v>
      </c>
      <c r="DP41" s="240">
        <f t="shared" si="245"/>
        <v>0.28012690015257408</v>
      </c>
      <c r="DQ41" s="240">
        <f t="shared" si="245"/>
        <v>0.27669726673927703</v>
      </c>
      <c r="DR41" s="240">
        <f t="shared" si="245"/>
        <v>0.27440920398009949</v>
      </c>
      <c r="DS41" s="240">
        <f t="shared" ref="DS41:FH41" si="246">SUM(DS38)/DS40</f>
        <v>0.2732385233854932</v>
      </c>
      <c r="DT41" s="240">
        <f t="shared" si="246"/>
        <v>0.27056011342318431</v>
      </c>
      <c r="DU41" s="240">
        <f t="shared" si="246"/>
        <v>0.26779630355473816</v>
      </c>
      <c r="DV41" s="356">
        <f t="shared" si="246"/>
        <v>0.26557171180237482</v>
      </c>
      <c r="DW41" s="356">
        <f t="shared" si="246"/>
        <v>0.25804953760033705</v>
      </c>
      <c r="DX41" s="356">
        <f t="shared" si="246"/>
        <v>0.22821726469148104</v>
      </c>
      <c r="DY41" s="356">
        <f t="shared" si="246"/>
        <v>0.21688831271409806</v>
      </c>
      <c r="DZ41" s="356">
        <f t="shared" si="246"/>
        <v>0.21476104312629168</v>
      </c>
      <c r="EA41" s="356">
        <f t="shared" si="246"/>
        <v>0.21272784156412994</v>
      </c>
      <c r="EB41" s="356">
        <f t="shared" si="246"/>
        <v>0.21067083618917065</v>
      </c>
      <c r="EC41" s="356">
        <f t="shared" si="246"/>
        <v>0.20890754143291507</v>
      </c>
      <c r="ED41" s="356">
        <f t="shared" si="246"/>
        <v>0.20740169952267815</v>
      </c>
      <c r="EE41" s="356">
        <f t="shared" si="246"/>
        <v>0.2056526273224509</v>
      </c>
      <c r="EF41" s="356">
        <f t="shared" si="246"/>
        <v>0.2035985090794333</v>
      </c>
      <c r="EG41" s="356">
        <f t="shared" si="246"/>
        <v>0.20209084477629752</v>
      </c>
      <c r="EH41" s="356">
        <f t="shared" si="246"/>
        <v>0.20039384646792874</v>
      </c>
      <c r="EI41" s="356">
        <f t="shared" si="246"/>
        <v>0.19895870492109599</v>
      </c>
      <c r="EJ41" s="356">
        <f t="shared" si="246"/>
        <v>0.19712296904831761</v>
      </c>
      <c r="EK41" s="356">
        <f t="shared" si="246"/>
        <v>0.19583875493241898</v>
      </c>
      <c r="EL41" s="356">
        <f t="shared" si="246"/>
        <v>0.1944034409040008</v>
      </c>
      <c r="EM41" s="356">
        <f t="shared" si="246"/>
        <v>0.19271279074693895</v>
      </c>
      <c r="EN41" s="356">
        <f t="shared" si="246"/>
        <v>0.19166343347784282</v>
      </c>
      <c r="EO41" s="356">
        <f t="shared" si="246"/>
        <v>0.1898536229795818</v>
      </c>
      <c r="EP41" s="356">
        <f t="shared" si="246"/>
        <v>0.18924429772162157</v>
      </c>
      <c r="EQ41" s="356">
        <f t="shared" si="246"/>
        <v>0.18808973740553622</v>
      </c>
      <c r="ER41" s="356">
        <f t="shared" si="246"/>
        <v>0.18658037370148661</v>
      </c>
      <c r="ES41" s="356">
        <f t="shared" si="246"/>
        <v>0.18524436724230978</v>
      </c>
      <c r="ET41" s="356">
        <f t="shared" si="246"/>
        <v>0.18404282651638637</v>
      </c>
      <c r="EU41" s="356">
        <f t="shared" si="246"/>
        <v>0.18288024595169408</v>
      </c>
      <c r="EV41" s="356">
        <f t="shared" si="246"/>
        <v>0.18076986021997205</v>
      </c>
      <c r="EW41" s="356">
        <f t="shared" si="246"/>
        <v>0.17898705542289808</v>
      </c>
      <c r="EX41" s="356">
        <f t="shared" si="246"/>
        <v>0.17690040756609887</v>
      </c>
      <c r="EY41" s="282">
        <f t="shared" si="246"/>
        <v>0.17506852978538476</v>
      </c>
      <c r="EZ41" s="282">
        <f t="shared" si="246"/>
        <v>0.17400716288671858</v>
      </c>
      <c r="FA41" s="282">
        <f t="shared" si="246"/>
        <v>0.17246776664259686</v>
      </c>
      <c r="FB41" s="282">
        <f t="shared" si="246"/>
        <v>0.17128596863572493</v>
      </c>
      <c r="FC41" s="282">
        <f t="shared" si="246"/>
        <v>0.16924461630775384</v>
      </c>
      <c r="FD41" s="282">
        <f t="shared" si="246"/>
        <v>0.16873928315770198</v>
      </c>
      <c r="FE41" s="282">
        <f t="shared" si="246"/>
        <v>0.16716940054178922</v>
      </c>
      <c r="FF41" s="282">
        <f t="shared" si="246"/>
        <v>0.16578496417175981</v>
      </c>
      <c r="FG41" s="282">
        <f t="shared" si="246"/>
        <v>0.16482373753485269</v>
      </c>
      <c r="FH41" s="282">
        <f t="shared" si="246"/>
        <v>0.16400858415239766</v>
      </c>
      <c r="FI41" s="282">
        <f t="shared" ref="FI41:FT41" si="247">SUM(FI38)/FI40</f>
        <v>0.16242057887346562</v>
      </c>
      <c r="FJ41" s="282">
        <f t="shared" si="247"/>
        <v>0.16096252504432898</v>
      </c>
      <c r="FK41" s="282">
        <f t="shared" si="247"/>
        <v>0.15933088099299234</v>
      </c>
      <c r="FL41" s="282">
        <f t="shared" si="247"/>
        <v>0.1574875856691427</v>
      </c>
      <c r="FM41" s="282">
        <f t="shared" si="247"/>
        <v>0.15615120613090919</v>
      </c>
      <c r="FN41" s="282">
        <f t="shared" si="247"/>
        <v>0.15486636802177128</v>
      </c>
      <c r="FO41" s="282">
        <f t="shared" si="247"/>
        <v>0.15382096248628646</v>
      </c>
      <c r="FP41" s="282">
        <f t="shared" si="247"/>
        <v>0.15284780235282572</v>
      </c>
      <c r="FQ41" s="282">
        <f t="shared" si="247"/>
        <v>0.15186431266230055</v>
      </c>
      <c r="FR41" s="282">
        <f t="shared" si="247"/>
        <v>0.1510109536975866</v>
      </c>
      <c r="FS41" s="282">
        <f t="shared" si="247"/>
        <v>0.14981538699526561</v>
      </c>
      <c r="FT41" s="282">
        <f t="shared" si="247"/>
        <v>0.14867568248908261</v>
      </c>
    </row>
    <row r="42" spans="1:182" ht="13.8" thickBot="1" x14ac:dyDescent="0.3">
      <c r="B42" s="4" t="s">
        <v>11</v>
      </c>
      <c r="C42" s="37">
        <f t="shared" ref="C42:Q42" si="248">SUM(C39/C40)</f>
        <v>1.2975678438482458E-2</v>
      </c>
      <c r="D42" s="15">
        <f t="shared" si="248"/>
        <v>1.939552536763468E-2</v>
      </c>
      <c r="E42" s="15">
        <f t="shared" si="248"/>
        <v>2.3378549308675362E-2</v>
      </c>
      <c r="F42" s="15">
        <f t="shared" si="248"/>
        <v>2.9570494286435583E-2</v>
      </c>
      <c r="G42" s="15">
        <f t="shared" si="248"/>
        <v>3.2431558474290141E-2</v>
      </c>
      <c r="H42" s="15">
        <f t="shared" si="248"/>
        <v>2.9535156905521061E-2</v>
      </c>
      <c r="I42" s="15">
        <f t="shared" si="248"/>
        <v>3.8109466894327454E-2</v>
      </c>
      <c r="J42" s="15">
        <f t="shared" si="248"/>
        <v>4.2982532212936297E-2</v>
      </c>
      <c r="K42" s="37">
        <f t="shared" si="248"/>
        <v>4.5320393271650765E-2</v>
      </c>
      <c r="L42" s="15">
        <f t="shared" si="248"/>
        <v>4.8973962582197925E-2</v>
      </c>
      <c r="M42" s="15">
        <f t="shared" si="248"/>
        <v>5.170569195975136E-2</v>
      </c>
      <c r="N42" s="24">
        <f t="shared" si="248"/>
        <v>5.5225414009567819E-2</v>
      </c>
      <c r="O42" s="37">
        <f t="shared" si="248"/>
        <v>6.1195202627356692E-2</v>
      </c>
      <c r="P42" s="15">
        <f t="shared" si="248"/>
        <v>6.2691174671297215E-2</v>
      </c>
      <c r="Q42" s="15">
        <f t="shared" si="248"/>
        <v>6.4077196470268299E-2</v>
      </c>
      <c r="R42" s="15">
        <f>SUM(R39/R40)</f>
        <v>6.5116627143932904E-2</v>
      </c>
      <c r="S42" s="15">
        <f>SUM(S39/S40)</f>
        <v>6.5768063371580698E-2</v>
      </c>
      <c r="T42" s="15">
        <f>SUM(T39/T40)</f>
        <v>7.1515812635190579E-2</v>
      </c>
      <c r="U42" s="15">
        <f t="shared" ref="U42:Z42" si="249">SUM(U39/U40)</f>
        <v>8.7361138858818119E-2</v>
      </c>
      <c r="V42" s="15">
        <f t="shared" si="249"/>
        <v>9.5457335788827508E-2</v>
      </c>
      <c r="W42" s="15">
        <f t="shared" si="249"/>
        <v>0.103859472743521</v>
      </c>
      <c r="X42" s="15">
        <f t="shared" si="249"/>
        <v>0.112397760117283</v>
      </c>
      <c r="Y42" s="15">
        <f t="shared" si="249"/>
        <v>0.12052749996506314</v>
      </c>
      <c r="Z42" s="24">
        <f t="shared" si="249"/>
        <v>0.12850156241332766</v>
      </c>
      <c r="AA42" s="15">
        <f t="shared" ref="AA42:AF42" si="250">SUM(AA39/AA40)</f>
        <v>0.1368969892293872</v>
      </c>
      <c r="AB42" s="15">
        <f t="shared" si="250"/>
        <v>0.14229278266581549</v>
      </c>
      <c r="AC42" s="15">
        <f t="shared" si="250"/>
        <v>0.14610215798120765</v>
      </c>
      <c r="AD42" s="15">
        <f t="shared" si="250"/>
        <v>0.15176562788124653</v>
      </c>
      <c r="AE42" s="15">
        <f t="shared" si="250"/>
        <v>0.15896734737240809</v>
      </c>
      <c r="AF42" s="15">
        <f t="shared" si="250"/>
        <v>0.17011679346359182</v>
      </c>
      <c r="AG42" s="15">
        <f t="shared" ref="AG42:AL42" si="251">SUM(AG39/AG40)</f>
        <v>0.17435603998043431</v>
      </c>
      <c r="AH42" s="15">
        <f t="shared" si="251"/>
        <v>0.18114191015813058</v>
      </c>
      <c r="AI42" s="15">
        <f t="shared" si="251"/>
        <v>0.18983046145737495</v>
      </c>
      <c r="AJ42" s="15">
        <f t="shared" si="251"/>
        <v>0.19604526041377779</v>
      </c>
      <c r="AK42" s="15">
        <f t="shared" si="251"/>
        <v>0.20132077124924486</v>
      </c>
      <c r="AL42" s="15">
        <f t="shared" si="251"/>
        <v>0.20670354972522276</v>
      </c>
      <c r="AM42" s="79">
        <f t="shared" ref="AM42:AR42" si="252">SUM(AM39/AM40)</f>
        <v>0.21128028096862178</v>
      </c>
      <c r="AN42" s="15">
        <f t="shared" si="252"/>
        <v>0.21823487111406129</v>
      </c>
      <c r="AO42" s="15">
        <f t="shared" si="252"/>
        <v>0.22139792923265492</v>
      </c>
      <c r="AP42" s="15">
        <f t="shared" si="252"/>
        <v>0.22554540026638498</v>
      </c>
      <c r="AQ42" s="15">
        <f t="shared" si="252"/>
        <v>0.23042132061191256</v>
      </c>
      <c r="AR42" s="15">
        <f t="shared" si="252"/>
        <v>0.23611168316469194</v>
      </c>
      <c r="AS42" s="15">
        <f t="shared" ref="AS42:BD42" si="253">SUM(AS39/AS40)</f>
        <v>0.24237509449522371</v>
      </c>
      <c r="AT42" s="15">
        <f t="shared" si="253"/>
        <v>0.2494213651208958</v>
      </c>
      <c r="AU42" s="15">
        <f t="shared" si="253"/>
        <v>0.25601356460371649</v>
      </c>
      <c r="AV42" s="15">
        <f t="shared" si="253"/>
        <v>0.26266821579192928</v>
      </c>
      <c r="AW42" s="15">
        <f t="shared" si="253"/>
        <v>0.26925006613575619</v>
      </c>
      <c r="AX42" s="15">
        <f t="shared" si="253"/>
        <v>0.27400273980059331</v>
      </c>
      <c r="AY42" s="79">
        <f t="shared" si="253"/>
        <v>0.2805695677159824</v>
      </c>
      <c r="AZ42" s="15">
        <f t="shared" si="253"/>
        <v>0.28473697164161416</v>
      </c>
      <c r="BA42" s="15">
        <f t="shared" si="253"/>
        <v>0.288371226069839</v>
      </c>
      <c r="BB42" s="15">
        <f t="shared" si="253"/>
        <v>0.29395718920486469</v>
      </c>
      <c r="BC42" s="15">
        <f t="shared" si="253"/>
        <v>0.29904830961660472</v>
      </c>
      <c r="BD42" s="15">
        <f t="shared" si="253"/>
        <v>0.30515725657080384</v>
      </c>
      <c r="BE42" s="15">
        <f t="shared" ref="BE42:BJ42" si="254">SUM(BE39/BE40)</f>
        <v>0.31282816633878296</v>
      </c>
      <c r="BF42" s="15">
        <f t="shared" si="254"/>
        <v>0.31866940674329847</v>
      </c>
      <c r="BG42" s="15">
        <f t="shared" si="254"/>
        <v>0.32358179612854354</v>
      </c>
      <c r="BH42" s="15">
        <f t="shared" si="254"/>
        <v>0.32890919248166367</v>
      </c>
      <c r="BI42" s="15">
        <f t="shared" si="254"/>
        <v>0.33464220249433924</v>
      </c>
      <c r="BJ42" s="24">
        <f t="shared" si="254"/>
        <v>0.33893787530414982</v>
      </c>
      <c r="BK42" s="15">
        <f t="shared" ref="BK42:BP42" si="255">SUM(BK39/BK40)</f>
        <v>0.3447184615937085</v>
      </c>
      <c r="BL42" s="15">
        <f t="shared" si="255"/>
        <v>0.35196245733788395</v>
      </c>
      <c r="BM42" s="15">
        <f t="shared" si="255"/>
        <v>0.35756102800977524</v>
      </c>
      <c r="BN42" s="15">
        <f t="shared" si="255"/>
        <v>0.3646835505374515</v>
      </c>
      <c r="BO42" s="15">
        <f t="shared" si="255"/>
        <v>0.37190908928603311</v>
      </c>
      <c r="BP42" s="15">
        <f t="shared" si="255"/>
        <v>0.37816424864041381</v>
      </c>
      <c r="BQ42" s="15">
        <f t="shared" ref="BQ42:BV42" si="256">SUM(BQ39/BQ40)</f>
        <v>0.3871022471057296</v>
      </c>
      <c r="BR42" s="15">
        <f t="shared" si="256"/>
        <v>0.3958429828624363</v>
      </c>
      <c r="BS42" s="15">
        <f t="shared" si="256"/>
        <v>0.40396582169815098</v>
      </c>
      <c r="BT42" s="15">
        <f t="shared" si="256"/>
        <v>0.41128967778044295</v>
      </c>
      <c r="BU42" s="15">
        <f t="shared" si="256"/>
        <v>0.41979467650231023</v>
      </c>
      <c r="BV42" s="24">
        <f t="shared" si="256"/>
        <v>0.42876342893641939</v>
      </c>
      <c r="BW42" s="79">
        <f t="shared" ref="BW42:CB42" si="257">SUM(BW39/BW40)</f>
        <v>0.43854806952981595</v>
      </c>
      <c r="BX42" s="15">
        <f t="shared" si="257"/>
        <v>0.44687266849042528</v>
      </c>
      <c r="BY42" s="15">
        <f t="shared" si="257"/>
        <v>0.45650322477621741</v>
      </c>
      <c r="BZ42" s="15">
        <f t="shared" si="257"/>
        <v>0.4665431710311147</v>
      </c>
      <c r="CA42" s="15">
        <f t="shared" si="257"/>
        <v>0.47627561971949423</v>
      </c>
      <c r="CB42" s="15">
        <f t="shared" si="257"/>
        <v>0.48455394516418476</v>
      </c>
      <c r="CC42" s="15">
        <f t="shared" ref="CC42:DK42" si="258">SUM(CC39/CC40)</f>
        <v>0.49448356548420563</v>
      </c>
      <c r="CD42" s="15">
        <f t="shared" si="258"/>
        <v>0.5131015924831267</v>
      </c>
      <c r="CE42" s="15">
        <f t="shared" si="258"/>
        <v>0.54008423931020799</v>
      </c>
      <c r="CF42" s="15">
        <f t="shared" si="258"/>
        <v>0.56773378896850735</v>
      </c>
      <c r="CG42" s="15">
        <f t="shared" si="258"/>
        <v>0.58808696034854557</v>
      </c>
      <c r="CH42" s="246">
        <f t="shared" si="258"/>
        <v>0.59708976804282288</v>
      </c>
      <c r="CI42" s="244">
        <f t="shared" si="258"/>
        <v>0.60203610254424822</v>
      </c>
      <c r="CJ42" s="245">
        <f t="shared" si="258"/>
        <v>0.60615607698391771</v>
      </c>
      <c r="CK42" s="245">
        <f t="shared" si="258"/>
        <v>0.60952539872128153</v>
      </c>
      <c r="CL42" s="245">
        <f t="shared" si="258"/>
        <v>0.61308658352844025</v>
      </c>
      <c r="CM42" s="245">
        <f t="shared" si="258"/>
        <v>0.61644936478172463</v>
      </c>
      <c r="CN42" s="245">
        <f t="shared" si="258"/>
        <v>0.62049226744160524</v>
      </c>
      <c r="CO42" s="245">
        <f t="shared" si="258"/>
        <v>0.62405028864206624</v>
      </c>
      <c r="CP42" s="245">
        <f t="shared" si="258"/>
        <v>0.6284036118173052</v>
      </c>
      <c r="CQ42" s="245">
        <f t="shared" si="258"/>
        <v>0.63366115333035311</v>
      </c>
      <c r="CR42" s="245">
        <f t="shared" si="258"/>
        <v>0.63858118427751343</v>
      </c>
      <c r="CS42" s="245">
        <f t="shared" si="258"/>
        <v>0.64312277451165489</v>
      </c>
      <c r="CT42" s="246">
        <f t="shared" si="258"/>
        <v>0.64661112599417658</v>
      </c>
      <c r="CU42" s="285">
        <f t="shared" si="258"/>
        <v>0.6496183105578065</v>
      </c>
      <c r="CV42" s="245">
        <f t="shared" si="258"/>
        <v>0.65256085626642912</v>
      </c>
      <c r="CW42" s="245">
        <f t="shared" si="258"/>
        <v>0.65671197104725854</v>
      </c>
      <c r="CX42" s="245">
        <f t="shared" si="258"/>
        <v>0.66042396636299927</v>
      </c>
      <c r="CY42" s="245">
        <f t="shared" si="258"/>
        <v>0.66484333324588329</v>
      </c>
      <c r="CZ42" s="245">
        <f t="shared" si="258"/>
        <v>0.6689213398701378</v>
      </c>
      <c r="DA42" s="245">
        <f t="shared" si="258"/>
        <v>0.67320090151475442</v>
      </c>
      <c r="DB42" s="245">
        <f t="shared" si="258"/>
        <v>0.67821825386434853</v>
      </c>
      <c r="DC42" s="245">
        <f t="shared" si="258"/>
        <v>0.68237911404828899</v>
      </c>
      <c r="DD42" s="245">
        <f t="shared" si="258"/>
        <v>0.68660291256205996</v>
      </c>
      <c r="DE42" s="245">
        <f t="shared" si="258"/>
        <v>0.69075858822298652</v>
      </c>
      <c r="DF42" s="246">
        <f t="shared" si="258"/>
        <v>0.69426027409195057</v>
      </c>
      <c r="DG42" s="245">
        <f t="shared" si="258"/>
        <v>0.69713079066527339</v>
      </c>
      <c r="DH42" s="245">
        <f t="shared" si="258"/>
        <v>0.69982213292628304</v>
      </c>
      <c r="DI42" s="245">
        <f t="shared" si="258"/>
        <v>0.70273284755163423</v>
      </c>
      <c r="DJ42" s="245">
        <f t="shared" si="258"/>
        <v>0.70608179882847222</v>
      </c>
      <c r="DK42" s="245">
        <f t="shared" si="258"/>
        <v>0.7086601215197329</v>
      </c>
      <c r="DL42" s="245">
        <f t="shared" ref="DL42:DR42" si="259">SUM(DL39/DL40)</f>
        <v>0.71096444723346242</v>
      </c>
      <c r="DM42" s="245">
        <f t="shared" si="259"/>
        <v>0.71272106196220864</v>
      </c>
      <c r="DN42" s="245">
        <f t="shared" si="259"/>
        <v>0.71369403919739494</v>
      </c>
      <c r="DO42" s="245">
        <f t="shared" si="259"/>
        <v>0.71370901586259894</v>
      </c>
      <c r="DP42" s="245">
        <f t="shared" si="259"/>
        <v>0.71987309984742587</v>
      </c>
      <c r="DQ42" s="245">
        <f t="shared" si="259"/>
        <v>0.72330273326072303</v>
      </c>
      <c r="DR42" s="245">
        <f t="shared" si="259"/>
        <v>0.72559079601990051</v>
      </c>
      <c r="DS42" s="245">
        <f t="shared" ref="DS42:FH42" si="260">SUM(DS39/DS40)</f>
        <v>0.72676147661450674</v>
      </c>
      <c r="DT42" s="245">
        <f t="shared" si="260"/>
        <v>0.72943988657681569</v>
      </c>
      <c r="DU42" s="245">
        <f t="shared" si="260"/>
        <v>0.73220369644526184</v>
      </c>
      <c r="DV42" s="357">
        <f t="shared" si="260"/>
        <v>0.73442828819762518</v>
      </c>
      <c r="DW42" s="357">
        <f t="shared" si="260"/>
        <v>0.74195046239966289</v>
      </c>
      <c r="DX42" s="357">
        <f t="shared" si="260"/>
        <v>0.77178273530851893</v>
      </c>
      <c r="DY42" s="357">
        <f t="shared" si="260"/>
        <v>0.78311168728590197</v>
      </c>
      <c r="DZ42" s="357">
        <f t="shared" si="260"/>
        <v>0.78523895687370826</v>
      </c>
      <c r="EA42" s="357">
        <f t="shared" si="260"/>
        <v>0.78727215843587006</v>
      </c>
      <c r="EB42" s="357">
        <f t="shared" si="260"/>
        <v>0.78932916381082929</v>
      </c>
      <c r="EC42" s="357">
        <f t="shared" si="260"/>
        <v>0.79109245856708488</v>
      </c>
      <c r="ED42" s="357">
        <f t="shared" si="260"/>
        <v>0.79259830047732183</v>
      </c>
      <c r="EE42" s="357">
        <f t="shared" si="260"/>
        <v>0.79434737267754907</v>
      </c>
      <c r="EF42" s="357">
        <f t="shared" si="260"/>
        <v>0.79640149092056667</v>
      </c>
      <c r="EG42" s="357">
        <f t="shared" si="260"/>
        <v>0.79790915522370254</v>
      </c>
      <c r="EH42" s="357">
        <f t="shared" si="260"/>
        <v>0.79960615353207132</v>
      </c>
      <c r="EI42" s="357">
        <f t="shared" si="260"/>
        <v>0.80104129507890398</v>
      </c>
      <c r="EJ42" s="357">
        <f t="shared" si="260"/>
        <v>0.80287703095168239</v>
      </c>
      <c r="EK42" s="357">
        <f t="shared" si="260"/>
        <v>0.80416124506758102</v>
      </c>
      <c r="EL42" s="357">
        <f t="shared" si="260"/>
        <v>0.80559655909599914</v>
      </c>
      <c r="EM42" s="357">
        <f t="shared" si="260"/>
        <v>0.80728720925306108</v>
      </c>
      <c r="EN42" s="357">
        <f t="shared" si="260"/>
        <v>0.80833656652215713</v>
      </c>
      <c r="EO42" s="357">
        <f t="shared" si="260"/>
        <v>0.81014637702041825</v>
      </c>
      <c r="EP42" s="357">
        <f t="shared" si="260"/>
        <v>0.81075570227837845</v>
      </c>
      <c r="EQ42" s="357">
        <f t="shared" si="260"/>
        <v>0.81191026259446375</v>
      </c>
      <c r="ER42" s="357">
        <f t="shared" si="260"/>
        <v>0.81341962629851339</v>
      </c>
      <c r="ES42" s="357">
        <f t="shared" si="260"/>
        <v>0.81475563275769025</v>
      </c>
      <c r="ET42" s="357">
        <f t="shared" si="260"/>
        <v>0.81595717348361363</v>
      </c>
      <c r="EU42" s="357">
        <f t="shared" si="260"/>
        <v>0.81711975404830595</v>
      </c>
      <c r="EV42" s="357">
        <f t="shared" si="260"/>
        <v>0.8192301397800279</v>
      </c>
      <c r="EW42" s="357">
        <f t="shared" si="260"/>
        <v>0.82101294457710194</v>
      </c>
      <c r="EX42" s="357">
        <f t="shared" si="260"/>
        <v>0.82309959243390118</v>
      </c>
      <c r="EY42" s="354">
        <f t="shared" si="260"/>
        <v>0.82493147021461521</v>
      </c>
      <c r="EZ42" s="354">
        <f t="shared" si="260"/>
        <v>0.82599283711328142</v>
      </c>
      <c r="FA42" s="354">
        <f t="shared" si="260"/>
        <v>0.82753223335740311</v>
      </c>
      <c r="FB42" s="354">
        <f t="shared" si="260"/>
        <v>0.82871403136427513</v>
      </c>
      <c r="FC42" s="354">
        <f t="shared" si="260"/>
        <v>0.83075538369224611</v>
      </c>
      <c r="FD42" s="354">
        <f t="shared" si="260"/>
        <v>0.83126071684229808</v>
      </c>
      <c r="FE42" s="354">
        <f t="shared" si="260"/>
        <v>0.83283059945821081</v>
      </c>
      <c r="FF42" s="354">
        <f t="shared" si="260"/>
        <v>0.83421503582824019</v>
      </c>
      <c r="FG42" s="354">
        <f t="shared" si="260"/>
        <v>0.83517626246514731</v>
      </c>
      <c r="FH42" s="354">
        <f t="shared" si="260"/>
        <v>0.83599141584760239</v>
      </c>
      <c r="FI42" s="354">
        <f t="shared" ref="FI42:FT42" si="261">SUM(FI39/FI40)</f>
        <v>0.83757942112653438</v>
      </c>
      <c r="FJ42" s="354">
        <f t="shared" si="261"/>
        <v>0.83903747495567105</v>
      </c>
      <c r="FK42" s="354">
        <f t="shared" si="261"/>
        <v>0.84066911900700769</v>
      </c>
      <c r="FL42" s="354">
        <f t="shared" si="261"/>
        <v>0.84251241433085733</v>
      </c>
      <c r="FM42" s="354">
        <f t="shared" si="261"/>
        <v>0.84384879386909084</v>
      </c>
      <c r="FN42" s="354">
        <f t="shared" si="261"/>
        <v>0.84513363197822866</v>
      </c>
      <c r="FO42" s="354">
        <f t="shared" si="261"/>
        <v>0.84617903751371359</v>
      </c>
      <c r="FP42" s="354">
        <f t="shared" si="261"/>
        <v>0.84715219764717431</v>
      </c>
      <c r="FQ42" s="354">
        <f t="shared" si="261"/>
        <v>0.84813568733769951</v>
      </c>
      <c r="FR42" s="354">
        <f t="shared" si="261"/>
        <v>0.84898904630241345</v>
      </c>
      <c r="FS42" s="354">
        <f t="shared" si="261"/>
        <v>0.85018461300473436</v>
      </c>
      <c r="FT42" s="354">
        <f t="shared" si="261"/>
        <v>0.85132431751091742</v>
      </c>
    </row>
    <row r="43" spans="1:182" x14ac:dyDescent="0.25">
      <c r="C43" s="38"/>
      <c r="O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EE43" s="302"/>
      <c r="EF43" s="302"/>
      <c r="EG43" s="302"/>
    </row>
    <row r="44" spans="1:182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EE44" s="302"/>
      <c r="EF44" s="302"/>
      <c r="EG44" s="302"/>
    </row>
    <row r="45" spans="1:182" x14ac:dyDescent="0.25">
      <c r="B45" s="2"/>
      <c r="C45" s="575" t="s">
        <v>79</v>
      </c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 t="s">
        <v>79</v>
      </c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 t="s">
        <v>79</v>
      </c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 t="s">
        <v>79</v>
      </c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 t="s">
        <v>79</v>
      </c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 t="s">
        <v>79</v>
      </c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 t="s">
        <v>79</v>
      </c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76" t="s">
        <v>79</v>
      </c>
      <c r="CV45" s="576"/>
      <c r="CW45" s="576"/>
      <c r="CX45" s="576"/>
      <c r="CY45" s="576"/>
      <c r="CZ45" s="576"/>
      <c r="DA45" s="576"/>
      <c r="DB45" s="576"/>
      <c r="DC45" s="576"/>
      <c r="DD45" s="576"/>
      <c r="DE45" s="576"/>
      <c r="DF45" s="576"/>
      <c r="DG45" s="576" t="s">
        <v>79</v>
      </c>
      <c r="DH45" s="576"/>
      <c r="DI45" s="576"/>
      <c r="DJ45" s="576"/>
      <c r="DK45" s="576"/>
      <c r="DL45" s="576"/>
      <c r="DM45" s="576"/>
      <c r="DN45" s="576"/>
      <c r="DO45" s="576"/>
      <c r="DP45" s="576"/>
      <c r="DQ45" s="576"/>
      <c r="DR45" s="576"/>
      <c r="DS45" s="576" t="s">
        <v>79</v>
      </c>
      <c r="DT45" s="576"/>
      <c r="DU45" s="576"/>
      <c r="DV45" s="576"/>
      <c r="DW45" s="576"/>
      <c r="DX45" s="576"/>
      <c r="DY45" s="576"/>
      <c r="DZ45" s="576"/>
      <c r="EA45" s="576"/>
      <c r="EB45" s="576"/>
      <c r="EC45" s="576"/>
      <c r="ED45" s="576"/>
      <c r="EE45" s="576" t="s">
        <v>79</v>
      </c>
      <c r="EF45" s="576"/>
      <c r="EG45" s="576"/>
      <c r="EH45" s="576"/>
      <c r="EI45" s="576"/>
      <c r="EJ45" s="576"/>
      <c r="EK45" s="576"/>
      <c r="EL45" s="576"/>
      <c r="EM45" s="576"/>
      <c r="EN45" s="576"/>
      <c r="EO45" s="576"/>
      <c r="EP45" s="576"/>
      <c r="EQ45" s="576" t="s">
        <v>79</v>
      </c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 t="s">
        <v>79</v>
      </c>
      <c r="FD45" s="576"/>
      <c r="FE45" s="576"/>
      <c r="FF45" s="576"/>
      <c r="FG45" s="576"/>
      <c r="FH45" s="576"/>
      <c r="FI45" s="576"/>
      <c r="FJ45" s="576"/>
      <c r="FK45" s="576"/>
      <c r="FL45" s="576"/>
      <c r="FM45" s="576"/>
      <c r="FN45" s="576"/>
      <c r="FO45" s="576" t="s">
        <v>79</v>
      </c>
      <c r="FP45" s="576"/>
      <c r="FQ45" s="576"/>
      <c r="FR45" s="576"/>
      <c r="FS45" s="576"/>
      <c r="FT45" s="576"/>
      <c r="FU45" s="576"/>
      <c r="FV45" s="576"/>
      <c r="FW45" s="576"/>
      <c r="FX45" s="576"/>
      <c r="FY45" s="576"/>
      <c r="FZ45" s="576"/>
    </row>
    <row r="46" spans="1:182" ht="13.8" thickBot="1" x14ac:dyDescent="0.3">
      <c r="B46" s="2"/>
      <c r="C46" s="582" t="s">
        <v>82</v>
      </c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 t="s">
        <v>82</v>
      </c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 t="s">
        <v>82</v>
      </c>
      <c r="AB46" s="582"/>
      <c r="AC46" s="582"/>
      <c r="AD46" s="582"/>
      <c r="AE46" s="582"/>
      <c r="AF46" s="582"/>
      <c r="AG46" s="582"/>
      <c r="AH46" s="582"/>
      <c r="AI46" s="582"/>
      <c r="AJ46" s="582"/>
      <c r="AK46" s="582"/>
      <c r="AL46" s="582"/>
      <c r="AM46" s="582" t="s">
        <v>82</v>
      </c>
      <c r="AN46" s="582"/>
      <c r="AO46" s="582"/>
      <c r="AP46" s="582"/>
      <c r="AQ46" s="582"/>
      <c r="AR46" s="582"/>
      <c r="AS46" s="582"/>
      <c r="AT46" s="582"/>
      <c r="AU46" s="582"/>
      <c r="AV46" s="582"/>
      <c r="AW46" s="582"/>
      <c r="AX46" s="582"/>
      <c r="AY46" s="582" t="s">
        <v>82</v>
      </c>
      <c r="AZ46" s="582"/>
      <c r="BA46" s="582"/>
      <c r="BB46" s="582"/>
      <c r="BC46" s="582"/>
      <c r="BD46" s="582"/>
      <c r="BE46" s="582"/>
      <c r="BF46" s="582"/>
      <c r="BG46" s="582"/>
      <c r="BH46" s="582"/>
      <c r="BI46" s="582"/>
      <c r="BJ46" s="582"/>
      <c r="BK46" s="582" t="s">
        <v>82</v>
      </c>
      <c r="BL46" s="582"/>
      <c r="BM46" s="582"/>
      <c r="BN46" s="582"/>
      <c r="BO46" s="582"/>
      <c r="BP46" s="582"/>
      <c r="BQ46" s="582"/>
      <c r="BR46" s="582"/>
      <c r="BS46" s="582"/>
      <c r="BT46" s="582"/>
      <c r="BU46" s="582"/>
      <c r="BV46" s="582"/>
      <c r="BW46" s="582" t="s">
        <v>82</v>
      </c>
      <c r="BX46" s="582"/>
      <c r="BY46" s="582"/>
      <c r="BZ46" s="582"/>
      <c r="CA46" s="582"/>
      <c r="CB46" s="582"/>
      <c r="CC46" s="582"/>
      <c r="CD46" s="582"/>
      <c r="CE46" s="582"/>
      <c r="CF46" s="582"/>
      <c r="CG46" s="582"/>
      <c r="CH46" s="582"/>
      <c r="CI46" s="576" t="s">
        <v>0</v>
      </c>
      <c r="CJ46" s="576"/>
      <c r="CK46" s="576"/>
      <c r="CL46" s="576"/>
      <c r="CM46" s="576"/>
      <c r="CN46" s="576"/>
      <c r="CO46" s="576"/>
      <c r="CP46" s="576"/>
      <c r="CQ46" s="576"/>
      <c r="CR46" s="576"/>
      <c r="CS46" s="576"/>
      <c r="CT46" s="576"/>
      <c r="CU46" s="576" t="s">
        <v>0</v>
      </c>
      <c r="CV46" s="576"/>
      <c r="CW46" s="576"/>
      <c r="CX46" s="576"/>
      <c r="CY46" s="576"/>
      <c r="CZ46" s="576"/>
      <c r="DA46" s="576"/>
      <c r="DB46" s="576"/>
      <c r="DC46" s="576"/>
      <c r="DD46" s="576"/>
      <c r="DE46" s="576"/>
      <c r="DF46" s="576"/>
      <c r="DG46" s="576" t="s">
        <v>0</v>
      </c>
      <c r="DH46" s="576"/>
      <c r="DI46" s="576"/>
      <c r="DJ46" s="576"/>
      <c r="DK46" s="576"/>
      <c r="DL46" s="576"/>
      <c r="DM46" s="576"/>
      <c r="DN46" s="576"/>
      <c r="DO46" s="576"/>
      <c r="DP46" s="576"/>
      <c r="DQ46" s="576"/>
      <c r="DR46" s="576"/>
      <c r="DS46" s="576" t="s">
        <v>0</v>
      </c>
      <c r="DT46" s="576"/>
      <c r="DU46" s="576"/>
      <c r="DV46" s="576"/>
      <c r="DW46" s="576"/>
      <c r="DX46" s="576"/>
      <c r="DY46" s="576"/>
      <c r="DZ46" s="576"/>
      <c r="EA46" s="576"/>
      <c r="EB46" s="576"/>
      <c r="EC46" s="576"/>
      <c r="ED46" s="576"/>
      <c r="EE46" s="576" t="s">
        <v>0</v>
      </c>
      <c r="EF46" s="576"/>
      <c r="EG46" s="576"/>
      <c r="EH46" s="576"/>
      <c r="EI46" s="576"/>
      <c r="EJ46" s="576"/>
      <c r="EK46" s="576"/>
      <c r="EL46" s="576"/>
      <c r="EM46" s="576"/>
      <c r="EN46" s="576"/>
      <c r="EO46" s="576"/>
      <c r="EP46" s="576"/>
      <c r="EQ46" s="576" t="s">
        <v>0</v>
      </c>
      <c r="ER46" s="576"/>
      <c r="ES46" s="576"/>
      <c r="ET46" s="576"/>
      <c r="EU46" s="576"/>
      <c r="EV46" s="576"/>
      <c r="EW46" s="576"/>
      <c r="EX46" s="576"/>
      <c r="EY46" s="576"/>
      <c r="EZ46" s="576"/>
      <c r="FA46" s="576"/>
      <c r="FB46" s="576"/>
      <c r="FC46" s="576" t="s">
        <v>0</v>
      </c>
      <c r="FD46" s="576"/>
      <c r="FE46" s="576"/>
      <c r="FF46" s="576"/>
      <c r="FG46" s="576"/>
      <c r="FH46" s="576"/>
      <c r="FI46" s="576"/>
      <c r="FJ46" s="576"/>
      <c r="FK46" s="576"/>
      <c r="FL46" s="576"/>
      <c r="FM46" s="576"/>
      <c r="FN46" s="576"/>
      <c r="FO46" s="576" t="s">
        <v>0</v>
      </c>
      <c r="FP46" s="576"/>
      <c r="FQ46" s="576"/>
      <c r="FR46" s="576"/>
      <c r="FS46" s="576"/>
      <c r="FT46" s="576"/>
      <c r="FU46" s="576"/>
      <c r="FV46" s="576"/>
      <c r="FW46" s="576"/>
      <c r="FX46" s="576"/>
      <c r="FY46" s="576"/>
      <c r="FZ46" s="576"/>
    </row>
    <row r="47" spans="1:182" ht="13.8" thickBot="1" x14ac:dyDescent="0.3">
      <c r="B47" s="2"/>
      <c r="C47" s="579">
        <v>2002</v>
      </c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1"/>
      <c r="O47" s="579">
        <v>2003</v>
      </c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1"/>
      <c r="AA47" s="579">
        <v>2004</v>
      </c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1"/>
      <c r="AM47" s="579">
        <v>2005</v>
      </c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1"/>
      <c r="AY47" s="579">
        <v>2006</v>
      </c>
      <c r="AZ47" s="580"/>
      <c r="BA47" s="580"/>
      <c r="BB47" s="580"/>
      <c r="BC47" s="580"/>
      <c r="BD47" s="580"/>
      <c r="BE47" s="580"/>
      <c r="BF47" s="580"/>
      <c r="BG47" s="580"/>
      <c r="BH47" s="580"/>
      <c r="BI47" s="580"/>
      <c r="BJ47" s="580"/>
      <c r="BK47" s="579">
        <v>2007</v>
      </c>
      <c r="BL47" s="580"/>
      <c r="BM47" s="580"/>
      <c r="BN47" s="580"/>
      <c r="BO47" s="580"/>
      <c r="BP47" s="580"/>
      <c r="BQ47" s="580"/>
      <c r="BR47" s="580"/>
      <c r="BS47" s="580"/>
      <c r="BT47" s="580"/>
      <c r="BU47" s="580"/>
      <c r="BV47" s="581"/>
      <c r="BW47" s="586">
        <v>2008</v>
      </c>
      <c r="BX47" s="587"/>
      <c r="BY47" s="587"/>
      <c r="BZ47" s="587"/>
      <c r="CA47" s="587"/>
      <c r="CB47" s="587"/>
      <c r="CC47" s="587"/>
      <c r="CD47" s="587"/>
      <c r="CE47" s="587"/>
      <c r="CF47" s="587"/>
      <c r="CG47" s="587"/>
      <c r="CH47" s="588"/>
      <c r="CI47" s="572">
        <v>2009</v>
      </c>
      <c r="CJ47" s="573"/>
      <c r="CK47" s="573"/>
      <c r="CL47" s="573"/>
      <c r="CM47" s="573"/>
      <c r="CN47" s="573"/>
      <c r="CO47" s="573"/>
      <c r="CP47" s="573"/>
      <c r="CQ47" s="573"/>
      <c r="CR47" s="573"/>
      <c r="CS47" s="573"/>
      <c r="CT47" s="574"/>
      <c r="CU47" s="599">
        <v>2010</v>
      </c>
      <c r="CV47" s="600"/>
      <c r="CW47" s="600"/>
      <c r="CX47" s="600"/>
      <c r="CY47" s="600"/>
      <c r="CZ47" s="600"/>
      <c r="DA47" s="600"/>
      <c r="DB47" s="600"/>
      <c r="DC47" s="600"/>
      <c r="DD47" s="600"/>
      <c r="DE47" s="600"/>
      <c r="DF47" s="601"/>
      <c r="DG47" s="599">
        <v>2011</v>
      </c>
      <c r="DH47" s="600"/>
      <c r="DI47" s="600"/>
      <c r="DJ47" s="600"/>
      <c r="DK47" s="600"/>
      <c r="DL47" s="600"/>
      <c r="DM47" s="600"/>
      <c r="DN47" s="600"/>
      <c r="DO47" s="600"/>
      <c r="DP47" s="600"/>
      <c r="DQ47" s="600"/>
      <c r="DR47" s="601"/>
      <c r="DS47" s="599">
        <v>2012</v>
      </c>
      <c r="DT47" s="600"/>
      <c r="DU47" s="600"/>
      <c r="DV47" s="600"/>
      <c r="DW47" s="600"/>
      <c r="DX47" s="600"/>
      <c r="DY47" s="600"/>
      <c r="DZ47" s="600"/>
      <c r="EA47" s="600"/>
      <c r="EB47" s="600"/>
      <c r="EC47" s="600"/>
      <c r="ED47" s="601"/>
      <c r="EE47" s="599">
        <v>2013</v>
      </c>
      <c r="EF47" s="600"/>
      <c r="EG47" s="600"/>
      <c r="EH47" s="600"/>
      <c r="EI47" s="600"/>
      <c r="EJ47" s="600"/>
      <c r="EK47" s="600"/>
      <c r="EL47" s="600"/>
      <c r="EM47" s="600"/>
      <c r="EN47" s="600"/>
      <c r="EO47" s="600"/>
      <c r="EP47" s="601"/>
      <c r="EQ47" s="599">
        <v>2014</v>
      </c>
      <c r="ER47" s="600"/>
      <c r="ES47" s="600"/>
      <c r="ET47" s="600"/>
      <c r="EU47" s="600"/>
      <c r="EV47" s="600"/>
      <c r="EW47" s="600"/>
      <c r="EX47" s="600"/>
      <c r="EY47" s="600"/>
      <c r="EZ47" s="600"/>
      <c r="FA47" s="600"/>
      <c r="FB47" s="601"/>
      <c r="FC47" s="599">
        <v>2015</v>
      </c>
      <c r="FD47" s="600"/>
      <c r="FE47" s="600"/>
      <c r="FF47" s="600"/>
      <c r="FG47" s="600"/>
      <c r="FH47" s="600"/>
      <c r="FI47" s="600"/>
      <c r="FJ47" s="600"/>
      <c r="FK47" s="600"/>
      <c r="FL47" s="600"/>
      <c r="FM47" s="600"/>
      <c r="FN47" s="601"/>
      <c r="FO47" s="599">
        <v>2016</v>
      </c>
      <c r="FP47" s="600"/>
      <c r="FQ47" s="600"/>
      <c r="FR47" s="600"/>
      <c r="FS47" s="600"/>
      <c r="FT47" s="600"/>
      <c r="FU47" s="600"/>
      <c r="FV47" s="600"/>
      <c r="FW47" s="600"/>
      <c r="FX47" s="600"/>
      <c r="FY47" s="600"/>
      <c r="FZ47" s="601"/>
    </row>
    <row r="48" spans="1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1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</row>
    <row r="49" spans="2:177" x14ac:dyDescent="0.25">
      <c r="B49" s="3" t="s">
        <v>12</v>
      </c>
      <c r="C49" s="225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225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225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225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225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225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8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89"/>
      <c r="DF49" s="20"/>
      <c r="EE49" s="302"/>
      <c r="EF49" s="302"/>
      <c r="EG49" s="302"/>
    </row>
    <row r="50" spans="2:177" x14ac:dyDescent="0.25">
      <c r="B50" s="3"/>
      <c r="C50" s="201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201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201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201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201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201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8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DF50" s="20"/>
      <c r="EE50" s="302"/>
      <c r="EF50" s="302"/>
      <c r="EG50" s="302"/>
    </row>
    <row r="51" spans="2:177" ht="13.8" x14ac:dyDescent="0.3">
      <c r="B51" s="3" t="s">
        <v>1</v>
      </c>
      <c r="C51" s="201">
        <v>182749.2</v>
      </c>
      <c r="D51" s="69">
        <v>163710.90700000001</v>
      </c>
      <c r="E51" s="69">
        <v>153604.24</v>
      </c>
      <c r="F51" s="69">
        <v>144466.79399999999</v>
      </c>
      <c r="G51" s="69">
        <v>192514.50200000001</v>
      </c>
      <c r="H51" s="69">
        <v>205846.55799999999</v>
      </c>
      <c r="I51" s="69">
        <v>239359.685</v>
      </c>
      <c r="J51" s="69">
        <v>266687.78999999998</v>
      </c>
      <c r="K51" s="69">
        <v>259399.13</v>
      </c>
      <c r="L51" s="69">
        <v>201088.52</v>
      </c>
      <c r="M51" s="69">
        <v>135509.38</v>
      </c>
      <c r="N51" s="89">
        <v>153054.72</v>
      </c>
      <c r="O51" s="201">
        <v>174814</v>
      </c>
      <c r="P51" s="69">
        <v>177676</v>
      </c>
      <c r="Q51" s="69">
        <v>156502</v>
      </c>
      <c r="R51" s="69">
        <v>125506.78</v>
      </c>
      <c r="S51" s="69">
        <v>171323.55</v>
      </c>
      <c r="T51" s="69">
        <v>221125.46</v>
      </c>
      <c r="U51" s="69">
        <v>245961.12</v>
      </c>
      <c r="V51" s="69">
        <v>265311.03000000003</v>
      </c>
      <c r="W51" s="69">
        <v>225773.99</v>
      </c>
      <c r="X51" s="69">
        <v>166489.22</v>
      </c>
      <c r="Y51" s="69">
        <v>134994.4</v>
      </c>
      <c r="Z51" s="89">
        <v>137417.69</v>
      </c>
      <c r="AA51" s="201">
        <v>155583.95000000001</v>
      </c>
      <c r="AB51" s="69">
        <v>156408.28</v>
      </c>
      <c r="AC51" s="69">
        <v>130106.6</v>
      </c>
      <c r="AD51" s="69">
        <v>116646.27</v>
      </c>
      <c r="AE51" s="69">
        <v>133499.01</v>
      </c>
      <c r="AF51" s="69">
        <v>193523.73</v>
      </c>
      <c r="AG51" s="69">
        <v>209134.86</v>
      </c>
      <c r="AH51" s="69">
        <v>219171.25</v>
      </c>
      <c r="AI51" s="69">
        <v>201924.32</v>
      </c>
      <c r="AJ51" s="69">
        <v>160377.54999999999</v>
      </c>
      <c r="AK51" s="69">
        <v>131135.79999999999</v>
      </c>
      <c r="AL51" s="89">
        <v>126548.55</v>
      </c>
      <c r="AM51" s="201">
        <v>143676.66</v>
      </c>
      <c r="AN51" s="69">
        <v>136278.85999999999</v>
      </c>
      <c r="AO51" s="69">
        <v>113257.18</v>
      </c>
      <c r="AP51" s="69">
        <v>103621.03</v>
      </c>
      <c r="AQ51" s="69">
        <v>118262.25</v>
      </c>
      <c r="AR51" s="69">
        <v>181946.55</v>
      </c>
      <c r="AS51" s="69">
        <v>215803.68</v>
      </c>
      <c r="AT51" s="69">
        <v>208328.99</v>
      </c>
      <c r="AU51" s="69">
        <v>201391.59</v>
      </c>
      <c r="AV51" s="69">
        <v>170713.61</v>
      </c>
      <c r="AW51" s="69">
        <v>107878.07</v>
      </c>
      <c r="AX51" s="89">
        <v>124291.35</v>
      </c>
      <c r="AY51" s="201">
        <v>118911</v>
      </c>
      <c r="AZ51" s="69">
        <v>104323</v>
      </c>
      <c r="BA51" s="69">
        <v>106133</v>
      </c>
      <c r="BB51" s="69">
        <v>103270.36</v>
      </c>
      <c r="BC51" s="69">
        <v>121263.78</v>
      </c>
      <c r="BD51" s="69">
        <v>162305.07999999999</v>
      </c>
      <c r="BE51" s="69">
        <v>178461.03</v>
      </c>
      <c r="BF51" s="69">
        <v>201489.78</v>
      </c>
      <c r="BG51" s="69">
        <v>174669.49</v>
      </c>
      <c r="BH51" s="69">
        <v>130480.58</v>
      </c>
      <c r="BI51" s="69">
        <v>95193.18</v>
      </c>
      <c r="BJ51" s="89">
        <v>108106.36</v>
      </c>
      <c r="BK51" s="201">
        <v>122088.84</v>
      </c>
      <c r="BL51" s="69">
        <v>128803.52</v>
      </c>
      <c r="BM51" s="69">
        <v>93034.55</v>
      </c>
      <c r="BN51" s="69">
        <v>81963.13</v>
      </c>
      <c r="BO51" s="69">
        <v>99910.93</v>
      </c>
      <c r="BP51" s="69">
        <v>125897.47</v>
      </c>
      <c r="BQ51" s="69">
        <v>141981.73000000001</v>
      </c>
      <c r="BR51" s="69">
        <v>157331.17000000001</v>
      </c>
      <c r="BS51" s="69">
        <v>151640.57999999999</v>
      </c>
      <c r="BT51" s="69">
        <v>123797.82</v>
      </c>
      <c r="BU51" s="69">
        <v>82219.23</v>
      </c>
      <c r="BV51" s="89">
        <v>89317.04</v>
      </c>
      <c r="BW51" s="201">
        <f>107067.62</f>
        <v>107067.62</v>
      </c>
      <c r="BX51" s="69">
        <v>94413.55</v>
      </c>
      <c r="BY51" s="69">
        <v>79196.759999999995</v>
      </c>
      <c r="BZ51" s="69">
        <v>73860.61</v>
      </c>
      <c r="CA51" s="69">
        <v>79441.34</v>
      </c>
      <c r="CB51" s="69">
        <v>120144.03</v>
      </c>
      <c r="CC51" s="69">
        <v>134122.06</v>
      </c>
      <c r="CD51" s="69">
        <v>132378.54999999999</v>
      </c>
      <c r="CE51" s="69">
        <v>95616.24</v>
      </c>
      <c r="CF51" s="69">
        <v>69503.520000000004</v>
      </c>
      <c r="CG51" s="69">
        <v>48216.160000000003</v>
      </c>
      <c r="CH51" s="89">
        <v>57371.519999999997</v>
      </c>
      <c r="CI51" s="201">
        <v>67112.820000000007</v>
      </c>
      <c r="CJ51" s="69">
        <v>61974.36</v>
      </c>
      <c r="CK51" s="69">
        <v>52446.879999999997</v>
      </c>
      <c r="CL51" s="69">
        <v>45902.47</v>
      </c>
      <c r="CM51" s="69">
        <v>55459.71</v>
      </c>
      <c r="CN51" s="69">
        <v>74329.63</v>
      </c>
      <c r="CO51" s="69">
        <v>100331.63</v>
      </c>
      <c r="CP51" s="69">
        <v>98440.51</v>
      </c>
      <c r="CQ51" s="69">
        <v>83881.460000000006</v>
      </c>
      <c r="CR51" s="69">
        <v>60496.86</v>
      </c>
      <c r="CS51" s="69">
        <v>45300.05</v>
      </c>
      <c r="CT51" s="89">
        <v>54979.39</v>
      </c>
      <c r="CU51" s="284">
        <v>72747.44</v>
      </c>
      <c r="CV51" s="284">
        <v>65721.009999999995</v>
      </c>
      <c r="CW51" s="284">
        <v>56190.81</v>
      </c>
      <c r="CX51" s="284">
        <v>40796.99</v>
      </c>
      <c r="CY51" s="284">
        <v>47384.18</v>
      </c>
      <c r="CZ51" s="284">
        <v>73709.86</v>
      </c>
      <c r="DA51" s="284">
        <v>79462.990000000005</v>
      </c>
      <c r="DB51" s="284">
        <v>87229.19</v>
      </c>
      <c r="DC51" s="284">
        <v>78888.33</v>
      </c>
      <c r="DD51" s="284">
        <v>52341.36</v>
      </c>
      <c r="DE51" s="284">
        <v>40113.07</v>
      </c>
      <c r="DF51" s="20">
        <v>43798</v>
      </c>
      <c r="DG51" s="284">
        <v>53345.82</v>
      </c>
      <c r="DH51" s="284">
        <v>58921.95</v>
      </c>
      <c r="DI51" s="284">
        <v>39704.21</v>
      </c>
      <c r="DJ51" s="284">
        <v>37475.629999999997</v>
      </c>
      <c r="DK51" s="284">
        <v>43994.29</v>
      </c>
      <c r="DL51" s="284">
        <v>64005.61</v>
      </c>
      <c r="DM51" s="275">
        <v>79913.08</v>
      </c>
      <c r="DN51" s="275">
        <v>83820.539999999994</v>
      </c>
      <c r="DO51" s="275">
        <v>74970.649999999994</v>
      </c>
      <c r="DP51" s="284">
        <v>48609.56</v>
      </c>
      <c r="DQ51" s="284">
        <v>35606.199999999997</v>
      </c>
      <c r="DR51" s="284">
        <v>40628.03</v>
      </c>
      <c r="DS51" s="284">
        <v>45564.15</v>
      </c>
      <c r="DT51" s="284">
        <v>39770.51</v>
      </c>
      <c r="DU51" s="284">
        <v>35230.28</v>
      </c>
      <c r="DV51" s="362">
        <v>35324.57</v>
      </c>
      <c r="DW51" s="362">
        <v>41613.42</v>
      </c>
      <c r="DX51" s="362">
        <v>55416.46</v>
      </c>
      <c r="DY51" s="362">
        <v>63753.89</v>
      </c>
      <c r="DZ51" s="362">
        <v>69644.28</v>
      </c>
      <c r="EA51" s="362">
        <v>60414.16</v>
      </c>
      <c r="EB51" s="362">
        <v>41138.51</v>
      </c>
      <c r="EC51" s="362">
        <v>33598.43</v>
      </c>
      <c r="ED51" s="362">
        <v>33885.519999999997</v>
      </c>
      <c r="EE51" s="362">
        <v>45411.88</v>
      </c>
      <c r="EF51" s="362">
        <v>36554.32</v>
      </c>
      <c r="EG51" s="362">
        <v>32287.07</v>
      </c>
      <c r="EH51" s="362">
        <v>29840.9</v>
      </c>
      <c r="EI51" s="362">
        <v>33220.82</v>
      </c>
      <c r="EJ51" s="362">
        <v>48480.88</v>
      </c>
      <c r="EK51" s="362">
        <v>61352.72</v>
      </c>
      <c r="EL51" s="362">
        <v>60890.42</v>
      </c>
      <c r="EM51" s="362">
        <v>58166.39</v>
      </c>
      <c r="EN51" s="362">
        <v>43189.36</v>
      </c>
      <c r="EO51" s="362">
        <v>29560.080000000002</v>
      </c>
      <c r="EP51" s="362">
        <v>41435.5</v>
      </c>
      <c r="EQ51" s="362">
        <v>46783.08</v>
      </c>
      <c r="ER51" s="362">
        <v>45061.43</v>
      </c>
      <c r="ES51" s="362">
        <v>35036.82</v>
      </c>
      <c r="ET51" s="362">
        <v>27954.94</v>
      </c>
      <c r="EU51" s="362">
        <v>31965.16</v>
      </c>
      <c r="EV51" s="362">
        <v>43729.23</v>
      </c>
      <c r="EW51" s="362">
        <v>53369.89</v>
      </c>
      <c r="EX51" s="362">
        <v>55078.77</v>
      </c>
      <c r="EY51" s="362">
        <v>52759.67</v>
      </c>
      <c r="EZ51" s="362">
        <v>38182.69</v>
      </c>
      <c r="FA51" s="362">
        <v>29778.1</v>
      </c>
      <c r="FB51" s="362">
        <v>30946.1</v>
      </c>
      <c r="FC51" s="362">
        <v>41282.120000000003</v>
      </c>
      <c r="FD51" s="362">
        <v>36621.919999999998</v>
      </c>
      <c r="FE51" s="362">
        <v>37482.93</v>
      </c>
      <c r="FF51" s="362">
        <v>27313</v>
      </c>
      <c r="FG51" s="362">
        <v>29091</v>
      </c>
      <c r="FH51" s="362">
        <v>39756</v>
      </c>
      <c r="FI51" s="362">
        <v>52108.84</v>
      </c>
      <c r="FJ51" s="362">
        <v>57842</v>
      </c>
      <c r="FK51" s="362">
        <v>48074.720000000001</v>
      </c>
      <c r="FL51" s="362">
        <v>37413.1</v>
      </c>
      <c r="FM51" s="362">
        <v>26477.25</v>
      </c>
      <c r="FN51" s="362">
        <v>27555.4</v>
      </c>
      <c r="FO51" s="362">
        <v>34753.81</v>
      </c>
      <c r="FP51" s="362">
        <v>30949.72</v>
      </c>
      <c r="FQ51" s="362">
        <v>24816.2</v>
      </c>
      <c r="FR51" s="362">
        <v>24272.13</v>
      </c>
      <c r="FS51" s="362">
        <v>28584.48</v>
      </c>
      <c r="FT51" s="362">
        <v>36538.230000000003</v>
      </c>
      <c r="FU51" s="339"/>
    </row>
    <row r="52" spans="2:177" ht="14.4" thickBot="1" x14ac:dyDescent="0.35">
      <c r="B52" s="5" t="s">
        <v>8</v>
      </c>
      <c r="C52" s="210">
        <v>2061.377</v>
      </c>
      <c r="D52" s="92">
        <v>2181.962</v>
      </c>
      <c r="E52" s="92">
        <v>2681.9369999999999</v>
      </c>
      <c r="F52" s="92">
        <v>3454.1489999999994</v>
      </c>
      <c r="G52" s="92">
        <v>5005.9590000000007</v>
      </c>
      <c r="H52" s="92">
        <v>4774.8150000000005</v>
      </c>
      <c r="I52" s="92">
        <v>7492.7129999999997</v>
      </c>
      <c r="J52" s="92">
        <v>10655.96</v>
      </c>
      <c r="K52" s="92">
        <v>11105.63</v>
      </c>
      <c r="L52" s="92">
        <v>9782.2199999999993</v>
      </c>
      <c r="M52" s="92">
        <v>7750.78</v>
      </c>
      <c r="N52" s="93">
        <v>10210.06</v>
      </c>
      <c r="O52" s="210">
        <v>11911</v>
      </c>
      <c r="P52" s="92">
        <v>12564</v>
      </c>
      <c r="Q52" s="92">
        <v>11497</v>
      </c>
      <c r="R52" s="92">
        <v>9014.81</v>
      </c>
      <c r="S52" s="92">
        <v>12284.33</v>
      </c>
      <c r="T52" s="92">
        <v>17682.91</v>
      </c>
      <c r="U52" s="92">
        <v>27272.25</v>
      </c>
      <c r="V52" s="92">
        <v>33061.769999999997</v>
      </c>
      <c r="W52" s="92">
        <v>31142.69</v>
      </c>
      <c r="X52" s="92">
        <v>25902.19</v>
      </c>
      <c r="Y52" s="92">
        <v>22714.14</v>
      </c>
      <c r="Z52" s="93">
        <v>24497.38</v>
      </c>
      <c r="AA52" s="210">
        <v>29494.93</v>
      </c>
      <c r="AB52" s="92">
        <v>29936.240000000002</v>
      </c>
      <c r="AC52" s="92">
        <v>25978.89</v>
      </c>
      <c r="AD52" s="92">
        <v>25420.71</v>
      </c>
      <c r="AE52" s="92">
        <v>31525.09</v>
      </c>
      <c r="AF52" s="92">
        <v>50557.26</v>
      </c>
      <c r="AG52" s="92">
        <v>56963.7</v>
      </c>
      <c r="AH52" s="92">
        <v>60965.49</v>
      </c>
      <c r="AI52" s="92">
        <v>61133.26</v>
      </c>
      <c r="AJ52" s="92">
        <v>50534.559999999998</v>
      </c>
      <c r="AK52" s="92">
        <v>42019.09</v>
      </c>
      <c r="AL52" s="93">
        <v>40015.68</v>
      </c>
      <c r="AM52" s="210">
        <v>46097.46</v>
      </c>
      <c r="AN52" s="92">
        <v>44420.84</v>
      </c>
      <c r="AO52" s="92">
        <v>38246.080000000002</v>
      </c>
      <c r="AP52" s="92">
        <v>37160.65</v>
      </c>
      <c r="AQ52" s="92">
        <v>44992.07</v>
      </c>
      <c r="AR52" s="92">
        <v>71239.14</v>
      </c>
      <c r="AS52" s="92">
        <v>85516.86</v>
      </c>
      <c r="AT52" s="92">
        <v>85683.41</v>
      </c>
      <c r="AU52" s="92">
        <v>85758.65</v>
      </c>
      <c r="AV52" s="92">
        <v>76744.5</v>
      </c>
      <c r="AW52" s="92">
        <v>49681.43</v>
      </c>
      <c r="AX52" s="93">
        <v>56591.92</v>
      </c>
      <c r="AY52" s="210">
        <v>55148.72</v>
      </c>
      <c r="AZ52" s="92">
        <v>50352.87</v>
      </c>
      <c r="BA52" s="92">
        <v>52945.67</v>
      </c>
      <c r="BB52" s="92">
        <v>55162.29</v>
      </c>
      <c r="BC52" s="92">
        <v>67854.48</v>
      </c>
      <c r="BD52" s="92">
        <v>91543.49</v>
      </c>
      <c r="BE52" s="92">
        <v>103696.54</v>
      </c>
      <c r="BF52" s="92">
        <v>117584.88</v>
      </c>
      <c r="BG52" s="92">
        <v>105106.9</v>
      </c>
      <c r="BH52" s="92">
        <f>81978.8</f>
        <v>81978.8</v>
      </c>
      <c r="BI52" s="92">
        <v>60268.86</v>
      </c>
      <c r="BJ52" s="93">
        <v>66825.08</v>
      </c>
      <c r="BK52" s="210">
        <v>76299.77</v>
      </c>
      <c r="BL52" s="92">
        <v>80825.64</v>
      </c>
      <c r="BM52" s="92">
        <v>61238.71</v>
      </c>
      <c r="BN52" s="92">
        <v>60387.58</v>
      </c>
      <c r="BO52" s="92">
        <v>75512.95</v>
      </c>
      <c r="BP52" s="92">
        <v>99637.31</v>
      </c>
      <c r="BQ52" s="92">
        <v>114147.31</v>
      </c>
      <c r="BR52" s="92">
        <v>130652.97</v>
      </c>
      <c r="BS52" s="92">
        <v>128943.25</v>
      </c>
      <c r="BT52" s="92">
        <v>110878.96</v>
      </c>
      <c r="BU52" s="92">
        <v>76210.58</v>
      </c>
      <c r="BV52" s="93">
        <v>84368.89</v>
      </c>
      <c r="BW52" s="210">
        <v>101166.38</v>
      </c>
      <c r="BX52" s="92">
        <v>92656.73</v>
      </c>
      <c r="BY52" s="92">
        <v>78538.149999999994</v>
      </c>
      <c r="BZ52" s="92">
        <v>81410.95</v>
      </c>
      <c r="CA52" s="92">
        <v>92335.3</v>
      </c>
      <c r="CB52" s="92">
        <v>143395.35</v>
      </c>
      <c r="CC52" s="92">
        <v>165661.23000000001</v>
      </c>
      <c r="CD52" s="92">
        <v>178384.3</v>
      </c>
      <c r="CE52" s="92">
        <v>148269.12</v>
      </c>
      <c r="CF52" s="92">
        <v>133009.41</v>
      </c>
      <c r="CG52" s="92">
        <v>95834.33</v>
      </c>
      <c r="CH52" s="93">
        <v>112885.19</v>
      </c>
      <c r="CI52" s="210">
        <v>133421.74</v>
      </c>
      <c r="CJ52" s="92">
        <v>123377.95</v>
      </c>
      <c r="CK52" s="92">
        <v>108548.53</v>
      </c>
      <c r="CL52" s="92">
        <v>97618.89</v>
      </c>
      <c r="CM52" s="92">
        <v>124219.33</v>
      </c>
      <c r="CN52" s="92">
        <v>168362.07</v>
      </c>
      <c r="CO52" s="92">
        <v>226290.15</v>
      </c>
      <c r="CP52" s="92">
        <v>223292.11</v>
      </c>
      <c r="CQ52" s="92">
        <v>195802.58</v>
      </c>
      <c r="CR52" s="92">
        <v>147140.81</v>
      </c>
      <c r="CS52" s="92">
        <v>110026.88</v>
      </c>
      <c r="CT52" s="93">
        <v>128434.32</v>
      </c>
      <c r="CU52" s="286">
        <v>168485.8</v>
      </c>
      <c r="CV52" s="287">
        <v>153860.07999999999</v>
      </c>
      <c r="CW52" s="287">
        <v>133485.76999999999</v>
      </c>
      <c r="CX52" s="287">
        <v>105118.57</v>
      </c>
      <c r="CY52" s="287">
        <v>129510.83</v>
      </c>
      <c r="CZ52" s="287">
        <v>203592.43</v>
      </c>
      <c r="DA52" s="287">
        <v>220223.49</v>
      </c>
      <c r="DB52" s="287">
        <v>245430.54</v>
      </c>
      <c r="DC52" s="287">
        <v>227573.38</v>
      </c>
      <c r="DD52" s="287">
        <v>155502.87</v>
      </c>
      <c r="DE52" s="287">
        <v>123119.91</v>
      </c>
      <c r="DF52" s="296">
        <v>130312.16</v>
      </c>
      <c r="DG52" s="286">
        <v>157905.09</v>
      </c>
      <c r="DH52" s="287">
        <v>173606.63</v>
      </c>
      <c r="DI52" s="287">
        <v>120642.99</v>
      </c>
      <c r="DJ52" s="287">
        <v>126072.84</v>
      </c>
      <c r="DK52" s="287">
        <v>148569.54999999999</v>
      </c>
      <c r="DL52" s="287">
        <v>219214.97</v>
      </c>
      <c r="DM52" s="287">
        <v>266465.17</v>
      </c>
      <c r="DN52" s="287">
        <v>278539.59999999998</v>
      </c>
      <c r="DO52" s="287">
        <v>255289.34</v>
      </c>
      <c r="DP52" s="287">
        <v>174030.18</v>
      </c>
      <c r="DQ52" s="287">
        <v>128007</v>
      </c>
      <c r="DR52" s="287">
        <v>142505.74</v>
      </c>
      <c r="DS52" s="287">
        <v>157422.87</v>
      </c>
      <c r="DT52" s="287">
        <v>139137.96</v>
      </c>
      <c r="DU52" s="287">
        <v>127916.69</v>
      </c>
      <c r="DV52" s="367">
        <v>152816.31</v>
      </c>
      <c r="DW52" s="367">
        <v>164436.51999999999</v>
      </c>
      <c r="DX52" s="367">
        <v>218438.87</v>
      </c>
      <c r="DY52" s="367">
        <v>249889.05</v>
      </c>
      <c r="DZ52" s="370">
        <v>273354.93</v>
      </c>
      <c r="EA52" s="112">
        <v>243126.98</v>
      </c>
      <c r="EB52" s="367">
        <v>170905.3</v>
      </c>
      <c r="EC52" s="367">
        <v>140537.26999999999</v>
      </c>
      <c r="ED52" s="367">
        <v>138459.62</v>
      </c>
      <c r="EE52" s="367">
        <v>179984.55</v>
      </c>
      <c r="EF52" s="367">
        <v>145698.88</v>
      </c>
      <c r="EG52" s="367">
        <v>132432.74</v>
      </c>
      <c r="EH52" s="367">
        <v>127511.91</v>
      </c>
      <c r="EI52" s="367">
        <v>142958.91</v>
      </c>
      <c r="EJ52" s="367">
        <v>214984.45</v>
      </c>
      <c r="EK52" s="367">
        <v>269285.78999999998</v>
      </c>
      <c r="EL52" s="367">
        <v>266277.21000000002</v>
      </c>
      <c r="EM52" s="367">
        <v>255754.4</v>
      </c>
      <c r="EN52" s="367">
        <v>194497.96</v>
      </c>
      <c r="EO52" s="367">
        <v>133354.73000000001</v>
      </c>
      <c r="EP52" s="367">
        <v>180176.97</v>
      </c>
      <c r="EQ52" s="367">
        <v>200635.3</v>
      </c>
      <c r="ER52" s="367">
        <v>194911.09</v>
      </c>
      <c r="ES52" s="367">
        <v>154512.23000000001</v>
      </c>
      <c r="ET52" s="367">
        <v>148886.04</v>
      </c>
      <c r="EU52" s="367">
        <v>138472.92000000001</v>
      </c>
      <c r="EV52" s="367">
        <v>214725.05</v>
      </c>
      <c r="EW52" s="367">
        <v>256797.84</v>
      </c>
      <c r="EX52" s="367">
        <v>266498.77</v>
      </c>
      <c r="EY52" s="367">
        <v>259038.77</v>
      </c>
      <c r="EZ52" s="367">
        <v>193399.42</v>
      </c>
      <c r="FA52" s="510">
        <v>150303.18</v>
      </c>
      <c r="FB52" s="510">
        <v>151054.12</v>
      </c>
      <c r="FC52" s="510">
        <v>201252.46</v>
      </c>
      <c r="FD52" s="510">
        <v>179219.51</v>
      </c>
      <c r="FE52" s="510">
        <v>185942.6</v>
      </c>
      <c r="FF52" s="510">
        <v>147370</v>
      </c>
      <c r="FG52" s="510">
        <v>160652</v>
      </c>
      <c r="FH52" s="510">
        <v>218628</v>
      </c>
      <c r="FI52" s="510">
        <v>280344.34999999998</v>
      </c>
      <c r="FJ52" s="510">
        <v>307465.71999999997</v>
      </c>
      <c r="FK52" s="510">
        <v>259652.69</v>
      </c>
      <c r="FL52" s="510">
        <v>209053.69</v>
      </c>
      <c r="FM52" s="510">
        <v>150125.35</v>
      </c>
      <c r="FN52" s="510">
        <v>153022.95000000001</v>
      </c>
      <c r="FO52" s="510">
        <v>190096.15</v>
      </c>
      <c r="FP52" s="510">
        <v>168570.7</v>
      </c>
      <c r="FQ52" s="510">
        <v>140722.79999999999</v>
      </c>
      <c r="FR52" s="367">
        <v>143476</v>
      </c>
      <c r="FS52" s="276">
        <v>174135</v>
      </c>
      <c r="FT52" s="92">
        <v>220344</v>
      </c>
      <c r="FU52" s="339"/>
    </row>
    <row r="53" spans="2:177" ht="14.4" thickTop="1" x14ac:dyDescent="0.3">
      <c r="B53" s="3" t="s">
        <v>9</v>
      </c>
      <c r="C53" s="115">
        <f t="shared" ref="C53:Q53" si="262">SUM(C51:C52)</f>
        <v>184810.57700000002</v>
      </c>
      <c r="D53" s="94">
        <f t="shared" si="262"/>
        <v>165892.86900000001</v>
      </c>
      <c r="E53" s="94">
        <f t="shared" si="262"/>
        <v>156286.177</v>
      </c>
      <c r="F53" s="94">
        <f t="shared" si="262"/>
        <v>147920.943</v>
      </c>
      <c r="G53" s="94">
        <f t="shared" si="262"/>
        <v>197520.46100000001</v>
      </c>
      <c r="H53" s="94">
        <f t="shared" si="262"/>
        <v>210621.37299999999</v>
      </c>
      <c r="I53" s="94">
        <f t="shared" si="262"/>
        <v>246852.39799999999</v>
      </c>
      <c r="J53" s="94">
        <f t="shared" si="262"/>
        <v>277343.75</v>
      </c>
      <c r="K53" s="94">
        <f t="shared" si="262"/>
        <v>270504.76</v>
      </c>
      <c r="L53" s="94">
        <f t="shared" si="262"/>
        <v>210870.74</v>
      </c>
      <c r="M53" s="94">
        <f t="shared" si="262"/>
        <v>143260.16</v>
      </c>
      <c r="N53" s="107">
        <f t="shared" si="262"/>
        <v>163264.78</v>
      </c>
      <c r="O53" s="115">
        <f t="shared" si="262"/>
        <v>186725</v>
      </c>
      <c r="P53" s="94">
        <f t="shared" si="262"/>
        <v>190240</v>
      </c>
      <c r="Q53" s="94">
        <f t="shared" si="262"/>
        <v>167999</v>
      </c>
      <c r="R53" s="94">
        <f>SUM(R51:R52)</f>
        <v>134521.59</v>
      </c>
      <c r="S53" s="94">
        <f>SUM(S51:S52)</f>
        <v>183607.87999999998</v>
      </c>
      <c r="T53" s="94">
        <f>SUM(T51:T52)</f>
        <v>238808.37</v>
      </c>
      <c r="U53" s="94">
        <f t="shared" ref="U53:Z53" si="263">SUM(U51:U52)</f>
        <v>273233.37</v>
      </c>
      <c r="V53" s="94">
        <f t="shared" si="263"/>
        <v>298372.80000000005</v>
      </c>
      <c r="W53" s="94">
        <f t="shared" si="263"/>
        <v>256916.68</v>
      </c>
      <c r="X53" s="94">
        <f t="shared" si="263"/>
        <v>192391.41</v>
      </c>
      <c r="Y53" s="94">
        <f t="shared" si="263"/>
        <v>157708.53999999998</v>
      </c>
      <c r="Z53" s="107">
        <f t="shared" si="263"/>
        <v>161915.07</v>
      </c>
      <c r="AA53" s="115">
        <f t="shared" ref="AA53:AF53" si="264">SUM(AA51:AA52)</f>
        <v>185078.88</v>
      </c>
      <c r="AB53" s="94">
        <f t="shared" si="264"/>
        <v>186344.52</v>
      </c>
      <c r="AC53" s="94">
        <f t="shared" si="264"/>
        <v>156085.49</v>
      </c>
      <c r="AD53" s="94">
        <f t="shared" si="264"/>
        <v>142066.98000000001</v>
      </c>
      <c r="AE53" s="94">
        <f t="shared" si="264"/>
        <v>165024.1</v>
      </c>
      <c r="AF53" s="94">
        <f t="shared" si="264"/>
        <v>244080.99000000002</v>
      </c>
      <c r="AG53" s="94">
        <f t="shared" ref="AG53:AL53" si="265">SUM(AG51:AG52)</f>
        <v>266098.56</v>
      </c>
      <c r="AH53" s="94">
        <f t="shared" si="265"/>
        <v>280136.74</v>
      </c>
      <c r="AI53" s="94">
        <f t="shared" si="265"/>
        <v>263057.58</v>
      </c>
      <c r="AJ53" s="94">
        <f t="shared" si="265"/>
        <v>210912.11</v>
      </c>
      <c r="AK53" s="94">
        <f t="shared" si="265"/>
        <v>173154.88999999998</v>
      </c>
      <c r="AL53" s="107">
        <f t="shared" si="265"/>
        <v>166564.23000000001</v>
      </c>
      <c r="AM53" s="115">
        <f t="shared" ref="AM53:AR53" si="266">SUM(AM51:AM52)</f>
        <v>189774.12</v>
      </c>
      <c r="AN53" s="94">
        <f t="shared" si="266"/>
        <v>180699.69999999998</v>
      </c>
      <c r="AO53" s="94">
        <f t="shared" si="266"/>
        <v>151503.26</v>
      </c>
      <c r="AP53" s="94">
        <f t="shared" si="266"/>
        <v>140781.68</v>
      </c>
      <c r="AQ53" s="94">
        <f t="shared" si="266"/>
        <v>163254.32</v>
      </c>
      <c r="AR53" s="94">
        <f t="shared" si="266"/>
        <v>253185.69</v>
      </c>
      <c r="AS53" s="94">
        <f t="shared" ref="AS53:AX53" si="267">SUM(AS51:AS52)</f>
        <v>301320.53999999998</v>
      </c>
      <c r="AT53" s="94">
        <f t="shared" si="267"/>
        <v>294012.40000000002</v>
      </c>
      <c r="AU53" s="94">
        <f t="shared" si="267"/>
        <v>287150.24</v>
      </c>
      <c r="AV53" s="94">
        <f t="shared" si="267"/>
        <v>247458.11</v>
      </c>
      <c r="AW53" s="94">
        <f t="shared" si="267"/>
        <v>157559.5</v>
      </c>
      <c r="AX53" s="107">
        <f t="shared" si="267"/>
        <v>180883.27000000002</v>
      </c>
      <c r="AY53" s="115">
        <f t="shared" ref="AY53:BJ53" si="268">SUM(AY51:AY52)</f>
        <v>174059.72</v>
      </c>
      <c r="AZ53" s="94">
        <f t="shared" si="268"/>
        <v>154675.87</v>
      </c>
      <c r="BA53" s="94">
        <f t="shared" si="268"/>
        <v>159078.66999999998</v>
      </c>
      <c r="BB53" s="94">
        <f t="shared" si="268"/>
        <v>158432.65</v>
      </c>
      <c r="BC53" s="94">
        <f t="shared" si="268"/>
        <v>189118.26</v>
      </c>
      <c r="BD53" s="94">
        <f t="shared" si="268"/>
        <v>253848.57</v>
      </c>
      <c r="BE53" s="94">
        <f t="shared" si="268"/>
        <v>282157.57</v>
      </c>
      <c r="BF53" s="94">
        <f t="shared" si="268"/>
        <v>319074.66000000003</v>
      </c>
      <c r="BG53" s="94">
        <f t="shared" si="268"/>
        <v>279776.39</v>
      </c>
      <c r="BH53" s="94">
        <f t="shared" si="268"/>
        <v>212459.38</v>
      </c>
      <c r="BI53" s="94">
        <f t="shared" si="268"/>
        <v>155462.03999999998</v>
      </c>
      <c r="BJ53" s="107">
        <f t="shared" si="268"/>
        <v>174931.44</v>
      </c>
      <c r="BK53" s="115">
        <f t="shared" ref="BK53:BP53" si="269">SUM(BK51:BK52)</f>
        <v>198388.61</v>
      </c>
      <c r="BL53" s="94">
        <f t="shared" si="269"/>
        <v>209629.16</v>
      </c>
      <c r="BM53" s="94">
        <f t="shared" si="269"/>
        <v>154273.26</v>
      </c>
      <c r="BN53" s="94">
        <f t="shared" si="269"/>
        <v>142350.71000000002</v>
      </c>
      <c r="BO53" s="94">
        <f t="shared" si="269"/>
        <v>175423.88</v>
      </c>
      <c r="BP53" s="94">
        <f t="shared" si="269"/>
        <v>225534.78</v>
      </c>
      <c r="BQ53" s="94">
        <f t="shared" ref="BQ53:BV53" si="270">SUM(BQ51:BQ52)</f>
        <v>256129.04</v>
      </c>
      <c r="BR53" s="94">
        <f t="shared" si="270"/>
        <v>287984.14</v>
      </c>
      <c r="BS53" s="94">
        <f t="shared" si="270"/>
        <v>280583.82999999996</v>
      </c>
      <c r="BT53" s="94">
        <f t="shared" si="270"/>
        <v>234676.78000000003</v>
      </c>
      <c r="BU53" s="94">
        <f t="shared" si="270"/>
        <v>158429.81</v>
      </c>
      <c r="BV53" s="107">
        <f t="shared" si="270"/>
        <v>173685.93</v>
      </c>
      <c r="BW53" s="115">
        <f t="shared" ref="BW53:CB53" si="271">SUM(BW51:BW52)</f>
        <v>208234</v>
      </c>
      <c r="BX53" s="94">
        <f t="shared" si="271"/>
        <v>187070.28</v>
      </c>
      <c r="BY53" s="94">
        <f t="shared" si="271"/>
        <v>157734.90999999997</v>
      </c>
      <c r="BZ53" s="94">
        <f t="shared" si="271"/>
        <v>155271.56</v>
      </c>
      <c r="CA53" s="94">
        <f t="shared" si="271"/>
        <v>171776.64000000001</v>
      </c>
      <c r="CB53" s="94">
        <f t="shared" si="271"/>
        <v>263539.38</v>
      </c>
      <c r="CC53" s="94">
        <f t="shared" ref="CC53:DK53" si="272">SUM(CC51:CC52)</f>
        <v>299783.29000000004</v>
      </c>
      <c r="CD53" s="94">
        <f t="shared" si="272"/>
        <v>310762.84999999998</v>
      </c>
      <c r="CE53" s="94">
        <f t="shared" si="272"/>
        <v>243885.36</v>
      </c>
      <c r="CF53" s="94">
        <f t="shared" si="272"/>
        <v>202512.93</v>
      </c>
      <c r="CG53" s="94">
        <f t="shared" si="272"/>
        <v>144050.49</v>
      </c>
      <c r="CH53" s="107">
        <f t="shared" si="272"/>
        <v>170256.71</v>
      </c>
      <c r="CI53" s="115">
        <f t="shared" si="272"/>
        <v>200534.56</v>
      </c>
      <c r="CJ53" s="94">
        <f t="shared" si="272"/>
        <v>185352.31</v>
      </c>
      <c r="CK53" s="94">
        <f t="shared" si="272"/>
        <v>160995.41</v>
      </c>
      <c r="CL53" s="94">
        <f t="shared" si="272"/>
        <v>143521.35999999999</v>
      </c>
      <c r="CM53" s="94">
        <f t="shared" si="272"/>
        <v>179679.04</v>
      </c>
      <c r="CN53" s="94">
        <f t="shared" si="272"/>
        <v>242691.7</v>
      </c>
      <c r="CO53" s="94">
        <f t="shared" si="272"/>
        <v>326621.78000000003</v>
      </c>
      <c r="CP53" s="94">
        <f t="shared" si="272"/>
        <v>321732.62</v>
      </c>
      <c r="CQ53" s="94">
        <f t="shared" si="272"/>
        <v>279684.03999999998</v>
      </c>
      <c r="CR53" s="94">
        <f t="shared" si="272"/>
        <v>207637.66999999998</v>
      </c>
      <c r="CS53" s="94">
        <f t="shared" si="272"/>
        <v>155326.93</v>
      </c>
      <c r="CT53" s="96">
        <f t="shared" si="272"/>
        <v>183413.71000000002</v>
      </c>
      <c r="CU53" s="94">
        <f t="shared" si="272"/>
        <v>241233.24</v>
      </c>
      <c r="CV53" s="94">
        <f t="shared" si="272"/>
        <v>219581.08999999997</v>
      </c>
      <c r="CW53" s="94">
        <f t="shared" si="272"/>
        <v>189676.58</v>
      </c>
      <c r="CX53" s="94">
        <f t="shared" si="272"/>
        <v>145915.56</v>
      </c>
      <c r="CY53" s="94">
        <f t="shared" si="272"/>
        <v>176895.01</v>
      </c>
      <c r="CZ53" s="94">
        <f t="shared" si="272"/>
        <v>277302.28999999998</v>
      </c>
      <c r="DA53" s="94">
        <f t="shared" si="272"/>
        <v>299686.48</v>
      </c>
      <c r="DB53" s="94">
        <f t="shared" si="272"/>
        <v>332659.73</v>
      </c>
      <c r="DC53" s="94">
        <f t="shared" si="272"/>
        <v>306461.71000000002</v>
      </c>
      <c r="DD53" s="94">
        <f t="shared" si="272"/>
        <v>207844.22999999998</v>
      </c>
      <c r="DE53" s="94">
        <f t="shared" si="272"/>
        <v>163232.98000000001</v>
      </c>
      <c r="DF53" s="107">
        <f t="shared" si="272"/>
        <v>174110.16</v>
      </c>
      <c r="DG53" s="94">
        <f t="shared" si="272"/>
        <v>211250.91</v>
      </c>
      <c r="DH53" s="94">
        <f t="shared" si="272"/>
        <v>232528.58000000002</v>
      </c>
      <c r="DI53" s="94">
        <f t="shared" si="272"/>
        <v>160347.20000000001</v>
      </c>
      <c r="DJ53" s="94">
        <f t="shared" si="272"/>
        <v>163548.47</v>
      </c>
      <c r="DK53" s="94">
        <f t="shared" si="272"/>
        <v>192563.84</v>
      </c>
      <c r="DL53" s="94">
        <f t="shared" ref="DL53:DR53" si="273">SUM(DL51:DL52)</f>
        <v>283220.58</v>
      </c>
      <c r="DM53" s="94">
        <f t="shared" si="273"/>
        <v>346378.25</v>
      </c>
      <c r="DN53" s="94">
        <f t="shared" si="273"/>
        <v>362360.13999999996</v>
      </c>
      <c r="DO53" s="94">
        <f t="shared" si="273"/>
        <v>330259.99</v>
      </c>
      <c r="DP53" s="94">
        <f t="shared" si="273"/>
        <v>222639.74</v>
      </c>
      <c r="DQ53" s="94">
        <f t="shared" si="273"/>
        <v>163613.20000000001</v>
      </c>
      <c r="DR53" s="94">
        <f t="shared" si="273"/>
        <v>183133.77</v>
      </c>
      <c r="DS53" s="94">
        <f t="shared" ref="DS53:FH53" si="274">SUM(DS51:DS52)</f>
        <v>202987.02</v>
      </c>
      <c r="DT53" s="94">
        <f t="shared" si="274"/>
        <v>178908.47</v>
      </c>
      <c r="DU53" s="94">
        <f t="shared" si="274"/>
        <v>163146.97</v>
      </c>
      <c r="DV53" s="358">
        <f t="shared" si="274"/>
        <v>188140.88</v>
      </c>
      <c r="DW53" s="358">
        <f t="shared" si="274"/>
        <v>206049.94</v>
      </c>
      <c r="DX53" s="358">
        <f t="shared" si="274"/>
        <v>273855.33</v>
      </c>
      <c r="DY53" s="358">
        <f t="shared" si="274"/>
        <v>313642.94</v>
      </c>
      <c r="DZ53" s="358">
        <f t="shared" si="274"/>
        <v>342999.20999999996</v>
      </c>
      <c r="EA53" s="358">
        <f t="shared" si="274"/>
        <v>303541.14</v>
      </c>
      <c r="EB53" s="358">
        <f t="shared" si="274"/>
        <v>212043.81</v>
      </c>
      <c r="EC53" s="358">
        <f t="shared" si="274"/>
        <v>174135.69999999998</v>
      </c>
      <c r="ED53" s="358">
        <f t="shared" si="274"/>
        <v>172345.13999999998</v>
      </c>
      <c r="EE53" s="358">
        <f t="shared" si="274"/>
        <v>225396.43</v>
      </c>
      <c r="EF53" s="358">
        <f t="shared" si="274"/>
        <v>182253.2</v>
      </c>
      <c r="EG53" s="358">
        <f t="shared" si="274"/>
        <v>164719.81</v>
      </c>
      <c r="EH53" s="358">
        <f t="shared" si="274"/>
        <v>157352.81</v>
      </c>
      <c r="EI53" s="358">
        <f t="shared" si="274"/>
        <v>176179.73</v>
      </c>
      <c r="EJ53" s="358">
        <f t="shared" si="274"/>
        <v>263465.33</v>
      </c>
      <c r="EK53" s="358">
        <f t="shared" si="274"/>
        <v>330638.51</v>
      </c>
      <c r="EL53" s="358">
        <f t="shared" si="274"/>
        <v>327167.63</v>
      </c>
      <c r="EM53" s="358">
        <f t="shared" si="274"/>
        <v>313920.78999999998</v>
      </c>
      <c r="EN53" s="358">
        <f t="shared" si="274"/>
        <v>237687.32</v>
      </c>
      <c r="EO53" s="358">
        <f t="shared" si="274"/>
        <v>162914.81</v>
      </c>
      <c r="EP53" s="358">
        <f t="shared" si="274"/>
        <v>221612.47</v>
      </c>
      <c r="EQ53" s="358">
        <f t="shared" si="274"/>
        <v>247418.38</v>
      </c>
      <c r="ER53" s="358">
        <f t="shared" si="274"/>
        <v>239972.52</v>
      </c>
      <c r="ES53" s="358">
        <f t="shared" si="274"/>
        <v>189549.05000000002</v>
      </c>
      <c r="ET53" s="358">
        <f t="shared" si="274"/>
        <v>176840.98</v>
      </c>
      <c r="EU53" s="358">
        <f t="shared" si="274"/>
        <v>170438.08000000002</v>
      </c>
      <c r="EV53" s="358">
        <f t="shared" si="274"/>
        <v>258454.28</v>
      </c>
      <c r="EW53" s="358">
        <f t="shared" si="274"/>
        <v>310167.73</v>
      </c>
      <c r="EX53" s="358">
        <f t="shared" si="274"/>
        <v>321577.54000000004</v>
      </c>
      <c r="EY53" s="358">
        <f t="shared" si="274"/>
        <v>311798.44</v>
      </c>
      <c r="EZ53" s="358">
        <f t="shared" si="274"/>
        <v>231582.11000000002</v>
      </c>
      <c r="FA53" s="358">
        <f t="shared" si="274"/>
        <v>180081.28</v>
      </c>
      <c r="FB53" s="358">
        <f t="shared" si="274"/>
        <v>182000.22</v>
      </c>
      <c r="FC53" s="358">
        <f t="shared" si="274"/>
        <v>242534.58</v>
      </c>
      <c r="FD53" s="358">
        <f t="shared" si="274"/>
        <v>215841.43</v>
      </c>
      <c r="FE53" s="358">
        <f t="shared" si="274"/>
        <v>223425.53</v>
      </c>
      <c r="FF53" s="358">
        <f t="shared" si="274"/>
        <v>174683</v>
      </c>
      <c r="FG53" s="358">
        <f t="shared" si="274"/>
        <v>189743</v>
      </c>
      <c r="FH53" s="358">
        <f t="shared" si="274"/>
        <v>258384</v>
      </c>
      <c r="FI53" s="358">
        <f t="shared" ref="FI53:FK53" si="275">SUM(FI51:FI52)</f>
        <v>332453.18999999994</v>
      </c>
      <c r="FJ53" s="358">
        <f t="shared" si="275"/>
        <v>365307.72</v>
      </c>
      <c r="FK53" s="358">
        <f t="shared" si="275"/>
        <v>307727.41000000003</v>
      </c>
      <c r="FL53" s="358">
        <f t="shared" ref="FL53:FT53" si="276">SUM(FL51:FL52)</f>
        <v>246466.79</v>
      </c>
      <c r="FM53" s="358">
        <f t="shared" si="276"/>
        <v>176602.6</v>
      </c>
      <c r="FN53" s="358">
        <f t="shared" si="276"/>
        <v>180578.35</v>
      </c>
      <c r="FO53" s="358">
        <f t="shared" si="276"/>
        <v>224849.96</v>
      </c>
      <c r="FP53" s="358">
        <f t="shared" si="276"/>
        <v>199520.42</v>
      </c>
      <c r="FQ53" s="358">
        <f t="shared" si="276"/>
        <v>165539</v>
      </c>
      <c r="FR53" s="358">
        <f t="shared" si="276"/>
        <v>167748.13</v>
      </c>
      <c r="FS53" s="358">
        <f t="shared" si="276"/>
        <v>202719.48</v>
      </c>
      <c r="FT53" s="358">
        <f t="shared" si="276"/>
        <v>256882.23</v>
      </c>
      <c r="FU53" s="339"/>
    </row>
    <row r="54" spans="2:177" ht="13.8" x14ac:dyDescent="0.3">
      <c r="B54" s="3" t="s">
        <v>10</v>
      </c>
      <c r="C54" s="248">
        <f t="shared" ref="C54:H54" si="277">SUM(C51)/C53</f>
        <v>0.98884600095155806</v>
      </c>
      <c r="D54" s="240">
        <f t="shared" si="277"/>
        <v>0.98684716218874968</v>
      </c>
      <c r="E54" s="240">
        <f t="shared" si="277"/>
        <v>0.98283957640092501</v>
      </c>
      <c r="F54" s="240">
        <f t="shared" si="277"/>
        <v>0.97664868185703757</v>
      </c>
      <c r="G54" s="240">
        <f t="shared" si="277"/>
        <v>0.97465599779052758</v>
      </c>
      <c r="H54" s="240">
        <f t="shared" si="277"/>
        <v>0.9773298648091141</v>
      </c>
      <c r="I54" s="240">
        <f t="shared" ref="I54:Q54" si="278">SUM(I51)/I53</f>
        <v>0.96964699123562903</v>
      </c>
      <c r="J54" s="240">
        <f t="shared" si="278"/>
        <v>0.96157851042253517</v>
      </c>
      <c r="K54" s="240">
        <f t="shared" si="278"/>
        <v>0.95894478899373159</v>
      </c>
      <c r="L54" s="240">
        <f t="shared" si="278"/>
        <v>0.9536103491646114</v>
      </c>
      <c r="M54" s="240">
        <f t="shared" si="278"/>
        <v>0.9458971705741499</v>
      </c>
      <c r="N54" s="241">
        <f t="shared" si="278"/>
        <v>0.93746318097510073</v>
      </c>
      <c r="O54" s="248">
        <f t="shared" si="278"/>
        <v>0.93621100548935599</v>
      </c>
      <c r="P54" s="240">
        <f t="shared" si="278"/>
        <v>0.93395710681244748</v>
      </c>
      <c r="Q54" s="240">
        <f t="shared" si="278"/>
        <v>0.93156506883969548</v>
      </c>
      <c r="R54" s="240">
        <f>SUM(R51)/R53</f>
        <v>0.93298614742808206</v>
      </c>
      <c r="S54" s="240">
        <f>SUM(S51)/S53</f>
        <v>0.93309475606384651</v>
      </c>
      <c r="T54" s="240">
        <f>SUM(T51)/T53</f>
        <v>0.92595355849545813</v>
      </c>
      <c r="U54" s="240">
        <f t="shared" ref="U54:Z54" si="279">SUM(U51)/U53</f>
        <v>0.90018697203785902</v>
      </c>
      <c r="V54" s="240">
        <f t="shared" si="279"/>
        <v>0.88919308328373092</v>
      </c>
      <c r="W54" s="240">
        <f t="shared" si="279"/>
        <v>0.87878291903818773</v>
      </c>
      <c r="X54" s="240">
        <f t="shared" si="279"/>
        <v>0.86536722195653126</v>
      </c>
      <c r="Y54" s="240">
        <f t="shared" si="279"/>
        <v>0.85597393774617414</v>
      </c>
      <c r="Z54" s="241">
        <f t="shared" si="279"/>
        <v>0.84870228571065065</v>
      </c>
      <c r="AA54" s="248">
        <f t="shared" ref="AA54:AF54" si="280">SUM(AA51)/AA53</f>
        <v>0.84063589535445649</v>
      </c>
      <c r="AB54" s="240">
        <f t="shared" si="280"/>
        <v>0.83935003830539268</v>
      </c>
      <c r="AC54" s="240">
        <f t="shared" si="280"/>
        <v>0.83355986517388647</v>
      </c>
      <c r="AD54" s="240">
        <f t="shared" si="280"/>
        <v>0.82106531721868092</v>
      </c>
      <c r="AE54" s="240">
        <f t="shared" si="280"/>
        <v>0.80896675091698733</v>
      </c>
      <c r="AF54" s="240">
        <f t="shared" si="280"/>
        <v>0.79286686767371761</v>
      </c>
      <c r="AG54" s="240">
        <f t="shared" ref="AG54:AL54" si="281">SUM(AG51)/AG53</f>
        <v>0.78593007042202701</v>
      </c>
      <c r="AH54" s="240">
        <f t="shared" si="281"/>
        <v>0.78237238714207924</v>
      </c>
      <c r="AI54" s="240">
        <f t="shared" si="281"/>
        <v>0.76760502396471519</v>
      </c>
      <c r="AJ54" s="240">
        <f t="shared" si="281"/>
        <v>0.76039991255125183</v>
      </c>
      <c r="AK54" s="240">
        <f t="shared" si="281"/>
        <v>0.75733235139937427</v>
      </c>
      <c r="AL54" s="241">
        <f t="shared" si="281"/>
        <v>0.75975826262337354</v>
      </c>
      <c r="AM54" s="248">
        <f t="shared" ref="AM54:AR54" si="282">SUM(AM51)/AM53</f>
        <v>0.75709301141799523</v>
      </c>
      <c r="AN54" s="240">
        <f t="shared" si="282"/>
        <v>0.7541731391917087</v>
      </c>
      <c r="AO54" s="240">
        <f t="shared" si="282"/>
        <v>0.74755605918974932</v>
      </c>
      <c r="AP54" s="240">
        <f t="shared" si="282"/>
        <v>0.73604058425783814</v>
      </c>
      <c r="AQ54" s="240">
        <f t="shared" si="282"/>
        <v>0.72440502646423077</v>
      </c>
      <c r="AR54" s="240">
        <f t="shared" si="282"/>
        <v>0.71862888459454399</v>
      </c>
      <c r="AS54" s="240">
        <f t="shared" ref="AS54:AX54" si="283">SUM(AS51)/AS53</f>
        <v>0.7161930613824069</v>
      </c>
      <c r="AT54" s="240">
        <f t="shared" si="283"/>
        <v>0.7085721214479388</v>
      </c>
      <c r="AU54" s="240">
        <f t="shared" si="283"/>
        <v>0.70134571365846676</v>
      </c>
      <c r="AV54" s="240">
        <f t="shared" si="283"/>
        <v>0.68986872161918633</v>
      </c>
      <c r="AW54" s="240">
        <f t="shared" si="283"/>
        <v>0.68468146954007858</v>
      </c>
      <c r="AX54" s="241">
        <f t="shared" si="283"/>
        <v>0.68713568700963878</v>
      </c>
      <c r="AY54" s="248">
        <f t="shared" ref="AY54:BJ54" si="284">SUM(AY51)/AY53</f>
        <v>0.68316207793509032</v>
      </c>
      <c r="AZ54" s="240">
        <f t="shared" si="284"/>
        <v>0.67446202177495429</v>
      </c>
      <c r="BA54" s="240">
        <f t="shared" si="284"/>
        <v>0.66717304086085216</v>
      </c>
      <c r="BB54" s="240">
        <f t="shared" si="284"/>
        <v>0.65182498683194412</v>
      </c>
      <c r="BC54" s="240">
        <f t="shared" si="284"/>
        <v>0.64120608977684124</v>
      </c>
      <c r="BD54" s="240">
        <f t="shared" si="284"/>
        <v>0.63937756277295543</v>
      </c>
      <c r="BE54" s="240">
        <f t="shared" si="284"/>
        <v>0.63248712412713226</v>
      </c>
      <c r="BF54" s="240">
        <f t="shared" si="284"/>
        <v>0.63148160997805336</v>
      </c>
      <c r="BG54" s="240">
        <f t="shared" si="284"/>
        <v>0.62431819211049222</v>
      </c>
      <c r="BH54" s="240">
        <f t="shared" si="284"/>
        <v>0.61414365418933259</v>
      </c>
      <c r="BI54" s="240">
        <f t="shared" si="284"/>
        <v>0.61232426899839987</v>
      </c>
      <c r="BJ54" s="241">
        <f t="shared" si="284"/>
        <v>0.61799274047020936</v>
      </c>
      <c r="BK54" s="248">
        <f t="shared" ref="BK54:BP54" si="285">SUM(BK51)/BK53</f>
        <v>0.61540246690573619</v>
      </c>
      <c r="BL54" s="240">
        <f t="shared" si="285"/>
        <v>0.61443512915855791</v>
      </c>
      <c r="BM54" s="240">
        <f t="shared" si="285"/>
        <v>0.60305039253075998</v>
      </c>
      <c r="BN54" s="240">
        <f t="shared" si="285"/>
        <v>0.57578307828601627</v>
      </c>
      <c r="BO54" s="240">
        <f t="shared" si="285"/>
        <v>0.56954007629976022</v>
      </c>
      <c r="BP54" s="240">
        <f t="shared" si="285"/>
        <v>0.55821753966284049</v>
      </c>
      <c r="BQ54" s="240">
        <f t="shared" ref="BQ54:BV54" si="286">SUM(BQ51)/BQ53</f>
        <v>0.5543367124633739</v>
      </c>
      <c r="BR54" s="240">
        <f t="shared" si="286"/>
        <v>0.54631887019889358</v>
      </c>
      <c r="BS54" s="240">
        <f t="shared" si="286"/>
        <v>0.54044661091125601</v>
      </c>
      <c r="BT54" s="240">
        <f t="shared" si="286"/>
        <v>0.5275247938888542</v>
      </c>
      <c r="BU54" s="240">
        <f t="shared" si="286"/>
        <v>0.51896312947670642</v>
      </c>
      <c r="BV54" s="241">
        <f t="shared" si="286"/>
        <v>0.51424453322154529</v>
      </c>
      <c r="BW54" s="248">
        <f t="shared" ref="BW54:CB54" si="287">SUM(BW51)/BW53</f>
        <v>0.51416973212827877</v>
      </c>
      <c r="BX54" s="240">
        <f t="shared" si="287"/>
        <v>0.50469561493145787</v>
      </c>
      <c r="BY54" s="240">
        <f t="shared" si="287"/>
        <v>0.50208771159155574</v>
      </c>
      <c r="BZ54" s="240">
        <f t="shared" si="287"/>
        <v>0.47568666148520694</v>
      </c>
      <c r="CA54" s="240">
        <f t="shared" si="287"/>
        <v>0.46246881997459022</v>
      </c>
      <c r="CB54" s="240">
        <f t="shared" si="287"/>
        <v>0.45588644095618652</v>
      </c>
      <c r="CC54" s="240">
        <f t="shared" ref="CC54:DK54" si="288">SUM(CC51)/CC53</f>
        <v>0.4473967178090546</v>
      </c>
      <c r="CD54" s="240">
        <f t="shared" si="288"/>
        <v>0.42597932796664723</v>
      </c>
      <c r="CE54" s="240">
        <f t="shared" si="288"/>
        <v>0.39205403719190035</v>
      </c>
      <c r="CF54" s="240">
        <f t="shared" si="288"/>
        <v>0.343205344962418</v>
      </c>
      <c r="CG54" s="240">
        <f t="shared" si="288"/>
        <v>0.33471708426677343</v>
      </c>
      <c r="CH54" s="241">
        <f t="shared" si="288"/>
        <v>0.3369706838573352</v>
      </c>
      <c r="CI54" s="248">
        <f t="shared" si="288"/>
        <v>0.3346695951062002</v>
      </c>
      <c r="CJ54" s="240">
        <f t="shared" si="288"/>
        <v>0.33435979298019003</v>
      </c>
      <c r="CK54" s="240">
        <f t="shared" si="288"/>
        <v>0.32576630600835138</v>
      </c>
      <c r="CL54" s="240">
        <f t="shared" si="288"/>
        <v>0.31983023293536239</v>
      </c>
      <c r="CM54" s="240">
        <f t="shared" si="288"/>
        <v>0.30865987485240348</v>
      </c>
      <c r="CN54" s="240">
        <f t="shared" si="288"/>
        <v>0.30627182553008614</v>
      </c>
      <c r="CO54" s="240">
        <f t="shared" si="288"/>
        <v>0.3071798518763813</v>
      </c>
      <c r="CP54" s="240">
        <f t="shared" si="288"/>
        <v>0.30596993864035299</v>
      </c>
      <c r="CQ54" s="240">
        <f t="shared" si="288"/>
        <v>0.29991507559744923</v>
      </c>
      <c r="CR54" s="240">
        <f t="shared" si="288"/>
        <v>0.29135782538881316</v>
      </c>
      <c r="CS54" s="240">
        <f t="shared" si="288"/>
        <v>0.29164324563679977</v>
      </c>
      <c r="CT54" s="241">
        <f t="shared" si="288"/>
        <v>0.29975616326609389</v>
      </c>
      <c r="CU54" s="240">
        <f t="shared" si="288"/>
        <v>0.3015647429019318</v>
      </c>
      <c r="CV54" s="240">
        <f t="shared" si="288"/>
        <v>0.29930177502989902</v>
      </c>
      <c r="CW54" s="240">
        <f t="shared" si="288"/>
        <v>0.29624537726270689</v>
      </c>
      <c r="CX54" s="240">
        <f t="shared" si="288"/>
        <v>0.27959314277380698</v>
      </c>
      <c r="CY54" s="240">
        <f t="shared" si="288"/>
        <v>0.26786612013532773</v>
      </c>
      <c r="CZ54" s="240">
        <f t="shared" si="288"/>
        <v>0.26581049871604018</v>
      </c>
      <c r="DA54" s="240">
        <f t="shared" si="288"/>
        <v>0.26515373666506414</v>
      </c>
      <c r="DB54" s="240">
        <f t="shared" si="288"/>
        <v>0.26221746166871479</v>
      </c>
      <c r="DC54" s="240">
        <f t="shared" si="288"/>
        <v>0.257416595371735</v>
      </c>
      <c r="DD54" s="240">
        <f t="shared" si="288"/>
        <v>0.25182974769133598</v>
      </c>
      <c r="DE54" s="240">
        <f t="shared" si="288"/>
        <v>0.2457412098952062</v>
      </c>
      <c r="DF54" s="241">
        <f t="shared" si="288"/>
        <v>0.25155338436309516</v>
      </c>
      <c r="DG54" s="240">
        <f t="shared" si="288"/>
        <v>0.25252350392242096</v>
      </c>
      <c r="DH54" s="240">
        <f t="shared" si="288"/>
        <v>0.25339659322737873</v>
      </c>
      <c r="DI54" s="240">
        <f t="shared" si="288"/>
        <v>0.24761399014139315</v>
      </c>
      <c r="DJ54" s="240">
        <f t="shared" si="288"/>
        <v>0.22914081678660764</v>
      </c>
      <c r="DK54" s="240">
        <f t="shared" si="288"/>
        <v>0.22846599860077574</v>
      </c>
      <c r="DL54" s="240">
        <f t="shared" ref="DL54:DR54" si="289">SUM(DL51)/DL53</f>
        <v>0.22599208715694316</v>
      </c>
      <c r="DM54" s="240">
        <f t="shared" si="289"/>
        <v>0.23071044443466066</v>
      </c>
      <c r="DN54" s="240">
        <f t="shared" si="289"/>
        <v>0.23131832325707791</v>
      </c>
      <c r="DO54" s="240">
        <f t="shared" si="289"/>
        <v>0.22700494237888155</v>
      </c>
      <c r="DP54" s="240">
        <f t="shared" si="289"/>
        <v>0.21833280976702543</v>
      </c>
      <c r="DQ54" s="240">
        <f t="shared" si="289"/>
        <v>0.21762425036610736</v>
      </c>
      <c r="DR54" s="240">
        <f t="shared" si="289"/>
        <v>0.22184892496889022</v>
      </c>
      <c r="DS54" s="240">
        <f t="shared" ref="DS54:FH54" si="290">SUM(DS51)/DS53</f>
        <v>0.22446829358842749</v>
      </c>
      <c r="DT54" s="240">
        <f t="shared" si="290"/>
        <v>0.2222952887585479</v>
      </c>
      <c r="DU54" s="240">
        <f t="shared" si="290"/>
        <v>0.21594198163778339</v>
      </c>
      <c r="DV54" s="356">
        <f t="shared" si="290"/>
        <v>0.18775595181653237</v>
      </c>
      <c r="DW54" s="356">
        <f t="shared" si="290"/>
        <v>0.20195793311077886</v>
      </c>
      <c r="DX54" s="356">
        <f t="shared" si="290"/>
        <v>0.20235669687349156</v>
      </c>
      <c r="DY54" s="356">
        <f t="shared" si="290"/>
        <v>0.2032690102955928</v>
      </c>
      <c r="DZ54" s="356">
        <f t="shared" si="290"/>
        <v>0.2030450157596573</v>
      </c>
      <c r="EA54" s="356">
        <f t="shared" si="290"/>
        <v>0.1990312087514727</v>
      </c>
      <c r="EB54" s="356">
        <f t="shared" si="290"/>
        <v>0.19400948322896105</v>
      </c>
      <c r="EC54" s="356">
        <f t="shared" si="290"/>
        <v>0.19294395118289934</v>
      </c>
      <c r="ED54" s="356">
        <f t="shared" si="290"/>
        <v>0.19661430545706132</v>
      </c>
      <c r="EE54" s="356">
        <f t="shared" si="290"/>
        <v>0.2014755956871189</v>
      </c>
      <c r="EF54" s="356">
        <f t="shared" si="290"/>
        <v>0.20056887890034303</v>
      </c>
      <c r="EG54" s="356">
        <f t="shared" si="290"/>
        <v>0.19601206436554292</v>
      </c>
      <c r="EH54" s="356">
        <f t="shared" si="290"/>
        <v>0.18964326089886799</v>
      </c>
      <c r="EI54" s="356">
        <f t="shared" si="290"/>
        <v>0.18856210075926441</v>
      </c>
      <c r="EJ54" s="356">
        <f t="shared" si="290"/>
        <v>0.18401237081174968</v>
      </c>
      <c r="EK54" s="356">
        <f t="shared" si="290"/>
        <v>0.18555830051375444</v>
      </c>
      <c r="EL54" s="356">
        <f t="shared" si="290"/>
        <v>0.18611382794807663</v>
      </c>
      <c r="EM54" s="356">
        <f t="shared" si="290"/>
        <v>0.18529002172809264</v>
      </c>
      <c r="EN54" s="356">
        <f t="shared" si="290"/>
        <v>0.18170662196031323</v>
      </c>
      <c r="EO54" s="356">
        <f t="shared" si="290"/>
        <v>0.18144501411504579</v>
      </c>
      <c r="EP54" s="356">
        <f t="shared" si="290"/>
        <v>0.18697278181142063</v>
      </c>
      <c r="EQ54" s="356">
        <f t="shared" si="290"/>
        <v>0.18908490145315801</v>
      </c>
      <c r="ER54" s="356">
        <f t="shared" si="290"/>
        <v>0.18777745885237193</v>
      </c>
      <c r="ES54" s="356">
        <f t="shared" si="290"/>
        <v>0.18484302611909686</v>
      </c>
      <c r="ET54" s="356">
        <f t="shared" si="290"/>
        <v>0.15807953563704519</v>
      </c>
      <c r="EU54" s="356">
        <f t="shared" si="290"/>
        <v>0.18754705521207465</v>
      </c>
      <c r="EV54" s="356">
        <f t="shared" si="290"/>
        <v>0.16919522478018165</v>
      </c>
      <c r="EW54" s="356">
        <f t="shared" si="290"/>
        <v>0.17206783568361544</v>
      </c>
      <c r="EX54" s="356">
        <f t="shared" si="290"/>
        <v>0.17127679377110724</v>
      </c>
      <c r="EY54" s="282">
        <f t="shared" si="290"/>
        <v>0.16921082093932222</v>
      </c>
      <c r="EZ54" s="282">
        <f t="shared" si="290"/>
        <v>0.16487754602460442</v>
      </c>
      <c r="FA54" s="282">
        <f t="shared" si="290"/>
        <v>0.16535922001442904</v>
      </c>
      <c r="FB54" s="282">
        <f t="shared" si="290"/>
        <v>0.17003331094874499</v>
      </c>
      <c r="FC54" s="282">
        <f t="shared" si="290"/>
        <v>0.17021127461494359</v>
      </c>
      <c r="FD54" s="282">
        <f t="shared" si="290"/>
        <v>0.16967048448483685</v>
      </c>
      <c r="FE54" s="282">
        <f t="shared" si="290"/>
        <v>0.16776475812768576</v>
      </c>
      <c r="FF54" s="282">
        <f t="shared" si="290"/>
        <v>0.15635751618646349</v>
      </c>
      <c r="FG54" s="282">
        <f t="shared" si="290"/>
        <v>0.15331790896106839</v>
      </c>
      <c r="FH54" s="282">
        <f t="shared" si="290"/>
        <v>0.15386401634776148</v>
      </c>
      <c r="FI54" s="282">
        <f t="shared" ref="FI54:FK54" si="291">SUM(FI51)/FI53</f>
        <v>0.15674038200686238</v>
      </c>
      <c r="FJ54" s="282">
        <f t="shared" si="291"/>
        <v>0.15833774331404768</v>
      </c>
      <c r="FK54" s="282">
        <f t="shared" si="291"/>
        <v>0.15622501745944567</v>
      </c>
      <c r="FL54" s="282">
        <f t="shared" ref="FL54:FT54" si="292">SUM(FL51)/FL53</f>
        <v>0.15179773307389607</v>
      </c>
      <c r="FM54" s="282">
        <f t="shared" si="292"/>
        <v>0.14992559565940705</v>
      </c>
      <c r="FN54" s="282">
        <f t="shared" si="292"/>
        <v>0.15259525851244071</v>
      </c>
      <c r="FO54" s="282">
        <f t="shared" si="292"/>
        <v>0.15456444822138282</v>
      </c>
      <c r="FP54" s="282">
        <f t="shared" si="292"/>
        <v>0.15512056359945514</v>
      </c>
      <c r="FQ54" s="282">
        <f t="shared" si="292"/>
        <v>0.14991150121723582</v>
      </c>
      <c r="FR54" s="282">
        <f t="shared" si="292"/>
        <v>0.14469389315994163</v>
      </c>
      <c r="FS54" s="282">
        <f t="shared" si="292"/>
        <v>0.14100509729010749</v>
      </c>
      <c r="FT54" s="282">
        <f t="shared" si="292"/>
        <v>0.14223728126309088</v>
      </c>
      <c r="FU54" s="339"/>
    </row>
    <row r="55" spans="2:177" ht="14.4" thickBot="1" x14ac:dyDescent="0.35">
      <c r="B55" s="4" t="s">
        <v>11</v>
      </c>
      <c r="C55" s="250">
        <f t="shared" ref="C55:H55" si="293">SUM(C52/C53)</f>
        <v>1.1153999048441906E-2</v>
      </c>
      <c r="D55" s="245">
        <f t="shared" si="293"/>
        <v>1.3152837811250343E-2</v>
      </c>
      <c r="E55" s="245">
        <f t="shared" si="293"/>
        <v>1.7160423599074919E-2</v>
      </c>
      <c r="F55" s="245">
        <f t="shared" si="293"/>
        <v>2.335131814296235E-2</v>
      </c>
      <c r="G55" s="245">
        <f t="shared" si="293"/>
        <v>2.5344002209472367E-2</v>
      </c>
      <c r="H55" s="245">
        <f t="shared" si="293"/>
        <v>2.2670135190885878E-2</v>
      </c>
      <c r="I55" s="245">
        <f t="shared" ref="I55:Q55" si="294">SUM(I52/I53)</f>
        <v>3.0353008764371008E-2</v>
      </c>
      <c r="J55" s="245">
        <f t="shared" si="294"/>
        <v>3.8421489577464787E-2</v>
      </c>
      <c r="K55" s="245">
        <f t="shared" si="294"/>
        <v>4.1055211006268424E-2</v>
      </c>
      <c r="L55" s="245">
        <f t="shared" si="294"/>
        <v>4.6389650835388541E-2</v>
      </c>
      <c r="M55" s="245">
        <f t="shared" si="294"/>
        <v>5.4102829425850145E-2</v>
      </c>
      <c r="N55" s="246">
        <f t="shared" si="294"/>
        <v>6.2536819024899298E-2</v>
      </c>
      <c r="O55" s="250">
        <f t="shared" si="294"/>
        <v>6.3788994510644001E-2</v>
      </c>
      <c r="P55" s="245">
        <f t="shared" si="294"/>
        <v>6.6042893187552562E-2</v>
      </c>
      <c r="Q55" s="245">
        <f t="shared" si="294"/>
        <v>6.8434931160304524E-2</v>
      </c>
      <c r="R55" s="245">
        <f>SUM(R52/R53)</f>
        <v>6.7013852571918012E-2</v>
      </c>
      <c r="S55" s="245">
        <f>SUM(S52/S53)</f>
        <v>6.6905243936153505E-2</v>
      </c>
      <c r="T55" s="245">
        <f>SUM(T52/T53)</f>
        <v>7.4046441504541913E-2</v>
      </c>
      <c r="U55" s="245">
        <f t="shared" ref="U55:Z55" si="295">SUM(U52/U53)</f>
        <v>9.9813027962140935E-2</v>
      </c>
      <c r="V55" s="245">
        <f t="shared" si="295"/>
        <v>0.11080691671626902</v>
      </c>
      <c r="W55" s="245">
        <f t="shared" si="295"/>
        <v>0.1212170809618122</v>
      </c>
      <c r="X55" s="245">
        <f t="shared" si="295"/>
        <v>0.13463277804346876</v>
      </c>
      <c r="Y55" s="245">
        <f t="shared" si="295"/>
        <v>0.14402606225382597</v>
      </c>
      <c r="Z55" s="246">
        <f t="shared" si="295"/>
        <v>0.15129771428934935</v>
      </c>
      <c r="AA55" s="250">
        <f t="shared" ref="AA55:AF55" si="296">SUM(AA52/AA53)</f>
        <v>0.15936410464554357</v>
      </c>
      <c r="AB55" s="245">
        <f t="shared" si="296"/>
        <v>0.16064996169460741</v>
      </c>
      <c r="AC55" s="245">
        <f t="shared" si="296"/>
        <v>0.16644013482611356</v>
      </c>
      <c r="AD55" s="245">
        <f t="shared" si="296"/>
        <v>0.17893468278131905</v>
      </c>
      <c r="AE55" s="245">
        <f t="shared" si="296"/>
        <v>0.19103324908301272</v>
      </c>
      <c r="AF55" s="245">
        <f t="shared" si="296"/>
        <v>0.20713313232628233</v>
      </c>
      <c r="AG55" s="245">
        <f t="shared" ref="AG55:AL55" si="297">SUM(AG52/AG53)</f>
        <v>0.21406992957797291</v>
      </c>
      <c r="AH55" s="245">
        <f t="shared" si="297"/>
        <v>0.21762761285792073</v>
      </c>
      <c r="AI55" s="245">
        <f t="shared" si="297"/>
        <v>0.23239497603528475</v>
      </c>
      <c r="AJ55" s="245">
        <f t="shared" si="297"/>
        <v>0.23960008744874819</v>
      </c>
      <c r="AK55" s="245">
        <f t="shared" si="297"/>
        <v>0.24266764860062573</v>
      </c>
      <c r="AL55" s="246">
        <f t="shared" si="297"/>
        <v>0.24024173737662641</v>
      </c>
      <c r="AM55" s="250">
        <f t="shared" ref="AM55:AR55" si="298">SUM(AM52/AM53)</f>
        <v>0.24290698858200477</v>
      </c>
      <c r="AN55" s="245">
        <f t="shared" si="298"/>
        <v>0.24582686080829133</v>
      </c>
      <c r="AO55" s="245">
        <f t="shared" si="298"/>
        <v>0.25244394081025057</v>
      </c>
      <c r="AP55" s="245">
        <f t="shared" si="298"/>
        <v>0.26395941574216192</v>
      </c>
      <c r="AQ55" s="245">
        <f t="shared" si="298"/>
        <v>0.27559497353576923</v>
      </c>
      <c r="AR55" s="245">
        <f t="shared" si="298"/>
        <v>0.28137111540545595</v>
      </c>
      <c r="AS55" s="245">
        <f t="shared" ref="AS55:BD55" si="299">SUM(AS52/AS53)</f>
        <v>0.2838069386175931</v>
      </c>
      <c r="AT55" s="245">
        <f t="shared" si="299"/>
        <v>0.29142787855206104</v>
      </c>
      <c r="AU55" s="245">
        <f t="shared" si="299"/>
        <v>0.29865428634153324</v>
      </c>
      <c r="AV55" s="245">
        <f t="shared" si="299"/>
        <v>0.31013127838081367</v>
      </c>
      <c r="AW55" s="245">
        <f t="shared" si="299"/>
        <v>0.31531853045992148</v>
      </c>
      <c r="AX55" s="246">
        <f t="shared" si="299"/>
        <v>0.3128643129903611</v>
      </c>
      <c r="AY55" s="250">
        <f t="shared" si="299"/>
        <v>0.31683792206490968</v>
      </c>
      <c r="AZ55" s="245">
        <f t="shared" si="299"/>
        <v>0.32553797822504571</v>
      </c>
      <c r="BA55" s="245">
        <f t="shared" si="299"/>
        <v>0.33282695913914795</v>
      </c>
      <c r="BB55" s="245">
        <f t="shared" si="299"/>
        <v>0.34817501316805599</v>
      </c>
      <c r="BC55" s="245">
        <f t="shared" si="299"/>
        <v>0.35879391022315876</v>
      </c>
      <c r="BD55" s="245">
        <f t="shared" si="299"/>
        <v>0.36062243722704446</v>
      </c>
      <c r="BE55" s="245">
        <f t="shared" ref="BE55:BJ55" si="300">SUM(BE52/BE53)</f>
        <v>0.36751287587286774</v>
      </c>
      <c r="BF55" s="245">
        <f t="shared" si="300"/>
        <v>0.36851839002194658</v>
      </c>
      <c r="BG55" s="245">
        <f t="shared" si="300"/>
        <v>0.37568180788950772</v>
      </c>
      <c r="BH55" s="245">
        <f t="shared" si="300"/>
        <v>0.38585634581066741</v>
      </c>
      <c r="BI55" s="245">
        <f t="shared" si="300"/>
        <v>0.38767573100160019</v>
      </c>
      <c r="BJ55" s="246">
        <f t="shared" si="300"/>
        <v>0.38200725952979064</v>
      </c>
      <c r="BK55" s="250">
        <f t="shared" ref="BK55:BP55" si="301">SUM(BK52/BK53)</f>
        <v>0.38459753309426387</v>
      </c>
      <c r="BL55" s="245">
        <f t="shared" si="301"/>
        <v>0.38556487084144209</v>
      </c>
      <c r="BM55" s="245">
        <f t="shared" si="301"/>
        <v>0.39694960746923996</v>
      </c>
      <c r="BN55" s="245">
        <f t="shared" si="301"/>
        <v>0.42421692171398367</v>
      </c>
      <c r="BO55" s="245">
        <f t="shared" si="301"/>
        <v>0.43045992370023967</v>
      </c>
      <c r="BP55" s="245">
        <f t="shared" si="301"/>
        <v>0.44178246033715951</v>
      </c>
      <c r="BQ55" s="245">
        <f t="shared" ref="BQ55:BV55" si="302">SUM(BQ52/BQ53)</f>
        <v>0.44566328753662604</v>
      </c>
      <c r="BR55" s="245">
        <f t="shared" si="302"/>
        <v>0.45368112980110636</v>
      </c>
      <c r="BS55" s="245">
        <f t="shared" si="302"/>
        <v>0.45955338908874405</v>
      </c>
      <c r="BT55" s="245">
        <f t="shared" si="302"/>
        <v>0.47247520611114568</v>
      </c>
      <c r="BU55" s="245">
        <f t="shared" si="302"/>
        <v>0.48103687052329358</v>
      </c>
      <c r="BV55" s="246">
        <f t="shared" si="302"/>
        <v>0.48575546677845466</v>
      </c>
      <c r="BW55" s="250">
        <f t="shared" ref="BW55:CB55" si="303">SUM(BW52/BW53)</f>
        <v>0.48583026787172123</v>
      </c>
      <c r="BX55" s="245">
        <f t="shared" si="303"/>
        <v>0.49530438506854213</v>
      </c>
      <c r="BY55" s="245">
        <f t="shared" si="303"/>
        <v>0.49791228840844431</v>
      </c>
      <c r="BZ55" s="245">
        <f t="shared" si="303"/>
        <v>0.524313338514793</v>
      </c>
      <c r="CA55" s="245">
        <f t="shared" si="303"/>
        <v>0.53753118002540967</v>
      </c>
      <c r="CB55" s="245">
        <f t="shared" si="303"/>
        <v>0.54411355904381353</v>
      </c>
      <c r="CC55" s="245">
        <f t="shared" ref="CC55:DK55" si="304">SUM(CC52/CC53)</f>
        <v>0.55260328219094534</v>
      </c>
      <c r="CD55" s="245">
        <f t="shared" si="304"/>
        <v>0.57402067203335272</v>
      </c>
      <c r="CE55" s="245">
        <f t="shared" si="304"/>
        <v>0.60794596280809965</v>
      </c>
      <c r="CF55" s="245">
        <f t="shared" si="304"/>
        <v>0.65679465503758205</v>
      </c>
      <c r="CG55" s="245">
        <f t="shared" si="304"/>
        <v>0.66528291573322662</v>
      </c>
      <c r="CH55" s="246">
        <f t="shared" si="304"/>
        <v>0.6630293161426648</v>
      </c>
      <c r="CI55" s="250">
        <f t="shared" si="304"/>
        <v>0.6653304048937998</v>
      </c>
      <c r="CJ55" s="245">
        <f t="shared" si="304"/>
        <v>0.66564020701980997</v>
      </c>
      <c r="CK55" s="245">
        <f t="shared" si="304"/>
        <v>0.67423369399164856</v>
      </c>
      <c r="CL55" s="245">
        <f t="shared" si="304"/>
        <v>0.68016976706463772</v>
      </c>
      <c r="CM55" s="245">
        <f t="shared" si="304"/>
        <v>0.69134012514759646</v>
      </c>
      <c r="CN55" s="245">
        <f t="shared" si="304"/>
        <v>0.69372817446991386</v>
      </c>
      <c r="CO55" s="245">
        <f t="shared" si="304"/>
        <v>0.69282014812361858</v>
      </c>
      <c r="CP55" s="245">
        <f t="shared" si="304"/>
        <v>0.69403006135964695</v>
      </c>
      <c r="CQ55" s="245">
        <f t="shared" si="304"/>
        <v>0.70008492440255088</v>
      </c>
      <c r="CR55" s="245">
        <f t="shared" si="304"/>
        <v>0.70864217461118695</v>
      </c>
      <c r="CS55" s="245">
        <f t="shared" si="304"/>
        <v>0.70835675436320034</v>
      </c>
      <c r="CT55" s="246">
        <f t="shared" si="304"/>
        <v>0.700243836733906</v>
      </c>
      <c r="CU55" s="285">
        <f t="shared" si="304"/>
        <v>0.6984352570980682</v>
      </c>
      <c r="CV55" s="245">
        <f t="shared" si="304"/>
        <v>0.70069822497010104</v>
      </c>
      <c r="CW55" s="245">
        <f t="shared" si="304"/>
        <v>0.70375462273729317</v>
      </c>
      <c r="CX55" s="245">
        <f t="shared" si="304"/>
        <v>0.72040685722619302</v>
      </c>
      <c r="CY55" s="245">
        <f t="shared" si="304"/>
        <v>0.73213387986467227</v>
      </c>
      <c r="CZ55" s="245">
        <f t="shared" si="304"/>
        <v>0.73418950128395988</v>
      </c>
      <c r="DA55" s="245">
        <f t="shared" si="304"/>
        <v>0.73484626333493586</v>
      </c>
      <c r="DB55" s="245">
        <f t="shared" si="304"/>
        <v>0.73778253833128526</v>
      </c>
      <c r="DC55" s="245">
        <f t="shared" si="304"/>
        <v>0.742583404628265</v>
      </c>
      <c r="DD55" s="245">
        <f t="shared" si="304"/>
        <v>0.74817025230866407</v>
      </c>
      <c r="DE55" s="245">
        <f t="shared" si="304"/>
        <v>0.7542587901047938</v>
      </c>
      <c r="DF55" s="246">
        <f t="shared" si="304"/>
        <v>0.74844661563690484</v>
      </c>
      <c r="DG55" s="245">
        <f t="shared" si="304"/>
        <v>0.74747649607757904</v>
      </c>
      <c r="DH55" s="245">
        <f t="shared" si="304"/>
        <v>0.74660340677262116</v>
      </c>
      <c r="DI55" s="245">
        <f t="shared" si="304"/>
        <v>0.75238600985860682</v>
      </c>
      <c r="DJ55" s="245">
        <f t="shared" si="304"/>
        <v>0.77085918321339231</v>
      </c>
      <c r="DK55" s="245">
        <f t="shared" si="304"/>
        <v>0.77153400139922423</v>
      </c>
      <c r="DL55" s="245">
        <f t="shared" ref="DL55:DR55" si="305">SUM(DL52/DL53)</f>
        <v>0.77400791284305681</v>
      </c>
      <c r="DM55" s="245">
        <f t="shared" si="305"/>
        <v>0.76928955556533929</v>
      </c>
      <c r="DN55" s="245">
        <f t="shared" si="305"/>
        <v>0.76868167674292209</v>
      </c>
      <c r="DO55" s="245">
        <f t="shared" si="305"/>
        <v>0.77299505762111842</v>
      </c>
      <c r="DP55" s="245">
        <f t="shared" si="305"/>
        <v>0.7816671902329746</v>
      </c>
      <c r="DQ55" s="245">
        <f t="shared" si="305"/>
        <v>0.78237574963389256</v>
      </c>
      <c r="DR55" s="245">
        <f t="shared" si="305"/>
        <v>0.77815107503110981</v>
      </c>
      <c r="DS55" s="245">
        <f t="shared" ref="DS55:FH55" si="306">SUM(DS52/DS53)</f>
        <v>0.77553170641157254</v>
      </c>
      <c r="DT55" s="245">
        <f t="shared" si="306"/>
        <v>0.77770471124145202</v>
      </c>
      <c r="DU55" s="245">
        <f t="shared" si="306"/>
        <v>0.78405801836221656</v>
      </c>
      <c r="DV55" s="357">
        <f t="shared" si="306"/>
        <v>0.81224404818346763</v>
      </c>
      <c r="DW55" s="357">
        <f t="shared" si="306"/>
        <v>0.79804206688922108</v>
      </c>
      <c r="DX55" s="357">
        <f t="shared" si="306"/>
        <v>0.79764330312650833</v>
      </c>
      <c r="DY55" s="357">
        <f t="shared" si="306"/>
        <v>0.79673098970440714</v>
      </c>
      <c r="DZ55" s="357">
        <f t="shared" si="306"/>
        <v>0.79695498424034272</v>
      </c>
      <c r="EA55" s="357">
        <f t="shared" si="306"/>
        <v>0.80096879124852727</v>
      </c>
      <c r="EB55" s="357">
        <f t="shared" si="306"/>
        <v>0.80599051677103895</v>
      </c>
      <c r="EC55" s="357">
        <f t="shared" si="306"/>
        <v>0.80705604881710069</v>
      </c>
      <c r="ED55" s="357">
        <f t="shared" si="306"/>
        <v>0.80338569454293873</v>
      </c>
      <c r="EE55" s="357">
        <f t="shared" si="306"/>
        <v>0.79852440431288108</v>
      </c>
      <c r="EF55" s="357">
        <f t="shared" si="306"/>
        <v>0.79943112109965697</v>
      </c>
      <c r="EG55" s="357">
        <f t="shared" si="306"/>
        <v>0.80398793563445703</v>
      </c>
      <c r="EH55" s="357">
        <f t="shared" si="306"/>
        <v>0.81035673910113204</v>
      </c>
      <c r="EI55" s="357">
        <f t="shared" si="306"/>
        <v>0.81143789924073551</v>
      </c>
      <c r="EJ55" s="357">
        <f t="shared" si="306"/>
        <v>0.8159876291882503</v>
      </c>
      <c r="EK55" s="357">
        <f t="shared" si="306"/>
        <v>0.81444169948624545</v>
      </c>
      <c r="EL55" s="357">
        <f t="shared" si="306"/>
        <v>0.81388617205192337</v>
      </c>
      <c r="EM55" s="357">
        <f t="shared" si="306"/>
        <v>0.81470997827190739</v>
      </c>
      <c r="EN55" s="357">
        <f t="shared" si="306"/>
        <v>0.81829337803968671</v>
      </c>
      <c r="EO55" s="357">
        <f t="shared" si="306"/>
        <v>0.81855498588495434</v>
      </c>
      <c r="EP55" s="357">
        <f t="shared" si="306"/>
        <v>0.81302721818857937</v>
      </c>
      <c r="EQ55" s="357">
        <f t="shared" si="306"/>
        <v>0.81091509854684196</v>
      </c>
      <c r="ER55" s="357">
        <f t="shared" si="306"/>
        <v>0.81222254114762804</v>
      </c>
      <c r="ES55" s="357">
        <f t="shared" si="306"/>
        <v>0.81515697388090314</v>
      </c>
      <c r="ET55" s="357">
        <f t="shared" si="306"/>
        <v>0.84192046436295476</v>
      </c>
      <c r="EU55" s="357">
        <f t="shared" si="306"/>
        <v>0.81245294478792529</v>
      </c>
      <c r="EV55" s="357">
        <f t="shared" si="306"/>
        <v>0.83080477521981833</v>
      </c>
      <c r="EW55" s="357">
        <f t="shared" si="306"/>
        <v>0.82793216431638461</v>
      </c>
      <c r="EX55" s="357">
        <f t="shared" si="306"/>
        <v>0.82872320622889273</v>
      </c>
      <c r="EY55" s="354">
        <f t="shared" si="306"/>
        <v>0.83078917906067773</v>
      </c>
      <c r="EZ55" s="354">
        <f t="shared" si="306"/>
        <v>0.83512245397539564</v>
      </c>
      <c r="FA55" s="354">
        <f t="shared" si="306"/>
        <v>0.83464077998557096</v>
      </c>
      <c r="FB55" s="354">
        <f t="shared" si="306"/>
        <v>0.82996668905125492</v>
      </c>
      <c r="FC55" s="354">
        <f t="shared" si="306"/>
        <v>0.82978872538505644</v>
      </c>
      <c r="FD55" s="354">
        <f t="shared" si="306"/>
        <v>0.83032951551516321</v>
      </c>
      <c r="FE55" s="354">
        <f t="shared" si="306"/>
        <v>0.83223524187231424</v>
      </c>
      <c r="FF55" s="354">
        <f t="shared" si="306"/>
        <v>0.84364248381353657</v>
      </c>
      <c r="FG55" s="354">
        <f t="shared" si="306"/>
        <v>0.84668209103893166</v>
      </c>
      <c r="FH55" s="354">
        <f t="shared" si="306"/>
        <v>0.84613598365223852</v>
      </c>
      <c r="FI55" s="354">
        <f t="shared" ref="FI55:FK55" si="307">SUM(FI52/FI53)</f>
        <v>0.84325961799313764</v>
      </c>
      <c r="FJ55" s="354">
        <f t="shared" si="307"/>
        <v>0.84166225668595229</v>
      </c>
      <c r="FK55" s="354">
        <f t="shared" si="307"/>
        <v>0.84377498254055427</v>
      </c>
      <c r="FL55" s="354">
        <f t="shared" ref="FL55:FT55" si="308">SUM(FL52/FL53)</f>
        <v>0.8482022669261039</v>
      </c>
      <c r="FM55" s="354">
        <f t="shared" si="308"/>
        <v>0.850074404340593</v>
      </c>
      <c r="FN55" s="354">
        <f t="shared" si="308"/>
        <v>0.84740474148755929</v>
      </c>
      <c r="FO55" s="354">
        <f t="shared" si="308"/>
        <v>0.84543555177861718</v>
      </c>
      <c r="FP55" s="354">
        <f t="shared" si="308"/>
        <v>0.84487943640054486</v>
      </c>
      <c r="FQ55" s="354">
        <f t="shared" si="308"/>
        <v>0.85008849878276416</v>
      </c>
      <c r="FR55" s="354">
        <f t="shared" si="308"/>
        <v>0.85530610684005837</v>
      </c>
      <c r="FS55" s="354">
        <f t="shared" si="308"/>
        <v>0.85899490270989243</v>
      </c>
      <c r="FT55" s="354">
        <f t="shared" si="308"/>
        <v>0.85776271873690912</v>
      </c>
      <c r="FU55" s="339"/>
    </row>
    <row r="56" spans="2:177" ht="13.8" x14ac:dyDescent="0.3">
      <c r="B56" s="3"/>
      <c r="C56" s="201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201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201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201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201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201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8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8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V56" s="302"/>
      <c r="DW56" s="302"/>
      <c r="DX56" s="302"/>
      <c r="EE56" s="302"/>
      <c r="EF56" s="302"/>
      <c r="EG56" s="302"/>
      <c r="FU56" s="339"/>
    </row>
    <row r="57" spans="2:177" ht="13.8" x14ac:dyDescent="0.3">
      <c r="B57" s="3" t="s">
        <v>76</v>
      </c>
      <c r="C57" s="201">
        <f t="shared" ref="C57:AW57" si="309">SUM(1000*(C53))/C10</f>
        <v>1126.8662776517647</v>
      </c>
      <c r="D57" s="69">
        <f t="shared" si="309"/>
        <v>1006.5643009265158</v>
      </c>
      <c r="E57" s="69">
        <f t="shared" si="309"/>
        <v>955.44632398791987</v>
      </c>
      <c r="F57" s="69">
        <f t="shared" si="309"/>
        <v>889.47182234729587</v>
      </c>
      <c r="G57" s="69">
        <f t="shared" si="309"/>
        <v>1185.568539770954</v>
      </c>
      <c r="H57" s="69">
        <f t="shared" si="309"/>
        <v>1271.5764075876309</v>
      </c>
      <c r="I57" s="69">
        <f t="shared" si="309"/>
        <v>1476.6725569486982</v>
      </c>
      <c r="J57" s="69">
        <f t="shared" si="309"/>
        <v>1591.569684031723</v>
      </c>
      <c r="K57" s="69">
        <f t="shared" si="309"/>
        <v>1536.3216393200548</v>
      </c>
      <c r="L57" s="69">
        <f t="shared" si="309"/>
        <v>1192.8764814029132</v>
      </c>
      <c r="M57" s="69">
        <f t="shared" si="309"/>
        <v>811.50217801367421</v>
      </c>
      <c r="N57" s="89">
        <f t="shared" si="309"/>
        <v>928.78066263141125</v>
      </c>
      <c r="O57" s="201">
        <f t="shared" si="309"/>
        <v>1109.0290316449682</v>
      </c>
      <c r="P57" s="69">
        <f t="shared" si="309"/>
        <v>1129.8992094744283</v>
      </c>
      <c r="Q57" s="69">
        <f t="shared" si="309"/>
        <v>995.2665315939762</v>
      </c>
      <c r="R57" s="69">
        <f t="shared" si="309"/>
        <v>794.55178523965628</v>
      </c>
      <c r="S57" s="69">
        <f t="shared" si="309"/>
        <v>1080.2560497037659</v>
      </c>
      <c r="T57" s="69">
        <f t="shared" si="309"/>
        <v>1402.6923348017622</v>
      </c>
      <c r="U57" s="69">
        <f t="shared" si="309"/>
        <v>1598.0615634760027</v>
      </c>
      <c r="V57" s="69">
        <f t="shared" si="309"/>
        <v>1741.2552887280794</v>
      </c>
      <c r="W57" s="69">
        <f t="shared" si="309"/>
        <v>1497.593629956923</v>
      </c>
      <c r="X57" s="69">
        <f t="shared" si="309"/>
        <v>1117.7683722497545</v>
      </c>
      <c r="Y57" s="69">
        <f t="shared" si="309"/>
        <v>919.41713159720382</v>
      </c>
      <c r="Z57" s="89">
        <f t="shared" si="309"/>
        <v>936.55323800930103</v>
      </c>
      <c r="AA57" s="201">
        <f t="shared" si="309"/>
        <v>1071.0645316234468</v>
      </c>
      <c r="AB57" s="69">
        <f t="shared" si="309"/>
        <v>1077.1608592106177</v>
      </c>
      <c r="AC57" s="69">
        <f t="shared" si="309"/>
        <v>899.31199981562679</v>
      </c>
      <c r="AD57" s="69">
        <f t="shared" si="309"/>
        <v>817.29419074246664</v>
      </c>
      <c r="AE57" s="69">
        <f t="shared" si="309"/>
        <v>949.5221436503507</v>
      </c>
      <c r="AF57" s="69">
        <f t="shared" si="309"/>
        <v>1388.5042124844274</v>
      </c>
      <c r="AG57" s="69">
        <f t="shared" si="309"/>
        <v>1531.3438607798905</v>
      </c>
      <c r="AH57" s="69">
        <f t="shared" si="309"/>
        <v>1614.4627903894143</v>
      </c>
      <c r="AI57" s="69">
        <f t="shared" si="309"/>
        <v>1513.9917468100905</v>
      </c>
      <c r="AJ57" s="69">
        <f t="shared" si="309"/>
        <v>1210.4342161898476</v>
      </c>
      <c r="AK57" s="69">
        <f t="shared" si="309"/>
        <v>991.14429142196411</v>
      </c>
      <c r="AL57" s="89">
        <f t="shared" si="309"/>
        <v>953.82861756773002</v>
      </c>
      <c r="AM57" s="201">
        <f t="shared" si="309"/>
        <v>1084.7148662783718</v>
      </c>
      <c r="AN57" s="69">
        <f t="shared" si="309"/>
        <v>1031.7678832450208</v>
      </c>
      <c r="AO57" s="69">
        <f t="shared" si="309"/>
        <v>864.52258266997637</v>
      </c>
      <c r="AP57" s="69">
        <f t="shared" si="309"/>
        <v>799.38266908178275</v>
      </c>
      <c r="AQ57" s="69">
        <f t="shared" si="309"/>
        <v>926.15529497194666</v>
      </c>
      <c r="AR57" s="69">
        <f t="shared" si="309"/>
        <v>1433.3753594963655</v>
      </c>
      <c r="AS57" s="69">
        <f t="shared" si="309"/>
        <v>1706.4444041726601</v>
      </c>
      <c r="AT57" s="69">
        <f t="shared" si="309"/>
        <v>1662.712142376447</v>
      </c>
      <c r="AU57" s="69">
        <f t="shared" si="309"/>
        <v>1628.3527650501294</v>
      </c>
      <c r="AV57" s="69">
        <f t="shared" si="309"/>
        <v>1397.5630845344056</v>
      </c>
      <c r="AW57" s="69">
        <f t="shared" si="309"/>
        <v>889.14691060535097</v>
      </c>
      <c r="AX57" s="89">
        <f>SUM(1000*(AX53))/AX10</f>
        <v>1012.4951441637608</v>
      </c>
      <c r="AY57" s="201">
        <f t="shared" ref="AY57:BJ57" si="310">SUM(1000*(AY53))/AY10</f>
        <v>977.86908915218623</v>
      </c>
      <c r="AZ57" s="69">
        <f t="shared" si="310"/>
        <v>868.599578829145</v>
      </c>
      <c r="BA57" s="69">
        <f t="shared" si="310"/>
        <v>891.93156268747919</v>
      </c>
      <c r="BB57" s="69">
        <f t="shared" si="310"/>
        <v>884.08116915728272</v>
      </c>
      <c r="BC57" s="69">
        <f t="shared" si="310"/>
        <v>1056.007437684267</v>
      </c>
      <c r="BD57" s="69">
        <f t="shared" si="310"/>
        <v>1414.2690719868963</v>
      </c>
      <c r="BE57" s="69">
        <f t="shared" si="310"/>
        <v>1570.3250204529138</v>
      </c>
      <c r="BF57" s="69">
        <f t="shared" si="310"/>
        <v>1773.7702420991193</v>
      </c>
      <c r="BG57" s="69">
        <f t="shared" si="310"/>
        <v>1552.7863711794514</v>
      </c>
      <c r="BH57" s="69">
        <f t="shared" si="310"/>
        <v>1195.6138188734883</v>
      </c>
      <c r="BI57" s="69">
        <f t="shared" si="310"/>
        <v>873.3724340175952</v>
      </c>
      <c r="BJ57" s="89">
        <f t="shared" si="310"/>
        <v>976.40330656009462</v>
      </c>
      <c r="BK57" s="201">
        <f t="shared" ref="BK57:BP57" si="311">SUM(1000*(BK53))/BK10</f>
        <v>1112.2869349241146</v>
      </c>
      <c r="BL57" s="69">
        <f t="shared" si="311"/>
        <v>1174.8537801939135</v>
      </c>
      <c r="BM57" s="69">
        <f t="shared" si="311"/>
        <v>861.90512372130445</v>
      </c>
      <c r="BN57" s="69">
        <f t="shared" si="311"/>
        <v>794.4697701155842</v>
      </c>
      <c r="BO57" s="69">
        <f t="shared" si="311"/>
        <v>976.96524838494099</v>
      </c>
      <c r="BP57" s="69">
        <f t="shared" si="311"/>
        <v>1251.6775998135261</v>
      </c>
      <c r="BQ57" s="69">
        <f t="shared" ref="BQ57:BV57" si="312">SUM(1000*(BQ53))/BQ10</f>
        <v>1424.1813137013951</v>
      </c>
      <c r="BR57" s="69">
        <f t="shared" si="312"/>
        <v>1597.2852420464126</v>
      </c>
      <c r="BS57" s="69">
        <f t="shared" si="312"/>
        <v>1554.3518821150594</v>
      </c>
      <c r="BT57" s="69">
        <f t="shared" si="312"/>
        <v>1287.339162680476</v>
      </c>
      <c r="BU57" s="69">
        <f t="shared" si="312"/>
        <v>868.44640928799697</v>
      </c>
      <c r="BV57" s="89">
        <f t="shared" si="312"/>
        <v>951.7767390375152</v>
      </c>
      <c r="BW57" s="201">
        <f t="shared" ref="BW57:CB57" si="313">SUM(1000*(BW53))/BW10</f>
        <v>1138.7307576627568</v>
      </c>
      <c r="BX57" s="69">
        <f t="shared" si="313"/>
        <v>1022.1972809931806</v>
      </c>
      <c r="BY57" s="69">
        <f t="shared" si="313"/>
        <v>861.31341702478505</v>
      </c>
      <c r="BZ57" s="69">
        <f t="shared" si="313"/>
        <v>843.7341940672394</v>
      </c>
      <c r="CA57" s="69">
        <f t="shared" si="313"/>
        <v>932.2615028926831</v>
      </c>
      <c r="CB57" s="69">
        <f t="shared" si="313"/>
        <v>1430.4911252239049</v>
      </c>
      <c r="CC57" s="69">
        <f t="shared" ref="CC57:CK57" si="314">SUM(1000*(CC53))/CC10</f>
        <v>1620.1612144860649</v>
      </c>
      <c r="CD57" s="69">
        <f t="shared" si="314"/>
        <v>1677.4779224424581</v>
      </c>
      <c r="CE57" s="69">
        <f t="shared" si="314"/>
        <v>1316.1081011073456</v>
      </c>
      <c r="CF57" s="69">
        <f t="shared" si="314"/>
        <v>1092.285076293264</v>
      </c>
      <c r="CG57" s="69">
        <f t="shared" si="314"/>
        <v>773.95319224383877</v>
      </c>
      <c r="CH57" s="89">
        <f t="shared" si="314"/>
        <v>913.20819789956988</v>
      </c>
      <c r="CI57" s="201">
        <f t="shared" si="314"/>
        <v>1075.5464496993816</v>
      </c>
      <c r="CJ57" s="69">
        <f t="shared" si="314"/>
        <v>993.07407109753808</v>
      </c>
      <c r="CK57" s="69">
        <f t="shared" si="314"/>
        <v>861.37561862978521</v>
      </c>
      <c r="CL57" s="69">
        <f t="shared" ref="CL57:DI57" si="315">SUM(1000*(CL53))/CL10</f>
        <v>767.14520137905231</v>
      </c>
      <c r="CM57" s="69">
        <f t="shared" si="315"/>
        <v>960.09575360545455</v>
      </c>
      <c r="CN57" s="69">
        <f t="shared" si="315"/>
        <v>1296.7001672356955</v>
      </c>
      <c r="CO57" s="69">
        <f t="shared" si="315"/>
        <v>1742.2987635091163</v>
      </c>
      <c r="CP57" s="69">
        <f t="shared" si="315"/>
        <v>1714.9560776955716</v>
      </c>
      <c r="CQ57" s="69">
        <f t="shared" si="315"/>
        <v>1489.9080007884124</v>
      </c>
      <c r="CR57" s="69">
        <f t="shared" si="315"/>
        <v>1106.9876312843203</v>
      </c>
      <c r="CS57" s="69">
        <f t="shared" si="315"/>
        <v>828.65778579202322</v>
      </c>
      <c r="CT57" s="89">
        <f t="shared" si="315"/>
        <v>978.95306820668577</v>
      </c>
      <c r="CU57" s="69">
        <f t="shared" si="315"/>
        <v>1286.5704182911024</v>
      </c>
      <c r="CV57" s="69">
        <f t="shared" si="315"/>
        <v>1170.8556087000568</v>
      </c>
      <c r="CW57" s="69">
        <f t="shared" si="315"/>
        <v>1009.2078575761122</v>
      </c>
      <c r="CX57" s="69">
        <f t="shared" si="315"/>
        <v>775.18997832462071</v>
      </c>
      <c r="CY57" s="69">
        <f t="shared" si="315"/>
        <v>938.23099484992656</v>
      </c>
      <c r="CZ57" s="69">
        <f t="shared" si="315"/>
        <v>1468.5754459178918</v>
      </c>
      <c r="DA57" s="69">
        <f t="shared" si="315"/>
        <v>1585.5672481204599</v>
      </c>
      <c r="DB57" s="69">
        <f t="shared" si="315"/>
        <v>1758.5505399990484</v>
      </c>
      <c r="DC57" s="69">
        <f t="shared" si="315"/>
        <v>1619.2544158595801</v>
      </c>
      <c r="DD57" s="69">
        <f t="shared" si="315"/>
        <v>1098.3102409638552</v>
      </c>
      <c r="DE57" s="69">
        <f t="shared" si="315"/>
        <v>861.21051604155343</v>
      </c>
      <c r="DF57" s="89">
        <f t="shared" si="315"/>
        <v>918.07494977510851</v>
      </c>
      <c r="DG57" s="69">
        <f t="shared" si="315"/>
        <v>1112.4441015703167</v>
      </c>
      <c r="DH57" s="69">
        <f t="shared" si="315"/>
        <v>1222.9142277128269</v>
      </c>
      <c r="DI57" s="69">
        <f t="shared" si="315"/>
        <v>841.42606760912224</v>
      </c>
      <c r="DJ57" s="69">
        <f>SUM(1000*(DJ53))/DJ10</f>
        <v>857.6532436953637</v>
      </c>
      <c r="DK57" s="69">
        <f>SUM(1000*(DK53))/DK10</f>
        <v>1008.810888402259</v>
      </c>
      <c r="DL57" s="69">
        <f t="shared" ref="DL57:DR57" si="316">SUM(1000*(DL53))/DL10</f>
        <v>1482.5275467312956</v>
      </c>
      <c r="DM57" s="69">
        <f t="shared" si="316"/>
        <v>1809.982965026049</v>
      </c>
      <c r="DN57" s="69">
        <f t="shared" si="316"/>
        <v>1891.43977158248</v>
      </c>
      <c r="DO57" s="69">
        <f t="shared" si="316"/>
        <v>1722.9757408180301</v>
      </c>
      <c r="DP57" s="69">
        <f t="shared" si="316"/>
        <v>1162.2211897851371</v>
      </c>
      <c r="DQ57" s="69">
        <f t="shared" si="316"/>
        <v>853.98459193686449</v>
      </c>
      <c r="DR57" s="69">
        <f t="shared" si="316"/>
        <v>955.27453210090346</v>
      </c>
      <c r="DS57" s="69">
        <f t="shared" ref="DS57:FT57" si="317">SUM(1000*(DS53))/DS10</f>
        <v>1058.9337993635556</v>
      </c>
      <c r="DT57" s="69">
        <f t="shared" si="317"/>
        <v>933.58974091371613</v>
      </c>
      <c r="DU57" s="69">
        <f t="shared" si="317"/>
        <v>847.94841009968707</v>
      </c>
      <c r="DV57" s="359">
        <f t="shared" si="317"/>
        <v>976.66521314811359</v>
      </c>
      <c r="DW57" s="359">
        <f t="shared" si="317"/>
        <v>1068.0811337576977</v>
      </c>
      <c r="DX57" s="359">
        <f t="shared" si="317"/>
        <v>1419.2925183465318</v>
      </c>
      <c r="DY57" s="359">
        <f t="shared" si="317"/>
        <v>1623.5787348586809</v>
      </c>
      <c r="DZ57" s="359">
        <f t="shared" si="317"/>
        <v>1774.2929193651842</v>
      </c>
      <c r="EA57" s="359">
        <f t="shared" si="317"/>
        <v>1569.8482082365779</v>
      </c>
      <c r="EB57" s="359">
        <f t="shared" si="317"/>
        <v>1095.2053860576104</v>
      </c>
      <c r="EC57" s="359">
        <f t="shared" si="317"/>
        <v>899.21509091002963</v>
      </c>
      <c r="ED57" s="359">
        <f t="shared" si="317"/>
        <v>889.82641828958492</v>
      </c>
      <c r="EE57" s="359">
        <f t="shared" si="317"/>
        <v>1157.2916174613117</v>
      </c>
      <c r="EF57" s="359">
        <f t="shared" si="317"/>
        <v>936.66363444805916</v>
      </c>
      <c r="EG57" s="359">
        <f t="shared" si="317"/>
        <v>845.28483237456953</v>
      </c>
      <c r="EH57" s="359">
        <f t="shared" si="317"/>
        <v>806.60657166290753</v>
      </c>
      <c r="EI57" s="359">
        <f t="shared" si="317"/>
        <v>901.40101611145508</v>
      </c>
      <c r="EJ57" s="359">
        <f t="shared" si="317"/>
        <v>1349.0633656775649</v>
      </c>
      <c r="EK57" s="359">
        <f t="shared" si="317"/>
        <v>1688.6801636388709</v>
      </c>
      <c r="EL57" s="359">
        <f t="shared" si="317"/>
        <v>1673.0467088037965</v>
      </c>
      <c r="EM57" s="359">
        <f t="shared" si="317"/>
        <v>1602.9697656724725</v>
      </c>
      <c r="EN57" s="359">
        <f t="shared" si="317"/>
        <v>1208.8664428847524</v>
      </c>
      <c r="EO57" s="359">
        <f t="shared" si="317"/>
        <v>832.13203595872915</v>
      </c>
      <c r="EP57" s="359">
        <f t="shared" si="317"/>
        <v>1128.3673199219963</v>
      </c>
      <c r="EQ57" s="359">
        <f t="shared" si="317"/>
        <v>1262.9508179985196</v>
      </c>
      <c r="ER57" s="359">
        <f t="shared" si="317"/>
        <v>1222.5656440092519</v>
      </c>
      <c r="ES57" s="359">
        <f t="shared" si="317"/>
        <v>963.20468519741871</v>
      </c>
      <c r="ET57" s="359">
        <f t="shared" si="317"/>
        <v>897.35109352006896</v>
      </c>
      <c r="EU57" s="359">
        <f t="shared" si="317"/>
        <v>864.63246111545152</v>
      </c>
      <c r="EV57" s="359">
        <f t="shared" si="317"/>
        <v>1306.7237648391206</v>
      </c>
      <c r="EW57" s="359">
        <f t="shared" si="317"/>
        <v>1565.428443089595</v>
      </c>
      <c r="EX57" s="359">
        <f t="shared" si="317"/>
        <v>1619.0755117864446</v>
      </c>
      <c r="EY57" s="359">
        <f t="shared" si="317"/>
        <v>1570.1322885875286</v>
      </c>
      <c r="EZ57" s="359">
        <f t="shared" si="317"/>
        <v>1166.2139936346791</v>
      </c>
      <c r="FA57" s="359">
        <f t="shared" si="317"/>
        <v>906.02374723284368</v>
      </c>
      <c r="FB57" s="359">
        <f t="shared" si="317"/>
        <v>914.70726889848265</v>
      </c>
      <c r="FC57" s="359">
        <f t="shared" si="317"/>
        <v>1217.7264648290404</v>
      </c>
      <c r="FD57" s="359">
        <f t="shared" si="317"/>
        <v>1082.9922077661427</v>
      </c>
      <c r="FE57" s="359">
        <f t="shared" si="317"/>
        <v>1119.7871444681118</v>
      </c>
      <c r="FF57" s="359">
        <f t="shared" si="317"/>
        <v>874.6438746438746</v>
      </c>
      <c r="FG57" s="359">
        <f t="shared" si="317"/>
        <v>949.22283421630573</v>
      </c>
      <c r="FH57" s="359">
        <f t="shared" si="317"/>
        <v>1289.9528219465315</v>
      </c>
      <c r="FI57" s="359">
        <f t="shared" si="317"/>
        <v>1652.7707818582242</v>
      </c>
      <c r="FJ57" s="359">
        <f t="shared" si="317"/>
        <v>1815.0132657624088</v>
      </c>
      <c r="FK57" s="359">
        <f t="shared" si="317"/>
        <v>1527.9793937287423</v>
      </c>
      <c r="FL57" s="359">
        <f t="shared" si="317"/>
        <v>1221.4992516379712</v>
      </c>
      <c r="FM57" s="359">
        <f t="shared" si="317"/>
        <v>874.94599789936785</v>
      </c>
      <c r="FN57" s="359">
        <f t="shared" si="317"/>
        <v>894.45702029858433</v>
      </c>
      <c r="FO57" s="359">
        <f t="shared" si="317"/>
        <v>1111.7866714134552</v>
      </c>
      <c r="FP57" s="359">
        <f t="shared" si="317"/>
        <v>985.77769653012115</v>
      </c>
      <c r="FQ57" s="359">
        <f t="shared" si="317"/>
        <v>817.3029924509857</v>
      </c>
      <c r="FR57" s="359">
        <f t="shared" si="317"/>
        <v>826.72013917637548</v>
      </c>
      <c r="FS57" s="359">
        <f t="shared" si="317"/>
        <v>997.82183676081161</v>
      </c>
      <c r="FT57" s="359">
        <f t="shared" si="317"/>
        <v>1263.7675077607284</v>
      </c>
      <c r="FU57" s="339"/>
    </row>
    <row r="58" spans="2:177" ht="13.8" x14ac:dyDescent="0.3">
      <c r="B58" s="3"/>
      <c r="C58" s="232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32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32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32"/>
      <c r="AN58" s="230"/>
      <c r="AO58" s="230"/>
      <c r="AP58" s="230"/>
      <c r="AQ58" s="230"/>
      <c r="AR58" s="230"/>
      <c r="AS58" s="230"/>
      <c r="AT58" s="230"/>
      <c r="AU58" s="230"/>
      <c r="AV58" s="230">
        <f>1000*AV53/AV10</f>
        <v>1397.5630845344056</v>
      </c>
      <c r="AW58" s="230"/>
      <c r="AX58" s="231"/>
      <c r="AY58" s="232"/>
      <c r="AZ58" s="230"/>
      <c r="BA58" s="230"/>
      <c r="BB58" s="230"/>
      <c r="BC58" s="230"/>
      <c r="BD58" s="230"/>
      <c r="BE58" s="230"/>
      <c r="BF58" s="230"/>
      <c r="BG58" s="230"/>
      <c r="BH58" s="230">
        <f>1000*BH53/BH10</f>
        <v>1195.6138188734883</v>
      </c>
      <c r="BI58" s="230"/>
      <c r="BJ58" s="231"/>
      <c r="BK58" s="232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1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1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60"/>
      <c r="DG58" s="291"/>
      <c r="DH58" s="58"/>
      <c r="DI58" s="58"/>
      <c r="DJ58" s="58"/>
      <c r="DK58" s="58"/>
      <c r="DL58" s="58"/>
      <c r="DV58" s="302"/>
      <c r="DW58" s="302"/>
      <c r="DX58" s="302"/>
      <c r="EE58" s="302"/>
      <c r="EF58" s="302"/>
      <c r="EG58" s="302"/>
      <c r="FU58" s="339"/>
    </row>
    <row r="59" spans="2:177" ht="13.8" x14ac:dyDescent="0.3">
      <c r="B59" s="303" t="s">
        <v>13</v>
      </c>
      <c r="C59" s="237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7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7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7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7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7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6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20"/>
      <c r="DV59" s="302"/>
      <c r="DW59" s="302"/>
      <c r="DX59" s="302"/>
      <c r="EE59" s="302"/>
      <c r="EF59" s="302"/>
      <c r="EG59" s="302"/>
      <c r="FU59" s="339"/>
    </row>
    <row r="60" spans="2:177" ht="13.8" x14ac:dyDescent="0.3">
      <c r="B60" s="3"/>
      <c r="C60" s="201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201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201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201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201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201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8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20"/>
      <c r="DV60" s="302"/>
      <c r="DW60" s="302"/>
      <c r="DX60" s="302"/>
      <c r="EE60" s="302"/>
      <c r="EF60" s="302"/>
      <c r="EG60" s="302"/>
      <c r="FU60" s="339"/>
    </row>
    <row r="61" spans="2:177" ht="13.8" x14ac:dyDescent="0.3">
      <c r="B61" s="3" t="s">
        <v>1</v>
      </c>
      <c r="C61" s="201">
        <v>139963.5</v>
      </c>
      <c r="D61" s="69">
        <v>114134.3</v>
      </c>
      <c r="E61" s="69">
        <v>108768.3</v>
      </c>
      <c r="F61" s="69">
        <v>108333</v>
      </c>
      <c r="G61" s="69">
        <v>129119.2</v>
      </c>
      <c r="H61" s="69">
        <v>115376.3</v>
      </c>
      <c r="I61" s="69">
        <v>137495.29999999999</v>
      </c>
      <c r="J61" s="69">
        <v>136812.95000000001</v>
      </c>
      <c r="K61" s="69">
        <v>140081.97</v>
      </c>
      <c r="L61" s="69">
        <v>108318.2</v>
      </c>
      <c r="M61" s="69">
        <v>86165.21</v>
      </c>
      <c r="N61" s="89">
        <v>87852.65</v>
      </c>
      <c r="O61" s="201">
        <f>7309+78628</f>
        <v>85937</v>
      </c>
      <c r="P61" s="69">
        <f>7179+79240</f>
        <v>86419</v>
      </c>
      <c r="Q61" s="69">
        <f>7521+78682</f>
        <v>86203</v>
      </c>
      <c r="R61" s="69">
        <f>6978.34+77758.8</f>
        <v>84737.14</v>
      </c>
      <c r="S61" s="69">
        <f>8615.03+90763.05</f>
        <v>99378.08</v>
      </c>
      <c r="T61" s="69">
        <f>9760.58+100574.18</f>
        <v>110334.76</v>
      </c>
      <c r="U61" s="69">
        <f>10252.9+112844.66</f>
        <v>123097.56</v>
      </c>
      <c r="V61" s="69">
        <f>11840.19+109595.14</f>
        <v>121435.33</v>
      </c>
      <c r="W61" s="69">
        <f>9103.89+97468.13</f>
        <v>106572.02</v>
      </c>
      <c r="X61" s="69">
        <f>7493.31+91017.41</f>
        <v>98510.720000000001</v>
      </c>
      <c r="Y61" s="69">
        <f>70831.19+6173.9</f>
        <v>77005.09</v>
      </c>
      <c r="Z61" s="89">
        <f>6176.01+63691.48</f>
        <v>69867.490000000005</v>
      </c>
      <c r="AA61" s="201">
        <f>6287.97+64970.97</f>
        <v>71258.94</v>
      </c>
      <c r="AB61" s="69">
        <f>6523.93+63909.73</f>
        <v>70433.66</v>
      </c>
      <c r="AC61" s="69">
        <f>5147.93+58621.32</f>
        <v>63769.25</v>
      </c>
      <c r="AD61" s="69">
        <f>3271.41+60258.29</f>
        <v>63529.7</v>
      </c>
      <c r="AE61" s="69">
        <f>3475.86+65103.33</f>
        <v>68579.19</v>
      </c>
      <c r="AF61" s="69">
        <f>4043.09+75404.22</f>
        <v>79447.31</v>
      </c>
      <c r="AG61" s="69">
        <f>3975.76+78546.45</f>
        <v>82522.209999999992</v>
      </c>
      <c r="AH61" s="69">
        <f>4167.68+82201.65</f>
        <v>86369.329999999987</v>
      </c>
      <c r="AI61" s="69">
        <f>4013.57+77338.82</f>
        <v>81352.390000000014</v>
      </c>
      <c r="AJ61" s="69">
        <f>3186.96+67009.91</f>
        <v>70196.87000000001</v>
      </c>
      <c r="AK61" s="69">
        <f>2952.63+59866.12</f>
        <v>62818.75</v>
      </c>
      <c r="AL61" s="89">
        <f>3782.68+55601.15</f>
        <v>59383.83</v>
      </c>
      <c r="AM61" s="201">
        <f>3193.5+52994.13</f>
        <v>56187.63</v>
      </c>
      <c r="AN61" s="69">
        <f>3009.79+51019.93</f>
        <v>54029.72</v>
      </c>
      <c r="AO61" s="69">
        <f>2673.18+48684.79</f>
        <v>51357.97</v>
      </c>
      <c r="AP61" s="69">
        <f>2413.72+46748.55</f>
        <v>49162.270000000004</v>
      </c>
      <c r="AQ61" s="69">
        <f>52239.21+2571.96</f>
        <v>54811.17</v>
      </c>
      <c r="AR61" s="69">
        <f>3344.1+61560.67</f>
        <v>64904.77</v>
      </c>
      <c r="AS61" s="69">
        <f>3928.36+67948.67</f>
        <v>71877.03</v>
      </c>
      <c r="AT61" s="69">
        <f>3729.84+65594.01</f>
        <v>69323.849999999991</v>
      </c>
      <c r="AU61" s="69">
        <f>3432.94+64906.33</f>
        <v>68339.27</v>
      </c>
      <c r="AV61" s="69">
        <f>57542.76+3058</f>
        <v>60600.76</v>
      </c>
      <c r="AW61" s="69">
        <f>2262.37+46444.34</f>
        <v>48706.71</v>
      </c>
      <c r="AX61" s="89">
        <f>2563.23+44534.2</f>
        <v>47097.43</v>
      </c>
      <c r="AY61" s="201">
        <f>2635.38+44509.7</f>
        <v>47145.079999999994</v>
      </c>
      <c r="AZ61" s="69">
        <f>2335.56+43606</f>
        <v>45941.56</v>
      </c>
      <c r="BA61" s="69">
        <f>2364.31+46938.6</f>
        <v>49302.909999999996</v>
      </c>
      <c r="BB61" s="69">
        <f>2195.01+47231.77</f>
        <v>49426.78</v>
      </c>
      <c r="BC61" s="69">
        <f>2353.39+51977.01</f>
        <v>54330.400000000001</v>
      </c>
      <c r="BD61" s="69">
        <f>2999.63+61308.67</f>
        <v>64308.299999999996</v>
      </c>
      <c r="BE61" s="69">
        <f>3200.17+60637.34</f>
        <v>63837.509999999995</v>
      </c>
      <c r="BF61" s="69">
        <f>3550.35+65086.06</f>
        <v>68636.41</v>
      </c>
      <c r="BG61" s="69">
        <f>3119.78+59363.06</f>
        <v>62482.84</v>
      </c>
      <c r="BH61" s="69">
        <f>2377.86+50593.19</f>
        <v>52971.05</v>
      </c>
      <c r="BI61" s="69">
        <f>2104.92+42157.48</f>
        <v>44262.400000000001</v>
      </c>
      <c r="BJ61" s="89">
        <f>3138.59+40588.73</f>
        <v>43727.320000000007</v>
      </c>
      <c r="BK61" s="201">
        <f>3623.99+39713.87</f>
        <v>43337.86</v>
      </c>
      <c r="BL61" s="69">
        <f>3794.03+43345.5</f>
        <v>47139.53</v>
      </c>
      <c r="BM61" s="69">
        <f>2876+39922.45</f>
        <v>42798.45</v>
      </c>
      <c r="BN61" s="69">
        <f>2528.04+37777.09</f>
        <v>40305.129999999997</v>
      </c>
      <c r="BO61" s="69">
        <f>2825.66+42029.97</f>
        <v>44855.630000000005</v>
      </c>
      <c r="BP61" s="69">
        <f>3283.17+46059.49</f>
        <v>49342.659999999996</v>
      </c>
      <c r="BQ61" s="69">
        <f>3663.24+48323.56</f>
        <v>51986.799999999996</v>
      </c>
      <c r="BR61" s="69">
        <f>4028.31+51155.58</f>
        <v>55183.89</v>
      </c>
      <c r="BS61" s="69">
        <f>3831.72+50124.41</f>
        <v>53956.130000000005</v>
      </c>
      <c r="BT61" s="69">
        <f>3976.61+45243.34</f>
        <v>49219.95</v>
      </c>
      <c r="BU61" s="69">
        <f>2830.28+36096.96</f>
        <v>38927.24</v>
      </c>
      <c r="BV61" s="89">
        <f>2890.07+32677.83</f>
        <v>35567.9</v>
      </c>
      <c r="BW61" s="201">
        <f>3633.82+34741.01</f>
        <v>38374.83</v>
      </c>
      <c r="BX61" s="69">
        <f>33733+3253.33</f>
        <v>36986.33</v>
      </c>
      <c r="BY61" s="69">
        <f>2895.45+32560.94</f>
        <v>35456.39</v>
      </c>
      <c r="BZ61" s="69">
        <f>2965.57+32793.46</f>
        <v>35759.03</v>
      </c>
      <c r="CA61" s="69">
        <f>2916.69+34228.15</f>
        <v>37144.840000000004</v>
      </c>
      <c r="CB61" s="69">
        <f>3650.19+39681.52</f>
        <v>43331.71</v>
      </c>
      <c r="CC61" s="69">
        <f>4123.49+42904.11</f>
        <v>47027.6</v>
      </c>
      <c r="CD61" s="69">
        <f>3968.2+41668.53</f>
        <v>45636.729999999996</v>
      </c>
      <c r="CE61" s="69">
        <f>3303.57+34945.17</f>
        <v>38248.74</v>
      </c>
      <c r="CF61" s="69">
        <f>2708.2+27309.11</f>
        <v>30017.31</v>
      </c>
      <c r="CG61" s="69">
        <f>2289.26+22961.96</f>
        <v>25251.22</v>
      </c>
      <c r="CH61" s="89">
        <f>2487.7+21754.11</f>
        <v>24241.81</v>
      </c>
      <c r="CI61" s="201">
        <f>2796.98+22439.84</f>
        <v>25236.82</v>
      </c>
      <c r="CJ61" s="69">
        <f>2736.82+23433.71</f>
        <v>26170.53</v>
      </c>
      <c r="CK61" s="69">
        <f>2286+22643.96</f>
        <v>24929.96</v>
      </c>
      <c r="CL61" s="69">
        <f>2083.94+20651.56</f>
        <v>22735.5</v>
      </c>
      <c r="CM61" s="69">
        <f>2204.55+22373.66</f>
        <v>24578.21</v>
      </c>
      <c r="CN61" s="69">
        <f>2500.11+24767.26</f>
        <v>27267.37</v>
      </c>
      <c r="CO61" s="69">
        <f>3117.74+27430.14</f>
        <v>30547.879999999997</v>
      </c>
      <c r="CP61" s="275">
        <f>3073.36+27641.15</f>
        <v>30714.510000000002</v>
      </c>
      <c r="CQ61" s="69">
        <f>2761.42+25093.17</f>
        <v>27854.589999999997</v>
      </c>
      <c r="CR61" s="69">
        <f>2340.54+21008.82</f>
        <v>23349.360000000001</v>
      </c>
      <c r="CS61" s="69">
        <f>2089.24+17562.74</f>
        <v>19651.980000000003</v>
      </c>
      <c r="CT61" s="89">
        <f>2276.56+16518.32</f>
        <v>18794.88</v>
      </c>
      <c r="CU61" s="288">
        <f>2494.24+18957.15</f>
        <v>21451.39</v>
      </c>
      <c r="CV61" s="12">
        <f>2411.03+18773.78</f>
        <v>21184.809999999998</v>
      </c>
      <c r="CW61" s="12">
        <f>2258.26+18511.01</f>
        <v>20769.269999999997</v>
      </c>
      <c r="CX61" s="12">
        <f>1861.7+17139.98</f>
        <v>19001.68</v>
      </c>
      <c r="CY61" s="12">
        <f>1936.97+18415.83</f>
        <v>20352.800000000003</v>
      </c>
      <c r="CZ61" s="12">
        <f>2542.14+23769.62</f>
        <v>26311.759999999998</v>
      </c>
      <c r="DA61" s="12">
        <f>2418.3+23259.36</f>
        <v>25677.66</v>
      </c>
      <c r="DB61" s="12">
        <f>2694.1+25033.77</f>
        <v>27727.87</v>
      </c>
      <c r="DC61" s="12">
        <f>2554.05+23222.29</f>
        <v>25776.34</v>
      </c>
      <c r="DD61" s="12">
        <f>2056.33+18917.97</f>
        <v>20974.300000000003</v>
      </c>
      <c r="DE61" s="12">
        <f>1764.98+16342.85</f>
        <v>18107.830000000002</v>
      </c>
      <c r="DF61" s="207">
        <f>1822.67+15058.43</f>
        <v>16881.099999999999</v>
      </c>
      <c r="DG61" s="12">
        <f>2084.99+16488.45</f>
        <v>18573.440000000002</v>
      </c>
      <c r="DH61" s="12">
        <f>1961.45+18457.23</f>
        <v>20418.68</v>
      </c>
      <c r="DI61" s="12">
        <f>1637.65+17142.83</f>
        <v>18780.480000000003</v>
      </c>
      <c r="DJ61" s="12">
        <f>1468.25+18077.26</f>
        <v>19545.509999999998</v>
      </c>
      <c r="DK61" s="12">
        <f>1646.28+18654.66</f>
        <v>20300.939999999999</v>
      </c>
      <c r="DL61" s="12">
        <f>2032.55+22378.03</f>
        <v>24410.579999999998</v>
      </c>
      <c r="DM61" s="12">
        <f>2125.93+24766.53</f>
        <v>26892.46</v>
      </c>
      <c r="DN61" s="12">
        <f>2462.76+26417.96</f>
        <v>28880.720000000001</v>
      </c>
      <c r="DO61" s="12">
        <f>2169.69+25300.19</f>
        <v>27469.879999999997</v>
      </c>
      <c r="DP61" s="12">
        <f>1843.06+19233.45</f>
        <v>21076.510000000002</v>
      </c>
      <c r="DQ61" s="12">
        <f>1357.09+15667.42</f>
        <v>17024.509999999998</v>
      </c>
      <c r="DR61" s="12">
        <f>1549.85+14893.38</f>
        <v>16443.23</v>
      </c>
      <c r="DS61" s="12">
        <f>1726.77+15310.97</f>
        <v>17037.739999999998</v>
      </c>
      <c r="DT61" s="12">
        <f>1545.22+15554.57</f>
        <v>17099.79</v>
      </c>
      <c r="DU61" s="12">
        <f>1394.99+15433.8</f>
        <v>16828.79</v>
      </c>
      <c r="DV61" s="309">
        <f>1337.9+15259.44</f>
        <v>16597.34</v>
      </c>
      <c r="DW61" s="309">
        <f>1225.86+14116.91</f>
        <v>15342.77</v>
      </c>
      <c r="DX61" s="309">
        <f>534.34+2599.33</f>
        <v>3133.67</v>
      </c>
      <c r="DY61" s="309">
        <f>533.83+727.92</f>
        <v>1261.75</v>
      </c>
      <c r="DZ61" s="309">
        <f>562.29+664.54</f>
        <v>1226.83</v>
      </c>
      <c r="EA61" s="309">
        <f>462.25+611.27</f>
        <v>1073.52</v>
      </c>
      <c r="EB61" s="309">
        <v>757.09</v>
      </c>
      <c r="EC61" s="309">
        <v>663.21</v>
      </c>
      <c r="ED61" s="309">
        <v>620.21</v>
      </c>
      <c r="EE61" s="12">
        <f>411.06+365.04</f>
        <v>776.1</v>
      </c>
      <c r="EF61" s="12">
        <f>335.14+182.67</f>
        <v>517.80999999999995</v>
      </c>
      <c r="EG61" s="12">
        <f>304.48+271.49</f>
        <v>575.97</v>
      </c>
      <c r="EH61" s="12">
        <f>360.44+276.31</f>
        <v>636.75</v>
      </c>
      <c r="EI61" s="12">
        <f>208.86+288.71</f>
        <v>497.57</v>
      </c>
      <c r="EJ61" s="12">
        <f>411.48+356.44</f>
        <v>767.92000000000007</v>
      </c>
      <c r="EK61" s="12">
        <f>418.88+513.44</f>
        <v>932.32</v>
      </c>
      <c r="EL61" s="12">
        <f>423.05+501.34</f>
        <v>924.39</v>
      </c>
      <c r="EM61" s="12">
        <f>402.11+483.97</f>
        <v>886.08</v>
      </c>
      <c r="EN61" s="12">
        <f>325.07+664.47</f>
        <v>989.54</v>
      </c>
      <c r="EO61" s="12">
        <f>244.07+500.16</f>
        <v>744.23</v>
      </c>
      <c r="EP61" s="12">
        <f>326.37+679.75</f>
        <v>1006.12</v>
      </c>
      <c r="EQ61" s="12">
        <f>368.45+770.97</f>
        <v>1139.42</v>
      </c>
      <c r="ER61" s="12">
        <f>352.29+767.66</f>
        <v>1119.95</v>
      </c>
      <c r="ES61" s="12">
        <f>295.82+616.39</f>
        <v>912.21</v>
      </c>
      <c r="ET61" s="12">
        <f>218+525.68</f>
        <v>743.68</v>
      </c>
      <c r="EU61" s="12">
        <f>251.5+639.02</f>
        <v>890.52</v>
      </c>
      <c r="EV61" s="12">
        <f>271.2+800.53</f>
        <v>1071.73</v>
      </c>
      <c r="EW61" s="68">
        <v>1274.02</v>
      </c>
      <c r="EX61" s="68">
        <v>1309.78</v>
      </c>
      <c r="EY61" s="68">
        <v>1247.6600000000001</v>
      </c>
      <c r="EZ61" s="512">
        <v>979.25</v>
      </c>
      <c r="FA61" s="512">
        <v>873.7</v>
      </c>
      <c r="FB61" s="512">
        <v>862.94</v>
      </c>
      <c r="FC61" s="297">
        <v>1169.04</v>
      </c>
      <c r="FD61" s="297">
        <v>1068.28</v>
      </c>
      <c r="FE61" s="297">
        <v>1057.4100000000001</v>
      </c>
      <c r="FF61" s="297">
        <v>823</v>
      </c>
      <c r="FG61" s="297">
        <v>840</v>
      </c>
      <c r="FH61" s="297">
        <v>1063</v>
      </c>
      <c r="FI61" s="551">
        <f>324.92+534.66</f>
        <v>859.57999999999993</v>
      </c>
      <c r="FJ61" s="551">
        <f>362.57+610.28</f>
        <v>972.84999999999991</v>
      </c>
      <c r="FK61" s="551">
        <f>310.07+538.97</f>
        <v>849.04</v>
      </c>
      <c r="FL61" s="551">
        <f>257.24+448.35</f>
        <v>705.59</v>
      </c>
      <c r="FM61" s="551">
        <f>192.39+317.11</f>
        <v>509.5</v>
      </c>
      <c r="FN61" s="551">
        <f>218.46+322.24</f>
        <v>540.70000000000005</v>
      </c>
      <c r="FO61" s="551">
        <f>268.43+367.91</f>
        <v>636.34</v>
      </c>
      <c r="FP61" s="551">
        <f>229.67+362.07</f>
        <v>591.74</v>
      </c>
      <c r="FQ61" s="551">
        <f>190.63+302.27</f>
        <v>492.9</v>
      </c>
      <c r="FR61" s="551">
        <f>191.04+310.48</f>
        <v>501.52</v>
      </c>
      <c r="FS61" s="551">
        <f>205.78+339.48</f>
        <v>545.26</v>
      </c>
      <c r="FT61" s="551">
        <f>234+416.75</f>
        <v>650.75</v>
      </c>
      <c r="FU61" s="339"/>
    </row>
    <row r="62" spans="2:177" ht="14.4" thickBot="1" x14ac:dyDescent="0.35">
      <c r="B62" s="5" t="s">
        <v>8</v>
      </c>
      <c r="C62" s="210">
        <v>18164.900000000001</v>
      </c>
      <c r="D62" s="92">
        <v>27742.2</v>
      </c>
      <c r="E62" s="92">
        <v>33047.08</v>
      </c>
      <c r="F62" s="92">
        <v>49284.98</v>
      </c>
      <c r="G62" s="92">
        <v>51327.8</v>
      </c>
      <c r="H62" s="92">
        <v>59686.1</v>
      </c>
      <c r="I62" s="92">
        <v>55446.9</v>
      </c>
      <c r="J62" s="92">
        <v>56088.32</v>
      </c>
      <c r="K62" s="92">
        <v>66165.61</v>
      </c>
      <c r="L62" s="92">
        <v>74740.23</v>
      </c>
      <c r="M62" s="92">
        <v>58123.78</v>
      </c>
      <c r="N62" s="93">
        <v>55845.42</v>
      </c>
      <c r="O62" s="210">
        <f>2538+49722</f>
        <v>52260</v>
      </c>
      <c r="P62" s="92">
        <f>2314+53920</f>
        <v>56234</v>
      </c>
      <c r="Q62" s="92">
        <f>1986+56000</f>
        <v>57986</v>
      </c>
      <c r="R62" s="92">
        <f>2027.83+57244.2</f>
        <v>59272.03</v>
      </c>
      <c r="S62" s="92">
        <f>2059.27+60022.45</f>
        <v>62081.719999999994</v>
      </c>
      <c r="T62" s="92">
        <f>2185.47+74512.53</f>
        <v>76698</v>
      </c>
      <c r="U62" s="92">
        <f>2150+85715.51+0.7</f>
        <v>87866.209999999992</v>
      </c>
      <c r="V62" s="92">
        <f>2234.95+80284.43</f>
        <v>82519.37999999999</v>
      </c>
      <c r="W62" s="92">
        <f>2356.77+87648.89</f>
        <v>90005.66</v>
      </c>
      <c r="X62" s="92">
        <f>2245.46+82496.93</f>
        <v>84742.39</v>
      </c>
      <c r="Y62" s="92">
        <f>74136.36+5819.02</f>
        <v>79955.38</v>
      </c>
      <c r="Z62" s="93">
        <f>2156.91+70983.86</f>
        <v>73140.77</v>
      </c>
      <c r="AA62" s="210">
        <f>2486.8+73257.11</f>
        <v>75743.91</v>
      </c>
      <c r="AB62" s="92">
        <f>2457.16+75008.86</f>
        <v>77466.02</v>
      </c>
      <c r="AC62" s="92">
        <f>1608.49+75383.05</f>
        <v>76991.540000000008</v>
      </c>
      <c r="AD62" s="92">
        <f>695.69+81474.41</f>
        <v>82170.100000000006</v>
      </c>
      <c r="AE62" s="92">
        <f>782.05+85736.18</f>
        <v>86518.23</v>
      </c>
      <c r="AF62" s="92">
        <f>904.08+103561.31</f>
        <v>104465.39</v>
      </c>
      <c r="AG62" s="92">
        <f>785.13+97645.41</f>
        <v>98430.540000000008</v>
      </c>
      <c r="AH62" s="92">
        <f>1003.46+107527.39</f>
        <v>108530.85</v>
      </c>
      <c r="AI62" s="92">
        <f>832.01+109246.92</f>
        <v>110078.93</v>
      </c>
      <c r="AJ62" s="92">
        <f>777.5+97755.12</f>
        <v>98532.62</v>
      </c>
      <c r="AK62" s="92">
        <f>891.16+93521.99</f>
        <v>94413.150000000009</v>
      </c>
      <c r="AL62" s="93">
        <f>784.05+80958.48</f>
        <v>81742.53</v>
      </c>
      <c r="AM62" s="210">
        <f>861.21+84796.41</f>
        <v>85657.62000000001</v>
      </c>
      <c r="AN62" s="92">
        <f>93106.99+1079.94</f>
        <v>94186.930000000008</v>
      </c>
      <c r="AO62" s="92">
        <f>89769.17+996.27</f>
        <v>90765.440000000002</v>
      </c>
      <c r="AP62" s="92">
        <f>930.13+87412.13</f>
        <v>88342.260000000009</v>
      </c>
      <c r="AQ62" s="92">
        <f>990.22+103270.91</f>
        <v>104261.13</v>
      </c>
      <c r="AR62" s="92">
        <f>118565.82+1202.49</f>
        <v>119768.31000000001</v>
      </c>
      <c r="AS62" s="92">
        <f>1462.07+122365.3</f>
        <v>123827.37000000001</v>
      </c>
      <c r="AT62" s="92">
        <f>1513.11+132890.79</f>
        <v>134403.9</v>
      </c>
      <c r="AU62" s="92">
        <f>1556.31+135773.73</f>
        <v>137330.04</v>
      </c>
      <c r="AV62" s="92">
        <f>1357.73+123301.29</f>
        <v>124659.01999999999</v>
      </c>
      <c r="AW62" s="92">
        <f>1137.57+102966.01</f>
        <v>104103.58</v>
      </c>
      <c r="AX62" s="93">
        <f>1214.31+96884.98</f>
        <v>98099.29</v>
      </c>
      <c r="AY62" s="210">
        <f>1218.46+93162.85</f>
        <v>94381.310000000012</v>
      </c>
      <c r="AZ62" s="92">
        <f>1089.15+92762.21</f>
        <v>93851.36</v>
      </c>
      <c r="BA62" s="92">
        <f>1046.1+98030.1</f>
        <v>99076.200000000012</v>
      </c>
      <c r="BB62" s="92">
        <f>1066.61+102538.4</f>
        <v>103605.01</v>
      </c>
      <c r="BC62" s="92">
        <f>1095.5+114845.42</f>
        <v>115940.92</v>
      </c>
      <c r="BD62" s="92">
        <f>1312.87+127754.81</f>
        <v>129067.68</v>
      </c>
      <c r="BE62" s="92">
        <f>1371.76+130137.2</f>
        <v>131508.96</v>
      </c>
      <c r="BF62" s="92">
        <f>146617.69+1479.84</f>
        <v>148097.53</v>
      </c>
      <c r="BG62" s="92">
        <f>139775.06+1377.08</f>
        <v>141152.13999999998</v>
      </c>
      <c r="BH62" s="92">
        <f>1208.76+126061.68</f>
        <v>127270.43999999999</v>
      </c>
      <c r="BI62" s="92">
        <f>1140.56+112074.88</f>
        <v>113215.44</v>
      </c>
      <c r="BJ62" s="93">
        <f>105387.19+1915.14</f>
        <v>107302.33</v>
      </c>
      <c r="BK62" s="210">
        <f>2211.66+96070.57</f>
        <v>98282.23000000001</v>
      </c>
      <c r="BL62" s="92">
        <f>107657.98+2378.74</f>
        <v>110036.72</v>
      </c>
      <c r="BM62" s="92">
        <f>1797.27+106405.08</f>
        <v>108202.35</v>
      </c>
      <c r="BN62" s="92">
        <f>1805.02+107276.93</f>
        <v>109081.95</v>
      </c>
      <c r="BO62" s="92">
        <f>2042.57+125649.84</f>
        <v>127692.41</v>
      </c>
      <c r="BP62" s="92">
        <f>2432.74+128935.14</f>
        <v>131367.88</v>
      </c>
      <c r="BQ62" s="92">
        <f>2663.21+137160.43</f>
        <v>139823.63999999998</v>
      </c>
      <c r="BR62" s="92">
        <f>2996.62+147891.77</f>
        <v>150888.38999999998</v>
      </c>
      <c r="BS62" s="92">
        <f>2921.23+154900.6</f>
        <v>157821.83000000002</v>
      </c>
      <c r="BT62" s="92">
        <f>2845.93+147763.11</f>
        <v>150609.03999999998</v>
      </c>
      <c r="BU62" s="92">
        <f>2149.43+121268.18</f>
        <v>123417.60999999999</v>
      </c>
      <c r="BV62" s="93">
        <f>2349.67+115579.25</f>
        <v>117928.92</v>
      </c>
      <c r="BW62" s="210">
        <f>2836.16+118289.81</f>
        <v>121125.97</v>
      </c>
      <c r="BX62" s="92">
        <f>118144.16+2902.57</f>
        <v>121046.73000000001</v>
      </c>
      <c r="BY62" s="92">
        <f>2629.28+115875.54</f>
        <v>118504.81999999999</v>
      </c>
      <c r="BZ62" s="92">
        <f>2951.36+121126.83</f>
        <v>124078.19</v>
      </c>
      <c r="CA62" s="92">
        <f>128008.3+3039.68</f>
        <v>131047.98</v>
      </c>
      <c r="CB62" s="92">
        <f>3782.45+149981.72</f>
        <v>153764.17000000001</v>
      </c>
      <c r="CC62" s="92">
        <f>4167.63+160068.22</f>
        <v>164235.85</v>
      </c>
      <c r="CD62" s="92">
        <f>4264.39+166505.54</f>
        <v>170769.93000000002</v>
      </c>
      <c r="CE62" s="92">
        <f>3717.19+157358.36</f>
        <v>161075.54999999999</v>
      </c>
      <c r="CF62" s="92">
        <f>3731.27+141212.37</f>
        <v>144943.63999999998</v>
      </c>
      <c r="CG62" s="92">
        <f>3288.46+124868.72</f>
        <v>128157.18000000001</v>
      </c>
      <c r="CH62" s="93">
        <f>3613.76+122225.17</f>
        <v>125838.93</v>
      </c>
      <c r="CI62" s="210">
        <f>4217.17+123515.04</f>
        <v>127732.20999999999</v>
      </c>
      <c r="CJ62" s="92">
        <f>4196.23+124763.79</f>
        <v>128960.01999999999</v>
      </c>
      <c r="CK62" s="92">
        <f>3949.49+127897.18</f>
        <v>131846.66999999998</v>
      </c>
      <c r="CL62" s="92">
        <f>3528.75+121530.81</f>
        <v>125059.56</v>
      </c>
      <c r="CM62" s="92">
        <f>3971.32+137446.24</f>
        <v>141417.56</v>
      </c>
      <c r="CN62" s="92">
        <f>4520.59+159824.81</f>
        <v>164345.4</v>
      </c>
      <c r="CO62" s="92">
        <f>5213.37+174273.9</f>
        <v>179487.27</v>
      </c>
      <c r="CP62" s="92">
        <f>5322.14+177991.69</f>
        <v>183313.83000000002</v>
      </c>
      <c r="CQ62" s="92">
        <f>5033.18+171828.77</f>
        <v>176861.94999999998</v>
      </c>
      <c r="CR62" s="92">
        <f>4423.02+150594.23</f>
        <v>155017.25</v>
      </c>
      <c r="CS62" s="92">
        <f>4131.43+127765.04</f>
        <v>131896.47</v>
      </c>
      <c r="CT62" s="93">
        <f>4588.92+123081.34</f>
        <v>127670.26</v>
      </c>
      <c r="CU62" s="289">
        <f>5360.37+128402.03</f>
        <v>133762.4</v>
      </c>
      <c r="CV62" s="13">
        <f>5388.91+131363.26</f>
        <v>136752.17000000001</v>
      </c>
      <c r="CW62" s="13">
        <f>5253.43+133809.77</f>
        <v>139063.19999999998</v>
      </c>
      <c r="CX62" s="13">
        <f>4750.5+128974.69</f>
        <v>133725.19</v>
      </c>
      <c r="CY62" s="13">
        <f>5042.86+139045.26</f>
        <v>144088.12</v>
      </c>
      <c r="CZ62" s="13">
        <f>6723.38+177299.77</f>
        <v>184023.15</v>
      </c>
      <c r="DA62" s="13">
        <f>6723.38+177299.77</f>
        <v>184023.15</v>
      </c>
      <c r="DB62" s="13">
        <f>6723.38+177299.77</f>
        <v>184023.15</v>
      </c>
      <c r="DC62" s="13">
        <f>6723.38+177299.77</f>
        <v>184023.15</v>
      </c>
      <c r="DD62" s="13">
        <f>5736.31+153121.52</f>
        <v>158857.82999999999</v>
      </c>
      <c r="DE62" s="13">
        <f>5337.8+135772.9</f>
        <v>141110.69999999998</v>
      </c>
      <c r="DF62" s="208">
        <f>5127.79+127622.78</f>
        <v>132750.57</v>
      </c>
      <c r="DG62" s="289">
        <f>5818.19+129332.55</f>
        <v>135150.74</v>
      </c>
      <c r="DH62" s="13">
        <f>4157.15+134149.16</f>
        <v>138306.31</v>
      </c>
      <c r="DI62" s="13">
        <f>3556.14+146042.98</f>
        <v>149599.12000000002</v>
      </c>
      <c r="DJ62" s="13">
        <f>3505.1+134809.08</f>
        <v>138314.18</v>
      </c>
      <c r="DK62" s="13">
        <f>3480.99+149101.92</f>
        <v>152582.91</v>
      </c>
      <c r="DL62" s="13">
        <f>4686.71+173850.36</f>
        <v>178537.06999999998</v>
      </c>
      <c r="DM62" s="13">
        <f>4697.76+188098.1</f>
        <v>192795.86000000002</v>
      </c>
      <c r="DN62" s="13">
        <f>4771.71+203317.41</f>
        <v>208089.12</v>
      </c>
      <c r="DO62" s="13">
        <f>4904.51+195684.44</f>
        <v>200588.95</v>
      </c>
      <c r="DP62" s="13">
        <v>163410.78</v>
      </c>
      <c r="DQ62" s="13">
        <v>138888.67000000001</v>
      </c>
      <c r="DR62" s="13">
        <v>135533.37</v>
      </c>
      <c r="DS62" s="13">
        <v>131124.65</v>
      </c>
      <c r="DT62" s="13">
        <v>134859.16</v>
      </c>
      <c r="DU62" s="13">
        <v>138200.10999999999</v>
      </c>
      <c r="DV62" s="368">
        <v>141675.45000000001</v>
      </c>
      <c r="DW62" s="368">
        <v>160685.6</v>
      </c>
      <c r="DX62" s="368">
        <v>189044.95</v>
      </c>
      <c r="DY62" s="368">
        <v>219945.39</v>
      </c>
      <c r="DZ62" s="370">
        <v>220707.63</v>
      </c>
      <c r="EA62" s="17">
        <v>209336.46</v>
      </c>
      <c r="EB62" s="17">
        <v>176943.35999999999</v>
      </c>
      <c r="EC62" s="17">
        <v>162069.1</v>
      </c>
      <c r="ED62" s="17">
        <v>149416.71</v>
      </c>
      <c r="EE62" s="378">
        <v>141907.13</v>
      </c>
      <c r="EF62" s="378">
        <v>160987.4</v>
      </c>
      <c r="EG62" s="378">
        <v>124531.15</v>
      </c>
      <c r="EH62" s="378">
        <v>177841.19</v>
      </c>
      <c r="EI62" s="378">
        <v>164650.62</v>
      </c>
      <c r="EJ62" s="378">
        <v>198102.02</v>
      </c>
      <c r="EK62" s="378">
        <v>212832.42</v>
      </c>
      <c r="EL62" s="378">
        <v>215227.46</v>
      </c>
      <c r="EM62" s="378">
        <v>218630.68</v>
      </c>
      <c r="EN62" s="378">
        <v>337508.46</v>
      </c>
      <c r="EO62" s="378">
        <v>274804.37400000001</v>
      </c>
      <c r="EP62" s="378">
        <v>278429.28000000003</v>
      </c>
      <c r="EQ62" s="378">
        <v>286908.28999999998</v>
      </c>
      <c r="ER62" s="378">
        <v>293290.13</v>
      </c>
      <c r="ES62" s="378">
        <v>269443.09999999998</v>
      </c>
      <c r="ET62" s="378">
        <v>279547.55</v>
      </c>
      <c r="EU62" s="378">
        <v>296736.71000000002</v>
      </c>
      <c r="EV62" s="378">
        <v>351832.7</v>
      </c>
      <c r="EW62" s="378">
        <v>374287.1</v>
      </c>
      <c r="EX62" s="378">
        <v>389265.34</v>
      </c>
      <c r="EY62" s="378">
        <v>389441.58</v>
      </c>
      <c r="EZ62" s="370">
        <v>345698.47</v>
      </c>
      <c r="FA62" s="378">
        <v>293195.34999999998</v>
      </c>
      <c r="FB62" s="378">
        <v>273728.68</v>
      </c>
      <c r="FC62" s="378">
        <v>292737.59000000003</v>
      </c>
      <c r="FD62" s="92">
        <v>285743.19</v>
      </c>
      <c r="FE62" s="92">
        <v>307686.76</v>
      </c>
      <c r="FF62" s="510">
        <v>297786</v>
      </c>
      <c r="FG62" s="510">
        <v>300595</v>
      </c>
      <c r="FH62" s="510">
        <v>340251</v>
      </c>
      <c r="FI62" s="367">
        <v>211271.55</v>
      </c>
      <c r="FJ62" s="92">
        <v>244149.28</v>
      </c>
      <c r="FK62" s="92">
        <v>220941.28</v>
      </c>
      <c r="FL62" s="92">
        <v>199833.37</v>
      </c>
      <c r="FM62" s="92">
        <v>170103.05</v>
      </c>
      <c r="FN62" s="92">
        <v>151761.32999999999</v>
      </c>
      <c r="FO62" s="92">
        <v>158773.89000000001</v>
      </c>
      <c r="FP62" s="92">
        <v>155879.14000000001</v>
      </c>
      <c r="FQ62" s="92">
        <v>160662.76</v>
      </c>
      <c r="FR62" s="92">
        <v>164694.56</v>
      </c>
      <c r="FS62" s="92">
        <v>183508.78</v>
      </c>
      <c r="FT62" s="92">
        <v>196126.24</v>
      </c>
      <c r="FU62" s="339"/>
    </row>
    <row r="63" spans="2:177" ht="13.8" thickTop="1" x14ac:dyDescent="0.25">
      <c r="B63" s="3" t="s">
        <v>9</v>
      </c>
      <c r="C63" s="115">
        <f t="shared" ref="C63:H63" si="318">SUM(C61:C62)</f>
        <v>158128.4</v>
      </c>
      <c r="D63" s="94">
        <f t="shared" si="318"/>
        <v>141876.5</v>
      </c>
      <c r="E63" s="94">
        <f t="shared" si="318"/>
        <v>141815.38</v>
      </c>
      <c r="F63" s="94">
        <f t="shared" si="318"/>
        <v>157617.98000000001</v>
      </c>
      <c r="G63" s="94">
        <f t="shared" si="318"/>
        <v>180447</v>
      </c>
      <c r="H63" s="94">
        <f t="shared" si="318"/>
        <v>175062.39999999999</v>
      </c>
      <c r="I63" s="94">
        <f t="shared" ref="I63:Q63" si="319">SUM(I61:I62)</f>
        <v>192942.19999999998</v>
      </c>
      <c r="J63" s="94">
        <f t="shared" si="319"/>
        <v>192901.27000000002</v>
      </c>
      <c r="K63" s="94">
        <f t="shared" si="319"/>
        <v>206247.58000000002</v>
      </c>
      <c r="L63" s="94">
        <f t="shared" si="319"/>
        <v>183058.43</v>
      </c>
      <c r="M63" s="94">
        <f t="shared" si="319"/>
        <v>144288.99</v>
      </c>
      <c r="N63" s="107">
        <f t="shared" si="319"/>
        <v>143698.07</v>
      </c>
      <c r="O63" s="115">
        <f t="shared" si="319"/>
        <v>138197</v>
      </c>
      <c r="P63" s="94">
        <f t="shared" si="319"/>
        <v>142653</v>
      </c>
      <c r="Q63" s="94">
        <f t="shared" si="319"/>
        <v>144189</v>
      </c>
      <c r="R63" s="94">
        <f>SUM(R61:R62)</f>
        <v>144009.16999999998</v>
      </c>
      <c r="S63" s="94">
        <f>SUM(S61:S62)</f>
        <v>161459.79999999999</v>
      </c>
      <c r="T63" s="94">
        <f>SUM(T61:T62)</f>
        <v>187032.76</v>
      </c>
      <c r="U63" s="94">
        <f t="shared" ref="U63:Z63" si="320">SUM(U61:U62)</f>
        <v>210963.77</v>
      </c>
      <c r="V63" s="94">
        <f t="shared" si="320"/>
        <v>203954.71</v>
      </c>
      <c r="W63" s="94">
        <f t="shared" si="320"/>
        <v>196577.68</v>
      </c>
      <c r="X63" s="94">
        <f t="shared" si="320"/>
        <v>183253.11</v>
      </c>
      <c r="Y63" s="94">
        <f t="shared" si="320"/>
        <v>156960.47</v>
      </c>
      <c r="Z63" s="107">
        <f t="shared" si="320"/>
        <v>143008.26</v>
      </c>
      <c r="AA63" s="115">
        <f t="shared" ref="AA63:AF63" si="321">SUM(AA61:AA62)</f>
        <v>147002.85</v>
      </c>
      <c r="AB63" s="94">
        <f t="shared" si="321"/>
        <v>147899.68</v>
      </c>
      <c r="AC63" s="94">
        <f t="shared" si="321"/>
        <v>140760.79</v>
      </c>
      <c r="AD63" s="94">
        <f t="shared" si="321"/>
        <v>145699.79999999999</v>
      </c>
      <c r="AE63" s="94">
        <f t="shared" si="321"/>
        <v>155097.41999999998</v>
      </c>
      <c r="AF63" s="94">
        <f t="shared" si="321"/>
        <v>183912.7</v>
      </c>
      <c r="AG63" s="94">
        <f t="shared" ref="AG63:AL63" si="322">SUM(AG61:AG62)</f>
        <v>180952.75</v>
      </c>
      <c r="AH63" s="94">
        <f t="shared" si="322"/>
        <v>194900.18</v>
      </c>
      <c r="AI63" s="94">
        <f t="shared" si="322"/>
        <v>191431.32</v>
      </c>
      <c r="AJ63" s="94">
        <f t="shared" si="322"/>
        <v>168729.49</v>
      </c>
      <c r="AK63" s="94">
        <f t="shared" si="322"/>
        <v>157231.90000000002</v>
      </c>
      <c r="AL63" s="107">
        <f t="shared" si="322"/>
        <v>141126.35999999999</v>
      </c>
      <c r="AM63" s="115">
        <f t="shared" ref="AM63:AR63" si="323">SUM(AM61:AM62)</f>
        <v>141845.25</v>
      </c>
      <c r="AN63" s="94">
        <f t="shared" si="323"/>
        <v>148216.65000000002</v>
      </c>
      <c r="AO63" s="94">
        <f t="shared" si="323"/>
        <v>142123.41</v>
      </c>
      <c r="AP63" s="94">
        <f t="shared" si="323"/>
        <v>137504.53000000003</v>
      </c>
      <c r="AQ63" s="94">
        <f t="shared" si="323"/>
        <v>159072.29999999999</v>
      </c>
      <c r="AR63" s="94">
        <f t="shared" si="323"/>
        <v>184673.08000000002</v>
      </c>
      <c r="AS63" s="94">
        <f t="shared" ref="AS63:AX63" si="324">SUM(AS61:AS62)</f>
        <v>195704.40000000002</v>
      </c>
      <c r="AT63" s="94">
        <f t="shared" si="324"/>
        <v>203727.75</v>
      </c>
      <c r="AU63" s="94">
        <f t="shared" si="324"/>
        <v>205669.31</v>
      </c>
      <c r="AV63" s="94">
        <f t="shared" si="324"/>
        <v>185259.78</v>
      </c>
      <c r="AW63" s="94">
        <f t="shared" si="324"/>
        <v>152810.29</v>
      </c>
      <c r="AX63" s="107">
        <f t="shared" si="324"/>
        <v>145196.72</v>
      </c>
      <c r="AY63" s="115">
        <f t="shared" ref="AY63:BJ63" si="325">SUM(AY61:AY62)</f>
        <v>141526.39000000001</v>
      </c>
      <c r="AZ63" s="94">
        <f t="shared" si="325"/>
        <v>139792.91999999998</v>
      </c>
      <c r="BA63" s="94">
        <f t="shared" si="325"/>
        <v>148379.11000000002</v>
      </c>
      <c r="BB63" s="94">
        <f t="shared" si="325"/>
        <v>153031.78999999998</v>
      </c>
      <c r="BC63" s="94">
        <f t="shared" si="325"/>
        <v>170271.32</v>
      </c>
      <c r="BD63" s="94">
        <f t="shared" si="325"/>
        <v>193375.97999999998</v>
      </c>
      <c r="BE63" s="94">
        <f t="shared" si="325"/>
        <v>195346.46999999997</v>
      </c>
      <c r="BF63" s="94">
        <f t="shared" si="325"/>
        <v>216733.94</v>
      </c>
      <c r="BG63" s="94">
        <f t="shared" si="325"/>
        <v>203634.97999999998</v>
      </c>
      <c r="BH63" s="94">
        <f t="shared" si="325"/>
        <v>180241.49</v>
      </c>
      <c r="BI63" s="94">
        <f t="shared" si="325"/>
        <v>157477.84</v>
      </c>
      <c r="BJ63" s="107">
        <f t="shared" si="325"/>
        <v>151029.65000000002</v>
      </c>
      <c r="BK63" s="115">
        <f t="shared" ref="BK63:BP63" si="326">SUM(BK61:BK62)</f>
        <v>141620.09000000003</v>
      </c>
      <c r="BL63" s="94">
        <f t="shared" si="326"/>
        <v>157176.25</v>
      </c>
      <c r="BM63" s="94">
        <f t="shared" si="326"/>
        <v>151000.79999999999</v>
      </c>
      <c r="BN63" s="94">
        <f t="shared" si="326"/>
        <v>149387.07999999999</v>
      </c>
      <c r="BO63" s="94">
        <f t="shared" si="326"/>
        <v>172548.04</v>
      </c>
      <c r="BP63" s="94">
        <f t="shared" si="326"/>
        <v>180710.54</v>
      </c>
      <c r="BQ63" s="94">
        <f t="shared" ref="BQ63:BV63" si="327">SUM(BQ61:BQ62)</f>
        <v>191810.43999999997</v>
      </c>
      <c r="BR63" s="94">
        <f t="shared" si="327"/>
        <v>206072.27999999997</v>
      </c>
      <c r="BS63" s="94">
        <f t="shared" si="327"/>
        <v>211777.96000000002</v>
      </c>
      <c r="BT63" s="94">
        <f t="shared" si="327"/>
        <v>199828.99</v>
      </c>
      <c r="BU63" s="94">
        <f t="shared" si="327"/>
        <v>162344.84999999998</v>
      </c>
      <c r="BV63" s="107">
        <f t="shared" si="327"/>
        <v>153496.82</v>
      </c>
      <c r="BW63" s="115">
        <f t="shared" ref="BW63:CB63" si="328">SUM(BW61:BW62)</f>
        <v>159500.79999999999</v>
      </c>
      <c r="BX63" s="94">
        <f t="shared" si="328"/>
        <v>158033.06</v>
      </c>
      <c r="BY63" s="94">
        <f t="shared" si="328"/>
        <v>153961.21</v>
      </c>
      <c r="BZ63" s="94">
        <f t="shared" si="328"/>
        <v>159837.22</v>
      </c>
      <c r="CA63" s="94">
        <f t="shared" si="328"/>
        <v>168192.82</v>
      </c>
      <c r="CB63" s="94">
        <f t="shared" si="328"/>
        <v>197095.88</v>
      </c>
      <c r="CC63" s="94">
        <f t="shared" ref="CC63:CH63" si="329">SUM(CC61:CC62)</f>
        <v>211263.45</v>
      </c>
      <c r="CD63" s="94">
        <f t="shared" si="329"/>
        <v>216406.66000000003</v>
      </c>
      <c r="CE63" s="94">
        <f t="shared" si="329"/>
        <v>199324.28999999998</v>
      </c>
      <c r="CF63" s="94">
        <f t="shared" si="329"/>
        <v>174960.94999999998</v>
      </c>
      <c r="CG63" s="94">
        <f t="shared" si="329"/>
        <v>153408.40000000002</v>
      </c>
      <c r="CH63" s="107">
        <f t="shared" si="329"/>
        <v>150080.74</v>
      </c>
      <c r="CI63" s="115">
        <f t="shared" ref="CI63:DK63" si="330">SUM(CI61:CI62)</f>
        <v>152969.03</v>
      </c>
      <c r="CJ63" s="94">
        <f t="shared" si="330"/>
        <v>155130.54999999999</v>
      </c>
      <c r="CK63" s="94">
        <f t="shared" si="330"/>
        <v>156776.62999999998</v>
      </c>
      <c r="CL63" s="94">
        <f t="shared" si="330"/>
        <v>147795.06</v>
      </c>
      <c r="CM63" s="94">
        <f t="shared" si="330"/>
        <v>165995.76999999999</v>
      </c>
      <c r="CN63" s="94">
        <f t="shared" si="330"/>
        <v>191612.77</v>
      </c>
      <c r="CO63" s="94">
        <f t="shared" si="330"/>
        <v>210035.15</v>
      </c>
      <c r="CP63" s="94">
        <f t="shared" si="330"/>
        <v>214028.34000000003</v>
      </c>
      <c r="CQ63" s="94">
        <f t="shared" si="330"/>
        <v>204716.53999999998</v>
      </c>
      <c r="CR63" s="94">
        <f t="shared" si="330"/>
        <v>178366.61</v>
      </c>
      <c r="CS63" s="94">
        <f t="shared" si="330"/>
        <v>151548.45000000001</v>
      </c>
      <c r="CT63" s="96">
        <f t="shared" si="330"/>
        <v>146465.13999999998</v>
      </c>
      <c r="CU63" s="94">
        <f t="shared" si="330"/>
        <v>155213.78999999998</v>
      </c>
      <c r="CV63" s="94">
        <f t="shared" si="330"/>
        <v>157936.98000000001</v>
      </c>
      <c r="CW63" s="94">
        <f t="shared" si="330"/>
        <v>159832.46999999997</v>
      </c>
      <c r="CX63" s="94">
        <f t="shared" si="330"/>
        <v>152726.87</v>
      </c>
      <c r="CY63" s="94">
        <f t="shared" si="330"/>
        <v>164440.91999999998</v>
      </c>
      <c r="CZ63" s="94">
        <f t="shared" si="330"/>
        <v>210334.91</v>
      </c>
      <c r="DA63" s="94">
        <f t="shared" si="330"/>
        <v>209700.81</v>
      </c>
      <c r="DB63" s="94">
        <f t="shared" si="330"/>
        <v>211751.02</v>
      </c>
      <c r="DC63" s="94">
        <f t="shared" si="330"/>
        <v>209799.49</v>
      </c>
      <c r="DD63" s="94">
        <f t="shared" si="330"/>
        <v>179832.13</v>
      </c>
      <c r="DE63" s="94">
        <f t="shared" si="330"/>
        <v>159218.52999999997</v>
      </c>
      <c r="DF63" s="96">
        <f t="shared" si="330"/>
        <v>149631.67000000001</v>
      </c>
      <c r="DG63" s="94">
        <f t="shared" si="330"/>
        <v>153724.18</v>
      </c>
      <c r="DH63" s="94">
        <f t="shared" si="330"/>
        <v>158724.99</v>
      </c>
      <c r="DI63" s="94">
        <f t="shared" si="330"/>
        <v>168379.60000000003</v>
      </c>
      <c r="DJ63" s="94">
        <f t="shared" si="330"/>
        <v>157859.69</v>
      </c>
      <c r="DK63" s="94">
        <f t="shared" si="330"/>
        <v>172883.85</v>
      </c>
      <c r="DL63" s="94">
        <f t="shared" ref="DL63:DR63" si="331">SUM(DL61:DL62)</f>
        <v>202947.64999999997</v>
      </c>
      <c r="DM63" s="94">
        <f t="shared" si="331"/>
        <v>219688.32000000001</v>
      </c>
      <c r="DN63" s="94">
        <f t="shared" si="331"/>
        <v>236969.84</v>
      </c>
      <c r="DO63" s="94">
        <f t="shared" si="331"/>
        <v>228058.83000000002</v>
      </c>
      <c r="DP63" s="94">
        <f t="shared" si="331"/>
        <v>184487.29</v>
      </c>
      <c r="DQ63" s="94">
        <f t="shared" si="331"/>
        <v>155913.18000000002</v>
      </c>
      <c r="DR63" s="94">
        <f t="shared" si="331"/>
        <v>151976.6</v>
      </c>
      <c r="DS63" s="94">
        <f t="shared" ref="DS63:FH63" si="332">SUM(DS61:DS62)</f>
        <v>148162.38999999998</v>
      </c>
      <c r="DT63" s="94">
        <f t="shared" si="332"/>
        <v>151958.95000000001</v>
      </c>
      <c r="DU63" s="94">
        <f t="shared" si="332"/>
        <v>155028.9</v>
      </c>
      <c r="DV63" s="358">
        <f t="shared" si="332"/>
        <v>158272.79</v>
      </c>
      <c r="DW63" s="358">
        <f t="shared" si="332"/>
        <v>176028.37</v>
      </c>
      <c r="DX63" s="358">
        <f t="shared" si="332"/>
        <v>192178.62000000002</v>
      </c>
      <c r="DY63" s="358">
        <f t="shared" si="332"/>
        <v>221207.14</v>
      </c>
      <c r="DZ63" s="358">
        <f t="shared" si="332"/>
        <v>221934.46</v>
      </c>
      <c r="EA63" s="358">
        <f t="shared" si="332"/>
        <v>210409.97999999998</v>
      </c>
      <c r="EB63" s="358">
        <f t="shared" si="332"/>
        <v>177700.44999999998</v>
      </c>
      <c r="EC63" s="358">
        <f t="shared" si="332"/>
        <v>162732.31</v>
      </c>
      <c r="ED63" s="358">
        <f t="shared" si="332"/>
        <v>150036.91999999998</v>
      </c>
      <c r="EE63" s="358">
        <f t="shared" si="332"/>
        <v>142683.23000000001</v>
      </c>
      <c r="EF63" s="358">
        <f t="shared" si="332"/>
        <v>161505.21</v>
      </c>
      <c r="EG63" s="358">
        <f t="shared" si="332"/>
        <v>125107.12</v>
      </c>
      <c r="EH63" s="358">
        <f t="shared" si="332"/>
        <v>178477.94</v>
      </c>
      <c r="EI63" s="358">
        <f t="shared" si="332"/>
        <v>165148.19</v>
      </c>
      <c r="EJ63" s="358">
        <f t="shared" si="332"/>
        <v>198869.94</v>
      </c>
      <c r="EK63" s="358">
        <f t="shared" si="332"/>
        <v>213764.74000000002</v>
      </c>
      <c r="EL63" s="358">
        <f t="shared" si="332"/>
        <v>216151.85</v>
      </c>
      <c r="EM63" s="358">
        <f t="shared" si="332"/>
        <v>219516.75999999998</v>
      </c>
      <c r="EN63" s="358">
        <f t="shared" si="332"/>
        <v>338498</v>
      </c>
      <c r="EO63" s="358">
        <f t="shared" si="332"/>
        <v>275548.60399999999</v>
      </c>
      <c r="EP63" s="358">
        <f t="shared" si="332"/>
        <v>279435.40000000002</v>
      </c>
      <c r="EQ63" s="358">
        <f t="shared" si="332"/>
        <v>288047.70999999996</v>
      </c>
      <c r="ER63" s="358">
        <f t="shared" si="332"/>
        <v>294410.08</v>
      </c>
      <c r="ES63" s="358">
        <f t="shared" si="332"/>
        <v>270355.31</v>
      </c>
      <c r="ET63" s="358">
        <f t="shared" si="332"/>
        <v>280291.23</v>
      </c>
      <c r="EU63" s="358">
        <f t="shared" si="332"/>
        <v>297627.23000000004</v>
      </c>
      <c r="EV63" s="358">
        <f t="shared" si="332"/>
        <v>352904.43</v>
      </c>
      <c r="EW63" s="358">
        <f t="shared" si="332"/>
        <v>375561.12</v>
      </c>
      <c r="EX63" s="358">
        <f t="shared" si="332"/>
        <v>390575.12000000005</v>
      </c>
      <c r="EY63" s="358">
        <f t="shared" si="332"/>
        <v>390689.24</v>
      </c>
      <c r="EZ63" s="358">
        <f t="shared" si="332"/>
        <v>346677.72</v>
      </c>
      <c r="FA63" s="358">
        <f t="shared" si="332"/>
        <v>294069.05</v>
      </c>
      <c r="FB63" s="358">
        <f t="shared" si="332"/>
        <v>274591.62</v>
      </c>
      <c r="FC63" s="358">
        <f t="shared" si="332"/>
        <v>293906.63</v>
      </c>
      <c r="FD63" s="358">
        <f t="shared" si="332"/>
        <v>286811.47000000003</v>
      </c>
      <c r="FE63" s="358">
        <f t="shared" si="332"/>
        <v>308744.17</v>
      </c>
      <c r="FF63" s="358">
        <f t="shared" si="332"/>
        <v>298609</v>
      </c>
      <c r="FG63" s="358">
        <f t="shared" si="332"/>
        <v>301435</v>
      </c>
      <c r="FH63" s="358">
        <f t="shared" si="332"/>
        <v>341314</v>
      </c>
      <c r="FI63" s="358">
        <f t="shared" ref="FI63:FJ63" si="333">SUM(FI61:FI62)</f>
        <v>212131.12999999998</v>
      </c>
      <c r="FJ63" s="358">
        <f t="shared" si="333"/>
        <v>245122.13</v>
      </c>
      <c r="FK63" s="358">
        <f t="shared" ref="FK63:FT63" si="334">SUM(FK61:FK62)</f>
        <v>221790.32</v>
      </c>
      <c r="FL63" s="358">
        <f t="shared" si="334"/>
        <v>200538.96</v>
      </c>
      <c r="FM63" s="358">
        <f t="shared" si="334"/>
        <v>170612.55</v>
      </c>
      <c r="FN63" s="358">
        <f t="shared" si="334"/>
        <v>152302.03</v>
      </c>
      <c r="FO63" s="358">
        <f t="shared" si="334"/>
        <v>159410.23000000001</v>
      </c>
      <c r="FP63" s="358">
        <f t="shared" si="334"/>
        <v>156470.88</v>
      </c>
      <c r="FQ63" s="358">
        <f t="shared" si="334"/>
        <v>161155.66</v>
      </c>
      <c r="FR63" s="358">
        <f t="shared" si="334"/>
        <v>165196.07999999999</v>
      </c>
      <c r="FS63" s="358">
        <f t="shared" si="334"/>
        <v>184054.04</v>
      </c>
      <c r="FT63" s="358">
        <f t="shared" si="334"/>
        <v>196776.99</v>
      </c>
    </row>
    <row r="64" spans="2:177" x14ac:dyDescent="0.25">
      <c r="B64" s="3" t="s">
        <v>10</v>
      </c>
      <c r="C64" s="248">
        <f t="shared" ref="C64:H64" si="335">SUM(C61)/C63</f>
        <v>0.88512563208127071</v>
      </c>
      <c r="D64" s="240">
        <f t="shared" si="335"/>
        <v>0.80446233167578851</v>
      </c>
      <c r="E64" s="240">
        <f t="shared" si="335"/>
        <v>0.76697111413444718</v>
      </c>
      <c r="F64" s="240">
        <f t="shared" si="335"/>
        <v>0.68731371890440418</v>
      </c>
      <c r="G64" s="240">
        <f t="shared" si="335"/>
        <v>0.71555193491717783</v>
      </c>
      <c r="H64" s="240">
        <f t="shared" si="335"/>
        <v>0.65905814155409737</v>
      </c>
      <c r="I64" s="240">
        <f t="shared" ref="I64:Q64" si="336">SUM(I61)/I63</f>
        <v>0.71262429888329248</v>
      </c>
      <c r="J64" s="240">
        <f t="shared" si="336"/>
        <v>0.70923820252712699</v>
      </c>
      <c r="K64" s="240">
        <f t="shared" si="336"/>
        <v>0.67919327829204101</v>
      </c>
      <c r="L64" s="240">
        <f t="shared" si="336"/>
        <v>0.59171380416624353</v>
      </c>
      <c r="M64" s="240">
        <f t="shared" si="336"/>
        <v>0.59717106620539806</v>
      </c>
      <c r="N64" s="241">
        <f t="shared" si="336"/>
        <v>0.61136972820859725</v>
      </c>
      <c r="O64" s="248">
        <f t="shared" si="336"/>
        <v>0.62184417896191668</v>
      </c>
      <c r="P64" s="240">
        <f t="shared" si="336"/>
        <v>0.60579868632275524</v>
      </c>
      <c r="Q64" s="240">
        <f t="shared" si="336"/>
        <v>0.59784726990269721</v>
      </c>
      <c r="R64" s="240">
        <f>SUM(R61)/R63</f>
        <v>0.58841489052398543</v>
      </c>
      <c r="S64" s="240">
        <f>SUM(S61)/S63</f>
        <v>0.61549735599821143</v>
      </c>
      <c r="T64" s="240">
        <f>SUM(T61)/T63</f>
        <v>0.58992210776336718</v>
      </c>
      <c r="U64" s="240">
        <f t="shared" ref="U64:Z64" si="337">SUM(U61)/U63</f>
        <v>0.58350094900181204</v>
      </c>
      <c r="V64" s="240">
        <f t="shared" si="337"/>
        <v>0.59540341088470083</v>
      </c>
      <c r="W64" s="240">
        <f t="shared" si="337"/>
        <v>0.54213693029646093</v>
      </c>
      <c r="X64" s="240">
        <f t="shared" si="337"/>
        <v>0.53756642929552467</v>
      </c>
      <c r="Y64" s="240">
        <f t="shared" si="337"/>
        <v>0.49060180566482758</v>
      </c>
      <c r="Z64" s="241">
        <f t="shared" si="337"/>
        <v>0.48855562608761199</v>
      </c>
      <c r="AA64" s="248">
        <f t="shared" ref="AA64:AF64" si="338">SUM(AA61)/AA63</f>
        <v>0.48474529575447006</v>
      </c>
      <c r="AB64" s="240">
        <f t="shared" si="338"/>
        <v>0.4762259120506549</v>
      </c>
      <c r="AC64" s="240">
        <f t="shared" si="338"/>
        <v>0.45303276572971773</v>
      </c>
      <c r="AD64" s="240">
        <f t="shared" si="338"/>
        <v>0.43603148391418523</v>
      </c>
      <c r="AE64" s="240">
        <f t="shared" si="338"/>
        <v>0.4421684770771816</v>
      </c>
      <c r="AF64" s="240">
        <f t="shared" si="338"/>
        <v>0.4319838162345504</v>
      </c>
      <c r="AG64" s="240">
        <f t="shared" ref="AG64:AL64" si="339">SUM(AG61)/AG63</f>
        <v>0.45604286201784716</v>
      </c>
      <c r="AH64" s="240">
        <f t="shared" si="339"/>
        <v>0.4431464865758461</v>
      </c>
      <c r="AI64" s="240">
        <f t="shared" si="339"/>
        <v>0.42496906984708671</v>
      </c>
      <c r="AJ64" s="240">
        <f t="shared" si="339"/>
        <v>0.41603201669133244</v>
      </c>
      <c r="AK64" s="240">
        <f t="shared" si="339"/>
        <v>0.39952929399186798</v>
      </c>
      <c r="AL64" s="241">
        <f t="shared" si="339"/>
        <v>0.42078482007188456</v>
      </c>
      <c r="AM64" s="248">
        <f t="shared" ref="AM64:AR64" si="340">SUM(AM61)/AM63</f>
        <v>0.39611922147551643</v>
      </c>
      <c r="AN64" s="240">
        <f t="shared" si="340"/>
        <v>0.36453205493444896</v>
      </c>
      <c r="AO64" s="240">
        <f t="shared" si="340"/>
        <v>0.36136179113630895</v>
      </c>
      <c r="AP64" s="240">
        <f t="shared" si="340"/>
        <v>0.35753200276383618</v>
      </c>
      <c r="AQ64" s="240">
        <f t="shared" si="340"/>
        <v>0.34456765885701029</v>
      </c>
      <c r="AR64" s="240">
        <f t="shared" si="340"/>
        <v>0.35145766778785514</v>
      </c>
      <c r="AS64" s="240">
        <f t="shared" ref="AS64:AX64" si="341">SUM(AS61)/AS63</f>
        <v>0.36727344914064269</v>
      </c>
      <c r="AT64" s="240">
        <f t="shared" si="341"/>
        <v>0.34027691367523566</v>
      </c>
      <c r="AU64" s="240">
        <f t="shared" si="341"/>
        <v>0.33227743118309683</v>
      </c>
      <c r="AV64" s="240">
        <f t="shared" si="341"/>
        <v>0.32711233922441235</v>
      </c>
      <c r="AW64" s="240">
        <f t="shared" si="341"/>
        <v>0.31873972623178709</v>
      </c>
      <c r="AX64" s="241">
        <f t="shared" si="341"/>
        <v>0.32436979292645179</v>
      </c>
      <c r="AY64" s="248">
        <f t="shared" ref="AY64:BJ64" si="342">SUM(AY61)/AY63</f>
        <v>0.33311865016835368</v>
      </c>
      <c r="AZ64" s="240">
        <f t="shared" si="342"/>
        <v>0.3286401056648649</v>
      </c>
      <c r="BA64" s="240">
        <f t="shared" si="342"/>
        <v>0.33227662573255756</v>
      </c>
      <c r="BB64" s="240">
        <f t="shared" si="342"/>
        <v>0.32298374082927478</v>
      </c>
      <c r="BC64" s="240">
        <f t="shared" si="342"/>
        <v>0.31908133442555092</v>
      </c>
      <c r="BD64" s="240">
        <f t="shared" si="342"/>
        <v>0.33255578071278552</v>
      </c>
      <c r="BE64" s="240">
        <f t="shared" si="342"/>
        <v>0.32679121358067031</v>
      </c>
      <c r="BF64" s="240">
        <f t="shared" si="342"/>
        <v>0.31668510248094972</v>
      </c>
      <c r="BG64" s="240">
        <f t="shared" si="342"/>
        <v>0.3068374598509549</v>
      </c>
      <c r="BH64" s="240">
        <f t="shared" si="342"/>
        <v>0.29388932592601186</v>
      </c>
      <c r="BI64" s="240">
        <f t="shared" si="342"/>
        <v>0.28107065730645026</v>
      </c>
      <c r="BJ64" s="241">
        <f t="shared" si="342"/>
        <v>0.28952804962469292</v>
      </c>
      <c r="BK64" s="248">
        <f t="shared" ref="BK64:BP64" si="343">SUM(BK61)/BK63</f>
        <v>0.30601491638650979</v>
      </c>
      <c r="BL64" s="240">
        <f t="shared" si="343"/>
        <v>0.29991509531497285</v>
      </c>
      <c r="BM64" s="240">
        <f t="shared" si="343"/>
        <v>0.28343194208242606</v>
      </c>
      <c r="BN64" s="240">
        <f t="shared" si="343"/>
        <v>0.26980331900188426</v>
      </c>
      <c r="BO64" s="240">
        <f t="shared" si="343"/>
        <v>0.25996024063791162</v>
      </c>
      <c r="BP64" s="240">
        <f t="shared" si="343"/>
        <v>0.27304804689311424</v>
      </c>
      <c r="BQ64" s="240">
        <f t="shared" ref="BQ64:BV64" si="344">SUM(BQ61)/BQ63</f>
        <v>0.27103217113729577</v>
      </c>
      <c r="BR64" s="240">
        <f t="shared" si="344"/>
        <v>0.26778900102430081</v>
      </c>
      <c r="BS64" s="240">
        <f t="shared" si="344"/>
        <v>0.25477688990865716</v>
      </c>
      <c r="BT64" s="240">
        <f t="shared" si="344"/>
        <v>0.24631035767132686</v>
      </c>
      <c r="BU64" s="240">
        <f t="shared" si="344"/>
        <v>0.23978118184839251</v>
      </c>
      <c r="BV64" s="241">
        <f t="shared" si="344"/>
        <v>0.23171750398477312</v>
      </c>
      <c r="BW64" s="248">
        <f t="shared" ref="BW64:CB64" si="345">SUM(BW61)/BW63</f>
        <v>0.24059333871679645</v>
      </c>
      <c r="BX64" s="240">
        <f t="shared" si="345"/>
        <v>0.23404172519345004</v>
      </c>
      <c r="BY64" s="240">
        <f t="shared" si="345"/>
        <v>0.23029430594888156</v>
      </c>
      <c r="BZ64" s="240">
        <f t="shared" si="345"/>
        <v>0.22372154620807344</v>
      </c>
      <c r="CA64" s="240">
        <f t="shared" si="345"/>
        <v>0.22084676385115609</v>
      </c>
      <c r="CB64" s="240">
        <f t="shared" si="345"/>
        <v>0.21985091722871122</v>
      </c>
      <c r="CC64" s="240">
        <f t="shared" ref="CC64:CH64" si="346">SUM(CC61)/CC63</f>
        <v>0.22260168524181537</v>
      </c>
      <c r="CD64" s="240">
        <f t="shared" si="346"/>
        <v>0.21088412898198231</v>
      </c>
      <c r="CE64" s="240">
        <f t="shared" si="346"/>
        <v>0.19189201677326934</v>
      </c>
      <c r="CF64" s="240">
        <f t="shared" si="346"/>
        <v>0.17156576939025539</v>
      </c>
      <c r="CG64" s="240">
        <f t="shared" si="346"/>
        <v>0.16460128650060882</v>
      </c>
      <c r="CH64" s="241">
        <f t="shared" si="346"/>
        <v>0.16152512307708505</v>
      </c>
      <c r="CI64" s="248">
        <f t="shared" ref="CI64:DK64" si="347">SUM(CI61)/CI63</f>
        <v>0.16497993090496815</v>
      </c>
      <c r="CJ64" s="240">
        <f t="shared" si="347"/>
        <v>0.1687000400630308</v>
      </c>
      <c r="CK64" s="240">
        <f t="shared" si="347"/>
        <v>0.15901579208584854</v>
      </c>
      <c r="CL64" s="240">
        <f t="shared" si="347"/>
        <v>0.15383125795950148</v>
      </c>
      <c r="CM64" s="240">
        <f t="shared" si="347"/>
        <v>0.14806527901283267</v>
      </c>
      <c r="CN64" s="240">
        <f t="shared" si="347"/>
        <v>0.14230455517134896</v>
      </c>
      <c r="CO64" s="240">
        <f t="shared" si="347"/>
        <v>0.14544175105928697</v>
      </c>
      <c r="CP64" s="240">
        <f t="shared" si="347"/>
        <v>0.14350674307897729</v>
      </c>
      <c r="CQ64" s="240">
        <f t="shared" si="347"/>
        <v>0.13606418904891612</v>
      </c>
      <c r="CR64" s="240">
        <f t="shared" si="347"/>
        <v>0.13090656373409801</v>
      </c>
      <c r="CS64" s="240">
        <f t="shared" si="347"/>
        <v>0.12967456941987859</v>
      </c>
      <c r="CT64" s="241">
        <f t="shared" si="347"/>
        <v>0.12832323104323665</v>
      </c>
      <c r="CU64" s="240">
        <f t="shared" si="347"/>
        <v>0.13820543909146218</v>
      </c>
      <c r="CV64" s="240">
        <f t="shared" si="347"/>
        <v>0.13413457696861114</v>
      </c>
      <c r="CW64" s="240">
        <f t="shared" si="347"/>
        <v>0.12994399698634451</v>
      </c>
      <c r="CX64" s="240">
        <f t="shared" si="347"/>
        <v>0.12441608997814203</v>
      </c>
      <c r="CY64" s="240">
        <f t="shared" si="347"/>
        <v>0.12376967971232468</v>
      </c>
      <c r="CZ64" s="240">
        <f t="shared" si="347"/>
        <v>0.12509459318949953</v>
      </c>
      <c r="DA64" s="240">
        <f t="shared" si="347"/>
        <v>0.12244902630562085</v>
      </c>
      <c r="DB64" s="240">
        <f t="shared" si="347"/>
        <v>0.13094562661374665</v>
      </c>
      <c r="DC64" s="240">
        <f t="shared" si="347"/>
        <v>0.12286178579366423</v>
      </c>
      <c r="DD64" s="240">
        <f t="shared" si="347"/>
        <v>0.1166326618052069</v>
      </c>
      <c r="DE64" s="240">
        <f t="shared" si="347"/>
        <v>0.11372941327871829</v>
      </c>
      <c r="DF64" s="241">
        <f t="shared" si="347"/>
        <v>0.11281769427555007</v>
      </c>
      <c r="DG64" s="240">
        <f t="shared" si="347"/>
        <v>0.12082315221977442</v>
      </c>
      <c r="DH64" s="240">
        <f t="shared" si="347"/>
        <v>0.12864187296530938</v>
      </c>
      <c r="DI64" s="240">
        <f t="shared" si="347"/>
        <v>0.11153655193384471</v>
      </c>
      <c r="DJ64" s="240">
        <f t="shared" si="347"/>
        <v>0.12381571254827625</v>
      </c>
      <c r="DK64" s="240">
        <f t="shared" si="347"/>
        <v>0.11742531184954522</v>
      </c>
      <c r="DL64" s="240">
        <f t="shared" ref="DL64:DR64" si="348">SUM(DL61)/DL63</f>
        <v>0.12028018062786143</v>
      </c>
      <c r="DM64" s="240">
        <f t="shared" si="348"/>
        <v>0.12241187879264587</v>
      </c>
      <c r="DN64" s="240">
        <f t="shared" si="348"/>
        <v>0.12187508756388578</v>
      </c>
      <c r="DO64" s="240">
        <f t="shared" si="348"/>
        <v>0.12045085033541562</v>
      </c>
      <c r="DP64" s="240">
        <f t="shared" si="348"/>
        <v>0.1142436966795924</v>
      </c>
      <c r="DQ64" s="240">
        <f t="shared" si="348"/>
        <v>0.10919224404248568</v>
      </c>
      <c r="DR64" s="240">
        <f t="shared" si="348"/>
        <v>0.10819580119571039</v>
      </c>
      <c r="DS64" s="240">
        <f t="shared" ref="DS64:FH64" si="349">SUM(DS61)/DS63</f>
        <v>0.1149936903690606</v>
      </c>
      <c r="DT64" s="240">
        <f t="shared" si="349"/>
        <v>0.11252900865661417</v>
      </c>
      <c r="DU64" s="240">
        <f t="shared" si="349"/>
        <v>0.10855259890252722</v>
      </c>
      <c r="DV64" s="356">
        <f t="shared" si="349"/>
        <v>0.10486540358579639</v>
      </c>
      <c r="DW64" s="356">
        <f t="shared" si="349"/>
        <v>8.7160779822025289E-2</v>
      </c>
      <c r="DX64" s="356">
        <f t="shared" si="349"/>
        <v>1.630602821479309E-2</v>
      </c>
      <c r="DY64" s="356">
        <f t="shared" si="349"/>
        <v>5.7039298098605674E-3</v>
      </c>
      <c r="DZ64" s="356">
        <f t="shared" si="349"/>
        <v>5.5278932347865217E-3</v>
      </c>
      <c r="EA64" s="356">
        <f t="shared" si="349"/>
        <v>5.1020393614409354E-3</v>
      </c>
      <c r="EB64" s="356">
        <f t="shared" si="349"/>
        <v>4.2604844275858618E-3</v>
      </c>
      <c r="EC64" s="356">
        <f t="shared" si="349"/>
        <v>4.0754660214680173E-3</v>
      </c>
      <c r="ED64" s="356">
        <f t="shared" si="349"/>
        <v>4.1337158880627523E-3</v>
      </c>
      <c r="EE64" s="356">
        <f t="shared" si="349"/>
        <v>5.4393217759368074E-3</v>
      </c>
      <c r="EF64" s="356">
        <f t="shared" si="349"/>
        <v>3.2061504393573431E-3</v>
      </c>
      <c r="EG64" s="356">
        <f t="shared" si="349"/>
        <v>4.6038147149418838E-3</v>
      </c>
      <c r="EH64" s="356">
        <f t="shared" si="349"/>
        <v>3.5676678025306657E-3</v>
      </c>
      <c r="EI64" s="356">
        <f t="shared" si="349"/>
        <v>3.0128698352673436E-3</v>
      </c>
      <c r="EJ64" s="356">
        <f t="shared" si="349"/>
        <v>3.8614181710921219E-3</v>
      </c>
      <c r="EK64" s="356">
        <f t="shared" si="349"/>
        <v>4.3614302340039797E-3</v>
      </c>
      <c r="EL64" s="356">
        <f t="shared" si="349"/>
        <v>4.2765768602026771E-3</v>
      </c>
      <c r="EM64" s="356">
        <f t="shared" si="349"/>
        <v>4.0365027253499918E-3</v>
      </c>
      <c r="EN64" s="356">
        <f t="shared" si="349"/>
        <v>2.9233259871550201E-3</v>
      </c>
      <c r="EO64" s="356">
        <f t="shared" si="349"/>
        <v>2.7009028142272861E-3</v>
      </c>
      <c r="EP64" s="356">
        <f t="shared" si="349"/>
        <v>3.6005459580282237E-3</v>
      </c>
      <c r="EQ64" s="356">
        <f t="shared" si="349"/>
        <v>3.9556641502201152E-3</v>
      </c>
      <c r="ER64" s="356">
        <f t="shared" si="349"/>
        <v>3.8040477418436218E-3</v>
      </c>
      <c r="ES64" s="356">
        <f t="shared" si="349"/>
        <v>3.3741153447291272E-3</v>
      </c>
      <c r="ET64" s="356">
        <f t="shared" si="349"/>
        <v>2.6532403457646533E-3</v>
      </c>
      <c r="EU64" s="356">
        <f t="shared" si="349"/>
        <v>2.9920649397570239E-3</v>
      </c>
      <c r="EV64" s="356">
        <f t="shared" si="349"/>
        <v>3.036884518564984E-3</v>
      </c>
      <c r="EW64" s="356">
        <f t="shared" si="349"/>
        <v>3.3923106843434699E-3</v>
      </c>
      <c r="EX64" s="356">
        <f t="shared" si="349"/>
        <v>3.3534650133372544E-3</v>
      </c>
      <c r="EY64" s="356">
        <f t="shared" si="349"/>
        <v>3.1934844174362213E-3</v>
      </c>
      <c r="EZ64" s="356">
        <f t="shared" si="349"/>
        <v>2.824669551882365E-3</v>
      </c>
      <c r="FA64" s="356">
        <f t="shared" si="349"/>
        <v>2.9710709100464671E-3</v>
      </c>
      <c r="FB64" s="356">
        <f t="shared" si="349"/>
        <v>3.1426304997945677E-3</v>
      </c>
      <c r="FC64" s="356">
        <f t="shared" si="349"/>
        <v>3.9775897535894306E-3</v>
      </c>
      <c r="FD64" s="356">
        <f t="shared" si="349"/>
        <v>3.7246767013885459E-3</v>
      </c>
      <c r="FE64" s="356">
        <f t="shared" si="349"/>
        <v>3.4248743871017878E-3</v>
      </c>
      <c r="FF64" s="356">
        <f t="shared" si="349"/>
        <v>2.7561125083302913E-3</v>
      </c>
      <c r="FG64" s="356">
        <f t="shared" si="349"/>
        <v>2.7866704264600992E-3</v>
      </c>
      <c r="FH64" s="356">
        <f t="shared" si="349"/>
        <v>3.1144342160005158E-3</v>
      </c>
      <c r="FI64" s="356">
        <f t="shared" ref="FI64:FJ64" si="350">SUM(FI61)/FI63</f>
        <v>4.052116254695857E-3</v>
      </c>
      <c r="FJ64" s="356">
        <f t="shared" si="350"/>
        <v>3.9688379013351422E-3</v>
      </c>
      <c r="FK64" s="356">
        <f t="shared" ref="FK64:FT64" si="351">SUM(FK61)/FK63</f>
        <v>3.8281201812594883E-3</v>
      </c>
      <c r="FL64" s="356">
        <f t="shared" si="351"/>
        <v>3.5184684312714099E-3</v>
      </c>
      <c r="FM64" s="356">
        <f t="shared" si="351"/>
        <v>2.9862984874207675E-3</v>
      </c>
      <c r="FN64" s="356">
        <f t="shared" si="351"/>
        <v>3.5501824893601226E-3</v>
      </c>
      <c r="FO64" s="356">
        <f t="shared" si="351"/>
        <v>3.9918391686656497E-3</v>
      </c>
      <c r="FP64" s="356">
        <f t="shared" si="351"/>
        <v>3.7817899407225166E-3</v>
      </c>
      <c r="FQ64" s="356">
        <f t="shared" si="351"/>
        <v>3.058533594166038E-3</v>
      </c>
      <c r="FR64" s="356">
        <f t="shared" si="351"/>
        <v>3.0359073895700191E-3</v>
      </c>
      <c r="FS64" s="356">
        <f t="shared" si="351"/>
        <v>2.9624994919970242E-3</v>
      </c>
      <c r="FT64" s="356">
        <f t="shared" si="351"/>
        <v>3.307043165971794E-3</v>
      </c>
    </row>
    <row r="65" spans="1:176" ht="13.8" thickBot="1" x14ac:dyDescent="0.3">
      <c r="B65" s="4" t="s">
        <v>11</v>
      </c>
      <c r="C65" s="250">
        <f t="shared" ref="C65:H65" si="352">SUM(C62/C63)</f>
        <v>0.11487436791872935</v>
      </c>
      <c r="D65" s="245">
        <f t="shared" si="352"/>
        <v>0.19553766832421154</v>
      </c>
      <c r="E65" s="245">
        <f t="shared" si="352"/>
        <v>0.23302888586555282</v>
      </c>
      <c r="F65" s="245">
        <f t="shared" si="352"/>
        <v>0.31268628109559582</v>
      </c>
      <c r="G65" s="245">
        <f t="shared" si="352"/>
        <v>0.28444806508282211</v>
      </c>
      <c r="H65" s="245">
        <f t="shared" si="352"/>
        <v>0.34094185844590275</v>
      </c>
      <c r="I65" s="245">
        <f t="shared" ref="I65:Q65" si="353">SUM(I62/I63)</f>
        <v>0.28737570111670752</v>
      </c>
      <c r="J65" s="245">
        <f t="shared" si="353"/>
        <v>0.29076179747287301</v>
      </c>
      <c r="K65" s="245">
        <f t="shared" si="353"/>
        <v>0.32080672170795893</v>
      </c>
      <c r="L65" s="245">
        <f t="shared" si="353"/>
        <v>0.40828619583375647</v>
      </c>
      <c r="M65" s="245">
        <f t="shared" si="353"/>
        <v>0.40282893379460211</v>
      </c>
      <c r="N65" s="246">
        <f t="shared" si="353"/>
        <v>0.38863027179140258</v>
      </c>
      <c r="O65" s="250">
        <f t="shared" si="353"/>
        <v>0.37815582103808332</v>
      </c>
      <c r="P65" s="245">
        <f t="shared" si="353"/>
        <v>0.39420131367724476</v>
      </c>
      <c r="Q65" s="245">
        <f t="shared" si="353"/>
        <v>0.40215273009730285</v>
      </c>
      <c r="R65" s="245">
        <f>SUM(R62/R63)</f>
        <v>0.41158510947601468</v>
      </c>
      <c r="S65" s="245">
        <f>SUM(S62/S63)</f>
        <v>0.38450264400178868</v>
      </c>
      <c r="T65" s="245">
        <f>SUM(T62/T63)</f>
        <v>0.41007789223663277</v>
      </c>
      <c r="U65" s="245">
        <f t="shared" ref="U65:Z65" si="354">SUM(U62/U63)</f>
        <v>0.41649905099818796</v>
      </c>
      <c r="V65" s="245">
        <f t="shared" si="354"/>
        <v>0.40459658911529917</v>
      </c>
      <c r="W65" s="245">
        <f t="shared" si="354"/>
        <v>0.45786306970353913</v>
      </c>
      <c r="X65" s="245">
        <f t="shared" si="354"/>
        <v>0.46243357070447538</v>
      </c>
      <c r="Y65" s="245">
        <f t="shared" si="354"/>
        <v>0.50939819433517242</v>
      </c>
      <c r="Z65" s="246">
        <f t="shared" si="354"/>
        <v>0.51144437391238795</v>
      </c>
      <c r="AA65" s="250">
        <f t="shared" ref="AA65:AF65" si="355">SUM(AA62/AA63)</f>
        <v>0.51525470424552988</v>
      </c>
      <c r="AB65" s="245">
        <f t="shared" si="355"/>
        <v>0.52377408794934521</v>
      </c>
      <c r="AC65" s="245">
        <f t="shared" si="355"/>
        <v>0.54696723427028227</v>
      </c>
      <c r="AD65" s="245">
        <f t="shared" si="355"/>
        <v>0.56396851608581489</v>
      </c>
      <c r="AE65" s="245">
        <f t="shared" si="355"/>
        <v>0.55783152292281846</v>
      </c>
      <c r="AF65" s="245">
        <f t="shared" si="355"/>
        <v>0.5680161837654496</v>
      </c>
      <c r="AG65" s="245">
        <f t="shared" ref="AG65:AL65" si="356">SUM(AG62/AG63)</f>
        <v>0.54395713798215284</v>
      </c>
      <c r="AH65" s="245">
        <f t="shared" si="356"/>
        <v>0.5568535134241539</v>
      </c>
      <c r="AI65" s="245">
        <f t="shared" si="356"/>
        <v>0.57503093015291329</v>
      </c>
      <c r="AJ65" s="245">
        <f t="shared" si="356"/>
        <v>0.58396798330866762</v>
      </c>
      <c r="AK65" s="245">
        <f t="shared" si="356"/>
        <v>0.6004707060081319</v>
      </c>
      <c r="AL65" s="246">
        <f t="shared" si="356"/>
        <v>0.57921517992811555</v>
      </c>
      <c r="AM65" s="250">
        <f t="shared" ref="AM65:AR65" si="357">SUM(AM62/AM63)</f>
        <v>0.60388077852448363</v>
      </c>
      <c r="AN65" s="245">
        <f t="shared" si="357"/>
        <v>0.63546794506555093</v>
      </c>
      <c r="AO65" s="245">
        <f t="shared" si="357"/>
        <v>0.63863820886369105</v>
      </c>
      <c r="AP65" s="245">
        <f t="shared" si="357"/>
        <v>0.64246799723616377</v>
      </c>
      <c r="AQ65" s="245">
        <f t="shared" si="357"/>
        <v>0.65543234114298976</v>
      </c>
      <c r="AR65" s="245">
        <f t="shared" si="357"/>
        <v>0.64854233221214486</v>
      </c>
      <c r="AS65" s="245">
        <f t="shared" ref="AS65:BD65" si="358">SUM(AS62/AS63)</f>
        <v>0.63272655085935725</v>
      </c>
      <c r="AT65" s="245">
        <f t="shared" si="358"/>
        <v>0.65972308632476429</v>
      </c>
      <c r="AU65" s="245">
        <f t="shared" si="358"/>
        <v>0.66772256881690328</v>
      </c>
      <c r="AV65" s="245">
        <f t="shared" si="358"/>
        <v>0.67288766077558759</v>
      </c>
      <c r="AW65" s="245">
        <f t="shared" si="358"/>
        <v>0.68126027376821285</v>
      </c>
      <c r="AX65" s="246">
        <f t="shared" si="358"/>
        <v>0.67563020707354815</v>
      </c>
      <c r="AY65" s="250">
        <f t="shared" si="358"/>
        <v>0.66688134983164626</v>
      </c>
      <c r="AZ65" s="245">
        <f t="shared" si="358"/>
        <v>0.67135989433513521</v>
      </c>
      <c r="BA65" s="245">
        <f t="shared" si="358"/>
        <v>0.66772337426744233</v>
      </c>
      <c r="BB65" s="245">
        <f t="shared" si="358"/>
        <v>0.67701625917072528</v>
      </c>
      <c r="BC65" s="245">
        <f t="shared" si="358"/>
        <v>0.68091866557444902</v>
      </c>
      <c r="BD65" s="245">
        <f t="shared" si="358"/>
        <v>0.66744421928721454</v>
      </c>
      <c r="BE65" s="245">
        <f t="shared" ref="BE65:BJ65" si="359">SUM(BE62/BE63)</f>
        <v>0.6732087864193298</v>
      </c>
      <c r="BF65" s="245">
        <f t="shared" si="359"/>
        <v>0.68331489751905028</v>
      </c>
      <c r="BG65" s="245">
        <f t="shared" si="359"/>
        <v>0.6931625401490451</v>
      </c>
      <c r="BH65" s="245">
        <f t="shared" si="359"/>
        <v>0.7061106740739882</v>
      </c>
      <c r="BI65" s="245">
        <f t="shared" si="359"/>
        <v>0.7189293426935498</v>
      </c>
      <c r="BJ65" s="246">
        <f t="shared" si="359"/>
        <v>0.71047195037530697</v>
      </c>
      <c r="BK65" s="250">
        <f t="shared" ref="BK65:BP65" si="360">SUM(BK62/BK63)</f>
        <v>0.69398508361349009</v>
      </c>
      <c r="BL65" s="245">
        <f t="shared" si="360"/>
        <v>0.70008490468502715</v>
      </c>
      <c r="BM65" s="245">
        <f t="shared" si="360"/>
        <v>0.71656805791757405</v>
      </c>
      <c r="BN65" s="245">
        <f t="shared" si="360"/>
        <v>0.73019668099811585</v>
      </c>
      <c r="BO65" s="245">
        <f t="shared" si="360"/>
        <v>0.74003975936208832</v>
      </c>
      <c r="BP65" s="245">
        <f t="shared" si="360"/>
        <v>0.72695195310688576</v>
      </c>
      <c r="BQ65" s="245">
        <f t="shared" ref="BQ65:BV65" si="361">SUM(BQ62/BQ63)</f>
        <v>0.72896782886270428</v>
      </c>
      <c r="BR65" s="245">
        <f t="shared" si="361"/>
        <v>0.73221099897569919</v>
      </c>
      <c r="BS65" s="245">
        <f t="shared" si="361"/>
        <v>0.74522311009134279</v>
      </c>
      <c r="BT65" s="245">
        <f t="shared" si="361"/>
        <v>0.75368964232867308</v>
      </c>
      <c r="BU65" s="245">
        <f t="shared" si="361"/>
        <v>0.76021881815160752</v>
      </c>
      <c r="BV65" s="246">
        <f t="shared" si="361"/>
        <v>0.7682824960152268</v>
      </c>
      <c r="BW65" s="250">
        <f t="shared" ref="BW65:CB65" si="362">SUM(BW62/BW63)</f>
        <v>0.75940666128320367</v>
      </c>
      <c r="BX65" s="245">
        <f t="shared" si="362"/>
        <v>0.7659582748065501</v>
      </c>
      <c r="BY65" s="245">
        <f t="shared" si="362"/>
        <v>0.76970569405111844</v>
      </c>
      <c r="BZ65" s="245">
        <f t="shared" si="362"/>
        <v>0.77627845379192661</v>
      </c>
      <c r="CA65" s="245">
        <f t="shared" si="362"/>
        <v>0.77915323614884391</v>
      </c>
      <c r="CB65" s="245">
        <f t="shared" si="362"/>
        <v>0.7801490827712888</v>
      </c>
      <c r="CC65" s="245">
        <f t="shared" ref="CC65:CH65" si="363">SUM(CC62/CC63)</f>
        <v>0.77739831475818466</v>
      </c>
      <c r="CD65" s="245">
        <f t="shared" si="363"/>
        <v>0.78911587101801761</v>
      </c>
      <c r="CE65" s="245">
        <f t="shared" si="363"/>
        <v>0.80810798322673072</v>
      </c>
      <c r="CF65" s="245">
        <f t="shared" si="363"/>
        <v>0.82843423060974464</v>
      </c>
      <c r="CG65" s="245">
        <f t="shared" si="363"/>
        <v>0.8353987134993911</v>
      </c>
      <c r="CH65" s="246">
        <f t="shared" si="363"/>
        <v>0.838474876922915</v>
      </c>
      <c r="CI65" s="250">
        <f t="shared" ref="CI65:DK65" si="364">SUM(CI62/CI63)</f>
        <v>0.83502006909503179</v>
      </c>
      <c r="CJ65" s="245">
        <f t="shared" si="364"/>
        <v>0.83129995993696926</v>
      </c>
      <c r="CK65" s="245">
        <f t="shared" si="364"/>
        <v>0.84098420791415152</v>
      </c>
      <c r="CL65" s="245">
        <f t="shared" si="364"/>
        <v>0.84616874204049852</v>
      </c>
      <c r="CM65" s="245">
        <f t="shared" si="364"/>
        <v>0.85193472098716738</v>
      </c>
      <c r="CN65" s="245">
        <f t="shared" si="364"/>
        <v>0.85769544482865101</v>
      </c>
      <c r="CO65" s="245">
        <f t="shared" si="364"/>
        <v>0.85455824894071297</v>
      </c>
      <c r="CP65" s="245">
        <f t="shared" si="364"/>
        <v>0.85649325692102263</v>
      </c>
      <c r="CQ65" s="245">
        <f t="shared" si="364"/>
        <v>0.86393581095108385</v>
      </c>
      <c r="CR65" s="245">
        <f t="shared" si="364"/>
        <v>0.86909343626590208</v>
      </c>
      <c r="CS65" s="245">
        <f t="shared" si="364"/>
        <v>0.87032543058012135</v>
      </c>
      <c r="CT65" s="246">
        <f t="shared" si="364"/>
        <v>0.87167676895676338</v>
      </c>
      <c r="CU65" s="285">
        <f t="shared" si="364"/>
        <v>0.8617945609085379</v>
      </c>
      <c r="CV65" s="245">
        <f t="shared" si="364"/>
        <v>0.86586542303138891</v>
      </c>
      <c r="CW65" s="245">
        <f t="shared" si="364"/>
        <v>0.87005600301365549</v>
      </c>
      <c r="CX65" s="245">
        <f t="shared" si="364"/>
        <v>0.87558391002185798</v>
      </c>
      <c r="CY65" s="245">
        <f t="shared" si="364"/>
        <v>0.87623032028767545</v>
      </c>
      <c r="CZ65" s="245">
        <f t="shared" si="364"/>
        <v>0.87490540681050044</v>
      </c>
      <c r="DA65" s="245">
        <f t="shared" si="364"/>
        <v>0.87755097369437918</v>
      </c>
      <c r="DB65" s="245">
        <f t="shared" si="364"/>
        <v>0.86905437338625335</v>
      </c>
      <c r="DC65" s="245">
        <f t="shared" si="364"/>
        <v>0.87713821420633575</v>
      </c>
      <c r="DD65" s="245">
        <f t="shared" si="364"/>
        <v>0.88336733819479296</v>
      </c>
      <c r="DE65" s="245">
        <f t="shared" si="364"/>
        <v>0.88627058672128178</v>
      </c>
      <c r="DF65" s="246">
        <f t="shared" si="364"/>
        <v>0.88718230572444989</v>
      </c>
      <c r="DG65" s="245">
        <f t="shared" si="364"/>
        <v>0.87917684778022553</v>
      </c>
      <c r="DH65" s="245">
        <f t="shared" si="364"/>
        <v>0.87135812703469062</v>
      </c>
      <c r="DI65" s="245">
        <f t="shared" si="364"/>
        <v>0.88846344806615529</v>
      </c>
      <c r="DJ65" s="245">
        <f t="shared" si="364"/>
        <v>0.87618428745172372</v>
      </c>
      <c r="DK65" s="245">
        <f t="shared" si="364"/>
        <v>0.88257468815045481</v>
      </c>
      <c r="DL65" s="245">
        <f t="shared" ref="DL65:DR65" si="365">SUM(DL62/DL63)</f>
        <v>0.87971981937213861</v>
      </c>
      <c r="DM65" s="245">
        <f t="shared" si="365"/>
        <v>0.87758812120735419</v>
      </c>
      <c r="DN65" s="245">
        <f t="shared" si="365"/>
        <v>0.87812491243611424</v>
      </c>
      <c r="DO65" s="245">
        <f t="shared" si="365"/>
        <v>0.87954914966458431</v>
      </c>
      <c r="DP65" s="245">
        <f t="shared" si="365"/>
        <v>0.88575630332040756</v>
      </c>
      <c r="DQ65" s="245">
        <f t="shared" si="365"/>
        <v>0.89080775595751427</v>
      </c>
      <c r="DR65" s="245">
        <f t="shared" si="365"/>
        <v>0.89180419880428952</v>
      </c>
      <c r="DS65" s="245">
        <f t="shared" ref="DS65:FH65" si="366">SUM(DS62/DS63)</f>
        <v>0.8850063096309394</v>
      </c>
      <c r="DT65" s="245">
        <f t="shared" si="366"/>
        <v>0.88747099134338581</v>
      </c>
      <c r="DU65" s="245">
        <f t="shared" si="366"/>
        <v>0.89144740109747278</v>
      </c>
      <c r="DV65" s="357">
        <f t="shared" si="366"/>
        <v>0.89513459641420368</v>
      </c>
      <c r="DW65" s="357">
        <f t="shared" si="366"/>
        <v>0.91283922017797481</v>
      </c>
      <c r="DX65" s="357">
        <f t="shared" si="366"/>
        <v>0.98369397178520679</v>
      </c>
      <c r="DY65" s="357">
        <f t="shared" si="366"/>
        <v>0.99429607019013944</v>
      </c>
      <c r="DZ65" s="357">
        <f t="shared" si="366"/>
        <v>0.99447210676521358</v>
      </c>
      <c r="EA65" s="357">
        <f t="shared" si="366"/>
        <v>0.99489796063855906</v>
      </c>
      <c r="EB65" s="379">
        <f t="shared" si="366"/>
        <v>0.99573951557241414</v>
      </c>
      <c r="EC65" s="357">
        <f t="shared" si="366"/>
        <v>0.99592453397853198</v>
      </c>
      <c r="ED65" s="357">
        <f t="shared" si="366"/>
        <v>0.99586628411193734</v>
      </c>
      <c r="EE65" s="357">
        <f t="shared" si="366"/>
        <v>0.99456067822406313</v>
      </c>
      <c r="EF65" s="357">
        <f t="shared" si="366"/>
        <v>0.99679384956064265</v>
      </c>
      <c r="EG65" s="357">
        <f t="shared" si="366"/>
        <v>0.99539618528505813</v>
      </c>
      <c r="EH65" s="357">
        <f t="shared" si="366"/>
        <v>0.99643233219746929</v>
      </c>
      <c r="EI65" s="357">
        <f t="shared" si="366"/>
        <v>0.99698713016473262</v>
      </c>
      <c r="EJ65" s="357">
        <f t="shared" si="366"/>
        <v>0.9961385818289078</v>
      </c>
      <c r="EK65" s="357">
        <f t="shared" si="366"/>
        <v>0.99563856976599596</v>
      </c>
      <c r="EL65" s="357">
        <f t="shared" si="366"/>
        <v>0.99572342313979723</v>
      </c>
      <c r="EM65" s="357">
        <f t="shared" si="366"/>
        <v>0.99596349727465006</v>
      </c>
      <c r="EN65" s="357">
        <f t="shared" si="366"/>
        <v>0.99707667401284505</v>
      </c>
      <c r="EO65" s="357">
        <f t="shared" si="366"/>
        <v>0.99729909718577281</v>
      </c>
      <c r="EP65" s="357">
        <f t="shared" si="366"/>
        <v>0.99639945404197183</v>
      </c>
      <c r="EQ65" s="357">
        <f t="shared" si="366"/>
        <v>0.99604433584977992</v>
      </c>
      <c r="ER65" s="357">
        <f t="shared" si="366"/>
        <v>0.99619595225815638</v>
      </c>
      <c r="ES65" s="357">
        <f t="shared" si="366"/>
        <v>0.9966258846552708</v>
      </c>
      <c r="ET65" s="357">
        <f t="shared" si="366"/>
        <v>0.99734675965423536</v>
      </c>
      <c r="EU65" s="357">
        <f t="shared" si="366"/>
        <v>0.99700793506024288</v>
      </c>
      <c r="EV65" s="357">
        <f t="shared" si="366"/>
        <v>0.99696311548143501</v>
      </c>
      <c r="EW65" s="357">
        <f t="shared" si="366"/>
        <v>0.99660768931565646</v>
      </c>
      <c r="EX65" s="357">
        <f t="shared" si="366"/>
        <v>0.99664653498666267</v>
      </c>
      <c r="EY65" s="357">
        <f t="shared" si="366"/>
        <v>0.99680651558256383</v>
      </c>
      <c r="EZ65" s="357">
        <f t="shared" si="366"/>
        <v>0.99717533044811768</v>
      </c>
      <c r="FA65" s="357">
        <f t="shared" si="366"/>
        <v>0.99702892908995344</v>
      </c>
      <c r="FB65" s="357">
        <f t="shared" si="366"/>
        <v>0.99685736950020543</v>
      </c>
      <c r="FC65" s="357">
        <f t="shared" si="366"/>
        <v>0.99602241024641069</v>
      </c>
      <c r="FD65" s="357">
        <f t="shared" si="366"/>
        <v>0.99627532329861135</v>
      </c>
      <c r="FE65" s="357">
        <f t="shared" si="366"/>
        <v>0.99657512561289829</v>
      </c>
      <c r="FF65" s="357">
        <f t="shared" si="366"/>
        <v>0.9972438874916697</v>
      </c>
      <c r="FG65" s="357">
        <f t="shared" si="366"/>
        <v>0.99721332957353992</v>
      </c>
      <c r="FH65" s="357">
        <f t="shared" si="366"/>
        <v>0.99688556578399945</v>
      </c>
      <c r="FI65" s="357">
        <f t="shared" ref="FI65:FJ65" si="367">SUM(FI62/FI63)</f>
        <v>0.99594788374530419</v>
      </c>
      <c r="FJ65" s="357">
        <f t="shared" si="367"/>
        <v>0.99603116209866482</v>
      </c>
      <c r="FK65" s="357">
        <f t="shared" ref="FK65:FT65" si="368">SUM(FK62/FK63)</f>
        <v>0.99617187981874045</v>
      </c>
      <c r="FL65" s="357">
        <f t="shared" si="368"/>
        <v>0.99648153156872865</v>
      </c>
      <c r="FM65" s="357">
        <f t="shared" si="368"/>
        <v>0.99701370151257929</v>
      </c>
      <c r="FN65" s="357">
        <f t="shared" si="368"/>
        <v>0.99644981751063977</v>
      </c>
      <c r="FO65" s="357">
        <f t="shared" si="368"/>
        <v>0.99600816083133437</v>
      </c>
      <c r="FP65" s="357">
        <f t="shared" si="368"/>
        <v>0.99621821005927758</v>
      </c>
      <c r="FQ65" s="357">
        <f t="shared" si="368"/>
        <v>0.99694146640583403</v>
      </c>
      <c r="FR65" s="357">
        <f t="shared" si="368"/>
        <v>0.99696409261043006</v>
      </c>
      <c r="FS65" s="357">
        <f t="shared" si="368"/>
        <v>0.99703750050800288</v>
      </c>
      <c r="FT65" s="357">
        <f t="shared" si="368"/>
        <v>0.99669295683402825</v>
      </c>
    </row>
    <row r="66" spans="1:176" x14ac:dyDescent="0.25">
      <c r="A66" s="20"/>
      <c r="C66" s="201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201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201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201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201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201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8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8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74"/>
      <c r="DV66" s="302"/>
      <c r="DW66" s="302"/>
      <c r="DX66" s="302"/>
      <c r="EE66" s="302"/>
      <c r="EF66" s="302"/>
      <c r="EG66" s="302"/>
    </row>
    <row r="67" spans="1:176" x14ac:dyDescent="0.25">
      <c r="A67" s="20"/>
      <c r="B67" s="48" t="s">
        <v>22</v>
      </c>
      <c r="C67" s="232">
        <f t="shared" ref="C67:AZ67" si="369">SUM(1000*(C63))/C18</f>
        <v>5584.8131666313484</v>
      </c>
      <c r="D67" s="230">
        <f t="shared" si="369"/>
        <v>4984.4189151208548</v>
      </c>
      <c r="E67" s="230">
        <f t="shared" si="369"/>
        <v>4997.3704982733107</v>
      </c>
      <c r="F67" s="230">
        <f t="shared" si="369"/>
        <v>5421.0827171109204</v>
      </c>
      <c r="G67" s="230">
        <f t="shared" si="369"/>
        <v>6178.8453636488148</v>
      </c>
      <c r="H67" s="230">
        <f t="shared" si="369"/>
        <v>5954.0983606557375</v>
      </c>
      <c r="I67" s="230">
        <f t="shared" si="369"/>
        <v>6549.293957909028</v>
      </c>
      <c r="J67" s="230">
        <f t="shared" si="369"/>
        <v>6343.1412975568064</v>
      </c>
      <c r="K67" s="230">
        <f t="shared" si="369"/>
        <v>6766.4308913749555</v>
      </c>
      <c r="L67" s="230">
        <f t="shared" si="369"/>
        <v>5949.8303376994836</v>
      </c>
      <c r="M67" s="230">
        <f t="shared" si="369"/>
        <v>4696.6014582383959</v>
      </c>
      <c r="N67" s="231">
        <f t="shared" si="369"/>
        <v>4644.711034973172</v>
      </c>
      <c r="O67" s="232">
        <f t="shared" si="369"/>
        <v>4588.5184939238998</v>
      </c>
      <c r="P67" s="230">
        <f t="shared" si="369"/>
        <v>4727.3661187698835</v>
      </c>
      <c r="Q67" s="230">
        <f t="shared" si="369"/>
        <v>4745.0883601540136</v>
      </c>
      <c r="R67" s="230">
        <f t="shared" si="369"/>
        <v>4731.2297128589253</v>
      </c>
      <c r="S67" s="230">
        <f t="shared" si="369"/>
        <v>5285.4458557025009</v>
      </c>
      <c r="T67" s="230">
        <f t="shared" si="369"/>
        <v>6151.1793724922709</v>
      </c>
      <c r="U67" s="230">
        <f t="shared" si="369"/>
        <v>6918.4327550585376</v>
      </c>
      <c r="V67" s="230">
        <f t="shared" si="369"/>
        <v>6765.7890197379329</v>
      </c>
      <c r="W67" s="230">
        <f t="shared" si="369"/>
        <v>6568.572860627527</v>
      </c>
      <c r="X67" s="230">
        <f t="shared" si="369"/>
        <v>6083.8986089439259</v>
      </c>
      <c r="Y67" s="230">
        <f t="shared" si="369"/>
        <v>5245.4790629281824</v>
      </c>
      <c r="Z67" s="231">
        <f t="shared" si="369"/>
        <v>4730.517018954054</v>
      </c>
      <c r="AA67" s="232">
        <f t="shared" si="369"/>
        <v>4881.545128511656</v>
      </c>
      <c r="AB67" s="230">
        <f t="shared" si="369"/>
        <v>4911.0001328197632</v>
      </c>
      <c r="AC67" s="230">
        <f t="shared" si="369"/>
        <v>4682.1937265076676</v>
      </c>
      <c r="AD67" s="230">
        <f t="shared" si="369"/>
        <v>4836.5078838174277</v>
      </c>
      <c r="AE67" s="230">
        <f t="shared" si="369"/>
        <v>5192.5883022531716</v>
      </c>
      <c r="AF67" s="230">
        <f t="shared" si="369"/>
        <v>6110.0564784053158</v>
      </c>
      <c r="AG67" s="230">
        <f t="shared" si="369"/>
        <v>6043.4423218221891</v>
      </c>
      <c r="AH67" s="230">
        <f t="shared" si="369"/>
        <v>6559.4244943290814</v>
      </c>
      <c r="AI67" s="230">
        <f t="shared" si="369"/>
        <v>6416.7639861897896</v>
      </c>
      <c r="AJ67" s="230">
        <f t="shared" si="369"/>
        <v>5681.3188996262497</v>
      </c>
      <c r="AK67" s="230">
        <f t="shared" si="369"/>
        <v>5269.6953447062378</v>
      </c>
      <c r="AL67" s="231">
        <f t="shared" si="369"/>
        <v>4725.3184222862119</v>
      </c>
      <c r="AM67" s="232">
        <f t="shared" si="369"/>
        <v>4782.2140184080108</v>
      </c>
      <c r="AN67" s="230">
        <f t="shared" si="369"/>
        <v>4978.0563578961519</v>
      </c>
      <c r="AO67" s="230">
        <f t="shared" si="369"/>
        <v>4755.8362334359526</v>
      </c>
      <c r="AP67" s="230">
        <f t="shared" si="369"/>
        <v>4607.1342893520077</v>
      </c>
      <c r="AQ67" s="230">
        <f t="shared" si="369"/>
        <v>5295.8784166195028</v>
      </c>
      <c r="AR67" s="230">
        <f t="shared" si="369"/>
        <v>6104.6933985653377</v>
      </c>
      <c r="AS67" s="230">
        <f t="shared" si="369"/>
        <v>6488.227298345656</v>
      </c>
      <c r="AT67" s="230">
        <f t="shared" si="369"/>
        <v>6715.7090585443038</v>
      </c>
      <c r="AU67" s="230">
        <f t="shared" si="369"/>
        <v>6742.8139138417155</v>
      </c>
      <c r="AV67" s="230">
        <f t="shared" si="369"/>
        <v>6121.0526663582896</v>
      </c>
      <c r="AW67" s="230">
        <f t="shared" si="369"/>
        <v>4955.7415274850009</v>
      </c>
      <c r="AX67" s="231">
        <f t="shared" si="369"/>
        <v>4739.569773135303</v>
      </c>
      <c r="AY67" s="232">
        <f t="shared" si="369"/>
        <v>4693.9202679844784</v>
      </c>
      <c r="AZ67" s="230">
        <f t="shared" si="369"/>
        <v>4614.9985144102202</v>
      </c>
      <c r="BA67" s="230">
        <f>SUM(1000*(BA63))/BA18</f>
        <v>4847.0897033842948</v>
      </c>
      <c r="BB67" s="230">
        <f t="shared" ref="BB67:BJ67" si="370">SUM(1000*(BB63))/BB18</f>
        <v>5012.8337919287205</v>
      </c>
      <c r="BC67" s="230">
        <f t="shared" si="370"/>
        <v>5548.6466581940231</v>
      </c>
      <c r="BD67" s="230">
        <f t="shared" si="370"/>
        <v>6236.5265907698249</v>
      </c>
      <c r="BE67" s="230">
        <f t="shared" si="370"/>
        <v>6370.3398010761448</v>
      </c>
      <c r="BF67" s="230">
        <f t="shared" si="370"/>
        <v>7029.5128437986505</v>
      </c>
      <c r="BG67" s="230">
        <f t="shared" si="370"/>
        <v>6574.1720742534289</v>
      </c>
      <c r="BH67" s="230">
        <f t="shared" si="370"/>
        <v>5350.3173236760867</v>
      </c>
      <c r="BI67" s="230">
        <f t="shared" si="370"/>
        <v>4625.5790865031577</v>
      </c>
      <c r="BJ67" s="231">
        <f t="shared" si="370"/>
        <v>4407.951726352042</v>
      </c>
      <c r="BK67" s="232">
        <f t="shared" ref="BK67:BP67" si="371">SUM(1000*(BK63))/BK18</f>
        <v>4175.2436687402351</v>
      </c>
      <c r="BL67" s="230">
        <f t="shared" si="371"/>
        <v>4640.0262738383417</v>
      </c>
      <c r="BM67" s="230">
        <f t="shared" si="371"/>
        <v>4428.305815419807</v>
      </c>
      <c r="BN67" s="230">
        <f t="shared" si="371"/>
        <v>4408.38905775076</v>
      </c>
      <c r="BO67" s="230">
        <f t="shared" si="371"/>
        <v>5045.559389437979</v>
      </c>
      <c r="BP67" s="230">
        <f t="shared" si="371"/>
        <v>5193.5778129041528</v>
      </c>
      <c r="BQ67" s="230">
        <f t="shared" ref="BQ67:BV67" si="372">SUM(1000*(BQ63))/BQ18</f>
        <v>5631.3801708699093</v>
      </c>
      <c r="BR67" s="230">
        <f t="shared" si="372"/>
        <v>6015.4794640511418</v>
      </c>
      <c r="BS67" s="230">
        <f t="shared" si="372"/>
        <v>6151.8652142338424</v>
      </c>
      <c r="BT67" s="230">
        <f t="shared" si="372"/>
        <v>6047.909869556006</v>
      </c>
      <c r="BU67" s="230">
        <f t="shared" si="372"/>
        <v>4895.0655811849829</v>
      </c>
      <c r="BV67" s="231">
        <f t="shared" si="372"/>
        <v>4608.2686361043561</v>
      </c>
      <c r="BW67" s="232">
        <f t="shared" ref="BW67:CB67" si="373">SUM(1000*(BW63))/BW18</f>
        <v>4894.614416791972</v>
      </c>
      <c r="BX67" s="230">
        <f t="shared" si="373"/>
        <v>4837.2531374349555</v>
      </c>
      <c r="BY67" s="230">
        <f t="shared" si="373"/>
        <v>4685.3685331710285</v>
      </c>
      <c r="BZ67" s="230">
        <f t="shared" si="373"/>
        <v>4958.1915190619475</v>
      </c>
      <c r="CA67" s="230">
        <f t="shared" si="373"/>
        <v>5198.3563591407819</v>
      </c>
      <c r="CB67" s="230">
        <f t="shared" si="373"/>
        <v>6018.1948091603053</v>
      </c>
      <c r="CC67" s="230">
        <f t="shared" ref="CC67:CH67" si="374">SUM(1000*(CC63))/CC18</f>
        <v>6544.9192973760028</v>
      </c>
      <c r="CD67" s="230">
        <f t="shared" si="374"/>
        <v>6694.093664934423</v>
      </c>
      <c r="CE67" s="230">
        <f t="shared" si="374"/>
        <v>6142.694381953218</v>
      </c>
      <c r="CF67" s="230">
        <f t="shared" si="374"/>
        <v>5435.4266985616196</v>
      </c>
      <c r="CG67" s="230">
        <f t="shared" si="374"/>
        <v>4749.0449803423844</v>
      </c>
      <c r="CH67" s="231">
        <f t="shared" si="374"/>
        <v>4638.5640550146809</v>
      </c>
      <c r="CI67" s="232">
        <f t="shared" ref="CI67:CN67" si="375">SUM(1000*(CI63))/CI18</f>
        <v>4746.0218423257111</v>
      </c>
      <c r="CJ67" s="230">
        <f t="shared" si="375"/>
        <v>4797.3080372328914</v>
      </c>
      <c r="CK67" s="230">
        <f t="shared" si="375"/>
        <v>4844.0176116174871</v>
      </c>
      <c r="CL67" s="230">
        <f t="shared" si="375"/>
        <v>4591.477212712417</v>
      </c>
      <c r="CM67" s="230">
        <f t="shared" si="375"/>
        <v>5148.2731135440254</v>
      </c>
      <c r="CN67" s="230">
        <f t="shared" si="375"/>
        <v>5922.7488254203763</v>
      </c>
      <c r="CO67" s="230">
        <f t="shared" ref="CO67:CV67" si="376">SUM(1000*(CO63))/CO18</f>
        <v>6514.1317495270296</v>
      </c>
      <c r="CP67" s="230">
        <f t="shared" si="376"/>
        <v>6622.1639851485161</v>
      </c>
      <c r="CQ67" s="230">
        <f t="shared" si="376"/>
        <v>6341.9002478314733</v>
      </c>
      <c r="CR67" s="230">
        <f t="shared" si="376"/>
        <v>5545.5356920780996</v>
      </c>
      <c r="CS67" s="230">
        <f t="shared" si="376"/>
        <v>4699.613917573728</v>
      </c>
      <c r="CT67" s="231">
        <f t="shared" si="376"/>
        <v>4534.384074796445</v>
      </c>
      <c r="CU67" s="290">
        <f t="shared" si="376"/>
        <v>4806.5709773318458</v>
      </c>
      <c r="CV67" s="230">
        <f t="shared" si="376"/>
        <v>4880.0203930292919</v>
      </c>
      <c r="CW67" s="230">
        <f>SUM(1000*(CW63))/CW18</f>
        <v>4941.1837264661317</v>
      </c>
      <c r="CX67" s="230">
        <f t="shared" ref="CX67:DC67" si="377">SUM(1000*(CX63))/CX18</f>
        <v>4743.8071129057307</v>
      </c>
      <c r="CY67" s="230">
        <f t="shared" si="377"/>
        <v>5091.0501547987606</v>
      </c>
      <c r="CZ67" s="230">
        <f t="shared" si="377"/>
        <v>6531.5315343290995</v>
      </c>
      <c r="DA67" s="230">
        <f t="shared" si="377"/>
        <v>6516.2925328610054</v>
      </c>
      <c r="DB67" s="230">
        <f t="shared" si="377"/>
        <v>6577.7528578528827</v>
      </c>
      <c r="DC67" s="230">
        <f t="shared" si="377"/>
        <v>6515.3097729884166</v>
      </c>
      <c r="DD67" s="230">
        <f t="shared" ref="DD67:DI67" si="378">SUM(1000*(DD63))/DD18</f>
        <v>5584.5018942922798</v>
      </c>
      <c r="DE67" s="230">
        <f t="shared" si="378"/>
        <v>4953.905724953328</v>
      </c>
      <c r="DF67" s="231">
        <f t="shared" si="378"/>
        <v>4647.234921423691</v>
      </c>
      <c r="DG67" s="230">
        <f t="shared" si="378"/>
        <v>4789.9598043186988</v>
      </c>
      <c r="DH67" s="230">
        <f t="shared" si="378"/>
        <v>4937.1672524806372</v>
      </c>
      <c r="DI67" s="230">
        <f t="shared" si="378"/>
        <v>5224.6369616482571</v>
      </c>
      <c r="DJ67" s="230">
        <f>SUM(1000*(DJ63))/DJ18</f>
        <v>4882.0068037730016</v>
      </c>
      <c r="DK67" s="230">
        <f>SUM(1000*(DK63))/DK18</f>
        <v>5329.8347566051116</v>
      </c>
      <c r="DL67" s="230">
        <f t="shared" ref="DL67:DR67" si="379">SUM(1000*(DL63))/DL18</f>
        <v>6251.4677796944297</v>
      </c>
      <c r="DM67" s="230">
        <f t="shared" si="379"/>
        <v>6787.8362428549362</v>
      </c>
      <c r="DN67" s="230">
        <f t="shared" si="379"/>
        <v>7296.7680748860694</v>
      </c>
      <c r="DO67" s="230">
        <f t="shared" si="379"/>
        <v>7030.1735511713941</v>
      </c>
      <c r="DP67" s="230">
        <f t="shared" si="379"/>
        <v>5708.1463490099013</v>
      </c>
      <c r="DQ67" s="230">
        <f t="shared" si="379"/>
        <v>4823.1510239435756</v>
      </c>
      <c r="DR67" s="230">
        <f t="shared" si="379"/>
        <v>4689.0438431396751</v>
      </c>
      <c r="DS67" s="230">
        <f t="shared" ref="DS67:FT67" si="380">SUM(1000*(DS63))/DS18</f>
        <v>4588.7757061446964</v>
      </c>
      <c r="DT67" s="230">
        <f t="shared" si="380"/>
        <v>4699.9551527898057</v>
      </c>
      <c r="DU67" s="230">
        <f t="shared" si="380"/>
        <v>4783.0710847834134</v>
      </c>
      <c r="DV67" s="360">
        <f t="shared" si="380"/>
        <v>4861.5551664823688</v>
      </c>
      <c r="DW67" s="360">
        <f t="shared" si="380"/>
        <v>5433.645203111495</v>
      </c>
      <c r="DX67" s="360">
        <f t="shared" si="380"/>
        <v>5899.2117137858004</v>
      </c>
      <c r="DY67" s="360">
        <f t="shared" si="380"/>
        <v>6805.9547104793555</v>
      </c>
      <c r="DZ67" s="360">
        <f t="shared" si="380"/>
        <v>6803.4229484074676</v>
      </c>
      <c r="EA67" s="360">
        <f t="shared" si="380"/>
        <v>6433.1788302198302</v>
      </c>
      <c r="EB67" s="360">
        <f t="shared" si="380"/>
        <v>5451.1012607748698</v>
      </c>
      <c r="EC67" s="360">
        <f t="shared" si="380"/>
        <v>4985.2130625248901</v>
      </c>
      <c r="ED67" s="360">
        <f t="shared" si="380"/>
        <v>4586.6018586451446</v>
      </c>
      <c r="EE67" s="360">
        <f t="shared" si="380"/>
        <v>4327.668486502881</v>
      </c>
      <c r="EF67" s="360">
        <f t="shared" si="380"/>
        <v>4931.6073773244989</v>
      </c>
      <c r="EG67" s="360">
        <f t="shared" si="380"/>
        <v>3831.7647779479325</v>
      </c>
      <c r="EH67" s="360">
        <f t="shared" si="380"/>
        <v>5416.4650541713454</v>
      </c>
      <c r="EI67" s="360">
        <f t="shared" si="380"/>
        <v>5007.0700057605436</v>
      </c>
      <c r="EJ67" s="360">
        <f t="shared" si="380"/>
        <v>6045.5978112175098</v>
      </c>
      <c r="EK67" s="360">
        <f t="shared" si="380"/>
        <v>6441.995600156708</v>
      </c>
      <c r="EL67" s="360">
        <f t="shared" si="380"/>
        <v>6498.8529765484063</v>
      </c>
      <c r="EM67" s="360">
        <f t="shared" si="380"/>
        <v>6597.2458976979015</v>
      </c>
      <c r="EN67" s="360">
        <f t="shared" si="380"/>
        <v>10078.544631691777</v>
      </c>
      <c r="EO67" s="360">
        <f t="shared" si="380"/>
        <v>8270.0142261172296</v>
      </c>
      <c r="EP67" s="360">
        <f t="shared" si="380"/>
        <v>8312.5713945740117</v>
      </c>
      <c r="EQ67" s="360">
        <f t="shared" si="380"/>
        <v>8572.84851190476</v>
      </c>
      <c r="ER67" s="360">
        <f t="shared" si="380"/>
        <v>8761.1617664563746</v>
      </c>
      <c r="ES67" s="360">
        <f t="shared" si="380"/>
        <v>8047.2469936897251</v>
      </c>
      <c r="ET67" s="360">
        <f t="shared" si="380"/>
        <v>8349.2070537070686</v>
      </c>
      <c r="EU67" s="360">
        <f t="shared" si="380"/>
        <v>8869.3038710254204</v>
      </c>
      <c r="EV67" s="360">
        <f t="shared" si="380"/>
        <v>10452.091873000829</v>
      </c>
      <c r="EW67" s="360">
        <f t="shared" si="380"/>
        <v>11100.438033872255</v>
      </c>
      <c r="EX67" s="360">
        <f t="shared" si="380"/>
        <v>11524.44955887994</v>
      </c>
      <c r="EY67" s="360">
        <f t="shared" si="380"/>
        <v>11477.35722679201</v>
      </c>
      <c r="EZ67" s="360">
        <f t="shared" si="380"/>
        <v>10182.028900375939</v>
      </c>
      <c r="FA67" s="360">
        <f t="shared" si="380"/>
        <v>8606.0594088381622</v>
      </c>
      <c r="FB67" s="360">
        <f t="shared" si="380"/>
        <v>8025.0056989215891</v>
      </c>
      <c r="FC67" s="360">
        <f t="shared" si="380"/>
        <v>8600.0476956839793</v>
      </c>
      <c r="FD67" s="360">
        <f t="shared" si="380"/>
        <v>8342.8782942579583</v>
      </c>
      <c r="FE67" s="360">
        <f t="shared" si="380"/>
        <v>8930.2105689410819</v>
      </c>
      <c r="FF67" s="360">
        <f t="shared" si="380"/>
        <v>8600.4896313364061</v>
      </c>
      <c r="FG67" s="360">
        <f t="shared" si="380"/>
        <v>8629.9350110223604</v>
      </c>
      <c r="FH67" s="360">
        <f t="shared" si="380"/>
        <v>9748.207808528261</v>
      </c>
      <c r="FI67" s="360">
        <f t="shared" si="380"/>
        <v>6029.878624218305</v>
      </c>
      <c r="FJ67" s="360">
        <f t="shared" si="380"/>
        <v>6940.2341515897961</v>
      </c>
      <c r="FK67" s="360">
        <f t="shared" si="380"/>
        <v>6256.9560188450359</v>
      </c>
      <c r="FL67" s="360">
        <f t="shared" si="380"/>
        <v>5656.4736411587173</v>
      </c>
      <c r="FM67" s="360">
        <f t="shared" si="380"/>
        <v>4791.2760818894103</v>
      </c>
      <c r="FN67" s="360">
        <f t="shared" si="380"/>
        <v>4265.9243179653804</v>
      </c>
      <c r="FO67" s="360">
        <f t="shared" si="380"/>
        <v>4471.5352033660592</v>
      </c>
      <c r="FP67" s="360">
        <f t="shared" si="380"/>
        <v>4372.2826724788329</v>
      </c>
      <c r="FQ67" s="360">
        <f t="shared" si="380"/>
        <v>4473.9363149274031</v>
      </c>
      <c r="FR67" s="360">
        <f t="shared" si="380"/>
        <v>4592.9902410543</v>
      </c>
      <c r="FS67" s="360">
        <f t="shared" si="380"/>
        <v>5090.2715858177999</v>
      </c>
      <c r="FT67" s="360">
        <f t="shared" si="380"/>
        <v>5412.50385080867</v>
      </c>
    </row>
    <row r="68" spans="1:176" x14ac:dyDescent="0.25">
      <c r="A68" s="20"/>
      <c r="B68" s="1" t="s">
        <v>42</v>
      </c>
      <c r="C68" s="201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201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201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201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201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201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8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20"/>
      <c r="DV68" s="302"/>
      <c r="DW68" s="302"/>
      <c r="DX68" s="302"/>
      <c r="EE68" s="302"/>
      <c r="EF68" s="302"/>
      <c r="EG68" s="302"/>
    </row>
    <row r="69" spans="1:176" s="345" customFormat="1" hidden="1" x14ac:dyDescent="0.25">
      <c r="A69" s="344"/>
      <c r="B69" s="478" t="s">
        <v>54</v>
      </c>
      <c r="C69" s="386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6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6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6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6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6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8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2"/>
      <c r="CV69" s="342"/>
      <c r="CW69" s="342"/>
      <c r="CX69" s="342"/>
      <c r="CY69" s="342"/>
      <c r="CZ69" s="342"/>
      <c r="DA69" s="342"/>
      <c r="DB69" s="342"/>
      <c r="DC69" s="342"/>
      <c r="DD69" s="342"/>
      <c r="DE69" s="342"/>
      <c r="DF69" s="344"/>
      <c r="DN69" s="364"/>
      <c r="DO69" s="364"/>
      <c r="DV69" s="364"/>
      <c r="DW69" s="364"/>
      <c r="DX69" s="364"/>
      <c r="DZ69" s="364"/>
      <c r="EB69" s="364"/>
      <c r="EE69" s="364"/>
      <c r="EF69" s="364"/>
      <c r="EG69" s="364"/>
    </row>
    <row r="70" spans="1:176" s="345" customFormat="1" hidden="1" x14ac:dyDescent="0.25">
      <c r="B70" s="340" t="s">
        <v>50</v>
      </c>
      <c r="C70" s="386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6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6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6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6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6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8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2"/>
      <c r="CV70" s="342"/>
      <c r="CW70" s="342"/>
      <c r="CX70" s="342"/>
      <c r="CY70" s="342"/>
      <c r="CZ70" s="342"/>
      <c r="DA70" s="342"/>
      <c r="DB70" s="342"/>
      <c r="DC70" s="342"/>
      <c r="DD70" s="342"/>
      <c r="DE70" s="342"/>
      <c r="DF70" s="344"/>
      <c r="DN70" s="364"/>
      <c r="DO70" s="364"/>
      <c r="DV70" s="364"/>
      <c r="DW70" s="364"/>
      <c r="DX70" s="364"/>
      <c r="DZ70" s="364"/>
      <c r="EB70" s="364"/>
      <c r="EE70" s="364"/>
      <c r="EF70" s="364"/>
      <c r="EG70" s="364"/>
      <c r="FO70" s="565"/>
    </row>
    <row r="71" spans="1:176" s="345" customFormat="1" hidden="1" x14ac:dyDescent="0.25">
      <c r="B71" s="443" t="s">
        <v>1</v>
      </c>
      <c r="C71" s="386">
        <f>D71</f>
        <v>157492.39239999995</v>
      </c>
      <c r="D71" s="347">
        <v>157492.39239999995</v>
      </c>
      <c r="E71" s="347">
        <v>21629.316430000035</v>
      </c>
      <c r="F71" s="347">
        <v>43932.187889999979</v>
      </c>
      <c r="G71" s="347">
        <v>143021.81308999984</v>
      </c>
      <c r="H71" s="347">
        <v>61308.342180000087</v>
      </c>
      <c r="I71" s="347">
        <v>-1259.1041100001557</v>
      </c>
      <c r="J71" s="347">
        <v>-54136.42</v>
      </c>
      <c r="K71" s="347">
        <v>28397.68</v>
      </c>
      <c r="L71" s="347">
        <v>6909.88</v>
      </c>
      <c r="M71" s="347">
        <v>1565.04</v>
      </c>
      <c r="N71" s="348">
        <v>9372.26</v>
      </c>
      <c r="O71" s="386">
        <f>3811+4330</f>
        <v>8141</v>
      </c>
      <c r="P71" s="347">
        <f>9966+4369</f>
        <v>14335</v>
      </c>
      <c r="Q71" s="347">
        <f>5242+4317</f>
        <v>9559</v>
      </c>
      <c r="R71" s="347">
        <f>4849.93+1258.68</f>
        <v>6108.6100000000006</v>
      </c>
      <c r="S71" s="347">
        <f>3426.94+1387.4</f>
        <v>4814.34</v>
      </c>
      <c r="T71" s="347">
        <f>7762.68+6436.92</f>
        <v>14199.6</v>
      </c>
      <c r="U71" s="347">
        <f>6747.07+7547.97</f>
        <v>14295.04</v>
      </c>
      <c r="V71" s="347">
        <f>8676.76+7632.52</f>
        <v>16309.28</v>
      </c>
      <c r="W71" s="347">
        <f>7500.11+1485.52</f>
        <v>8985.6299999999992</v>
      </c>
      <c r="X71" s="347">
        <f>5734.69+6964.21</f>
        <v>12698.9</v>
      </c>
      <c r="Y71" s="347">
        <f>7564.47+1451.99</f>
        <v>9016.4600000000009</v>
      </c>
      <c r="Z71" s="348">
        <f>4653.64+12209.76</f>
        <v>16863.400000000001</v>
      </c>
      <c r="AA71" s="386">
        <f>4907.61+7212.67</f>
        <v>12120.279999999999</v>
      </c>
      <c r="AB71" s="347">
        <f>5915.2+2423.47</f>
        <v>8338.67</v>
      </c>
      <c r="AC71" s="347">
        <f>7617.34+2493.53</f>
        <v>10110.870000000001</v>
      </c>
      <c r="AD71" s="347">
        <f>7352.9+2413.94</f>
        <v>9766.84</v>
      </c>
      <c r="AE71" s="347">
        <f>8173.36+2269.49</f>
        <v>10442.849999999999</v>
      </c>
      <c r="AF71" s="347">
        <f>9378.28+2493.05</f>
        <v>11871.330000000002</v>
      </c>
      <c r="AG71" s="347">
        <v>9368.2099999999991</v>
      </c>
      <c r="AH71" s="347">
        <f>9987.36+2372.36</f>
        <v>12359.720000000001</v>
      </c>
      <c r="AI71" s="347">
        <f>10005.63+2242.21</f>
        <v>12247.84</v>
      </c>
      <c r="AJ71" s="347">
        <f>9506.85+2169.04</f>
        <v>11675.89</v>
      </c>
      <c r="AK71" s="347">
        <f>8511.67+2482.1</f>
        <v>10993.77</v>
      </c>
      <c r="AL71" s="348">
        <f>7540.26+3249.19</f>
        <v>10789.45</v>
      </c>
      <c r="AM71" s="386">
        <f>7773+2170.1</f>
        <v>9943.1</v>
      </c>
      <c r="AN71" s="347">
        <f>3822.06+65.5</f>
        <v>3887.56</v>
      </c>
      <c r="AO71" s="347">
        <f>3662.23+24.52</f>
        <v>3686.75</v>
      </c>
      <c r="AP71" s="347">
        <f>3729.07</f>
        <v>3729.07</v>
      </c>
      <c r="AQ71" s="347">
        <f>4109.92+30.6</f>
        <v>4140.5200000000004</v>
      </c>
      <c r="AR71" s="347">
        <f>4002.99+6.3</f>
        <v>4009.29</v>
      </c>
      <c r="AS71" s="347">
        <f>4445.25</f>
        <v>4445.25</v>
      </c>
      <c r="AT71" s="347">
        <f>4164.47+36.61</f>
        <v>4201.08</v>
      </c>
      <c r="AU71" s="347">
        <f>4337.77+30.16</f>
        <v>4367.93</v>
      </c>
      <c r="AV71" s="347">
        <f>4357.86+25.54</f>
        <v>4383.3999999999996</v>
      </c>
      <c r="AW71" s="347">
        <f>29.76+3525.25</f>
        <v>3555.01</v>
      </c>
      <c r="AX71" s="348">
        <f>2970.6+22.91</f>
        <v>2993.5099999999998</v>
      </c>
      <c r="AY71" s="386">
        <f>2823.86+30.83</f>
        <v>2854.69</v>
      </c>
      <c r="AZ71" s="347">
        <f>3357.19+24.63</f>
        <v>3381.82</v>
      </c>
      <c r="BA71" s="347">
        <f>3205.49+1965.96</f>
        <v>5171.45</v>
      </c>
      <c r="BB71" s="347">
        <f>3162.34+4284.01</f>
        <v>7446.35</v>
      </c>
      <c r="BC71" s="347">
        <f>3888.51+4456.03</f>
        <v>8344.5400000000009</v>
      </c>
      <c r="BD71" s="347">
        <f>4365.53+4653.11</f>
        <v>9018.64</v>
      </c>
      <c r="BE71" s="347">
        <f>4364.14+4639.4</f>
        <v>9003.5400000000009</v>
      </c>
      <c r="BF71" s="347">
        <f>4716.77+3531</f>
        <v>8247.77</v>
      </c>
      <c r="BG71" s="347">
        <f>4357.25+3158.46</f>
        <v>7515.71</v>
      </c>
      <c r="BH71" s="347">
        <f>2198.23+3754.06</f>
        <v>5952.29</v>
      </c>
      <c r="BI71" s="347">
        <f>2811.05+261.24</f>
        <v>3072.29</v>
      </c>
      <c r="BJ71" s="348">
        <f>2619.71+72.56</f>
        <v>2692.27</v>
      </c>
      <c r="BK71" s="386">
        <f>3908.84+72.08</f>
        <v>3980.92</v>
      </c>
      <c r="BL71" s="347">
        <f>2900.17+82.81</f>
        <v>2982.98</v>
      </c>
      <c r="BM71" s="347">
        <f>2309.86+113.21</f>
        <v>2423.0700000000002</v>
      </c>
      <c r="BN71" s="347">
        <f>2254+192.51</f>
        <v>2446.5100000000002</v>
      </c>
      <c r="BO71" s="347">
        <f>3009.42+230.64</f>
        <v>3240.06</v>
      </c>
      <c r="BP71" s="347">
        <f>100.89+3113.75</f>
        <v>3214.64</v>
      </c>
      <c r="BQ71" s="347">
        <f>3271.24+29.25</f>
        <v>3300.49</v>
      </c>
      <c r="BR71" s="347">
        <f>3489.59+173.38</f>
        <v>3662.9700000000003</v>
      </c>
      <c r="BS71" s="347">
        <f>3544.25+185.2</f>
        <v>3729.45</v>
      </c>
      <c r="BT71" s="347">
        <f>3099.76+700.73</f>
        <v>3800.4900000000002</v>
      </c>
      <c r="BU71" s="347">
        <f>2498.8+171.95</f>
        <v>2670.75</v>
      </c>
      <c r="BV71" s="348">
        <f>2076.45+98.81</f>
        <v>2175.2599999999998</v>
      </c>
      <c r="BW71" s="386">
        <f>2317.67+103.27</f>
        <v>2420.94</v>
      </c>
      <c r="BX71" s="347">
        <f>1614.37+74.63</f>
        <v>1689</v>
      </c>
      <c r="BY71" s="347">
        <f>1526.23+40.03</f>
        <v>1566.26</v>
      </c>
      <c r="BZ71" s="347">
        <f>1630.08+21.03</f>
        <v>1651.11</v>
      </c>
      <c r="CA71" s="347">
        <f>2177.31+40.74</f>
        <v>2218.0499999999997</v>
      </c>
      <c r="CB71" s="347">
        <f>2375.65+49.57</f>
        <v>2425.2200000000003</v>
      </c>
      <c r="CC71" s="347">
        <f>2652.12+43.52</f>
        <v>2695.64</v>
      </c>
      <c r="CD71" s="347">
        <f>2530.19+41.48</f>
        <v>2571.67</v>
      </c>
      <c r="CE71" s="347">
        <f>2058.18+49.59</f>
        <v>2107.77</v>
      </c>
      <c r="CF71" s="347">
        <f>1986.66+20.76</f>
        <v>2007.42</v>
      </c>
      <c r="CG71" s="347">
        <f>1537.88+16.07</f>
        <v>1553.95</v>
      </c>
      <c r="CH71" s="348">
        <f>1391.26+20.1</f>
        <v>1411.36</v>
      </c>
      <c r="CI71" s="386">
        <f>65.38+1430.53</f>
        <v>1495.9099999999999</v>
      </c>
      <c r="CJ71" s="347">
        <f>1431+78.52</f>
        <v>1509.52</v>
      </c>
      <c r="CK71" s="347">
        <f>1510.81+39.91</f>
        <v>1550.72</v>
      </c>
      <c r="CL71" s="347">
        <f>1521.47+42.84</f>
        <v>1564.31</v>
      </c>
      <c r="CM71" s="347">
        <f>28.81+1826.88</f>
        <v>1855.69</v>
      </c>
      <c r="CN71" s="347">
        <f>1548.15+84.59</f>
        <v>1632.74</v>
      </c>
      <c r="CO71" s="347">
        <f>1925.8+62.34</f>
        <v>1988.1399999999999</v>
      </c>
      <c r="CP71" s="347">
        <f>1787.03+28.48</f>
        <v>1815.51</v>
      </c>
      <c r="CQ71" s="347">
        <f>1614.03+56.44</f>
        <v>1670.47</v>
      </c>
      <c r="CR71" s="347">
        <f>1709.93+33.12</f>
        <v>1743.05</v>
      </c>
      <c r="CS71" s="347">
        <f>1214.56+6.53</f>
        <v>1221.0899999999999</v>
      </c>
      <c r="CT71" s="348">
        <f>1083.64+76.18</f>
        <v>1159.8200000000002</v>
      </c>
      <c r="CU71" s="479">
        <f>1179.57+44.69</f>
        <v>1224.26</v>
      </c>
      <c r="CV71" s="479">
        <f>1024.11+2.76</f>
        <v>1026.8699999999999</v>
      </c>
      <c r="CW71" s="479">
        <f>1105.67+44.16</f>
        <v>1149.8300000000002</v>
      </c>
      <c r="CX71" s="479">
        <f>1186+17.08</f>
        <v>1203.08</v>
      </c>
      <c r="CY71" s="479">
        <f>1365.51+0.84</f>
        <v>1366.35</v>
      </c>
      <c r="CZ71" s="479">
        <f>1517.7+24.43</f>
        <v>1542.13</v>
      </c>
      <c r="DA71" s="479">
        <f>1523.4+0.11</f>
        <v>1523.51</v>
      </c>
      <c r="DB71" s="479">
        <f>1546.9+28.06</f>
        <v>1574.96</v>
      </c>
      <c r="DC71" s="479">
        <f>1394.75+31.27</f>
        <v>1426.02</v>
      </c>
      <c r="DD71" s="479">
        <f>1331.9+0.02</f>
        <v>1331.92</v>
      </c>
      <c r="DE71" s="479">
        <f>1134.19+30.63</f>
        <v>1164.8200000000002</v>
      </c>
      <c r="DF71" s="480">
        <f>1015.06+125.97</f>
        <v>1141.03</v>
      </c>
      <c r="DG71" s="481">
        <f>980.1+67.64</f>
        <v>1047.74</v>
      </c>
      <c r="DH71" s="479">
        <f>987.02+62.75</f>
        <v>1049.77</v>
      </c>
      <c r="DI71" s="479">
        <f>998.46+40.79</f>
        <v>1039.25</v>
      </c>
      <c r="DJ71" s="479">
        <f>1220.41+571.91</f>
        <v>1792.3200000000002</v>
      </c>
      <c r="DK71" s="479">
        <f>1366.39+498.63</f>
        <v>1865.02</v>
      </c>
      <c r="DL71" s="479">
        <f>1600.18+468.94</f>
        <v>2069.12</v>
      </c>
      <c r="DM71" s="479">
        <f>1799.03+564.1</f>
        <v>2363.13</v>
      </c>
      <c r="DN71" s="479">
        <f>1646.16+610.99</f>
        <v>2257.15</v>
      </c>
      <c r="DO71" s="479">
        <f>1939.77+502.54</f>
        <v>2442.31</v>
      </c>
      <c r="DP71" s="479">
        <f>1444.35+368.23</f>
        <v>1812.58</v>
      </c>
      <c r="DQ71" s="479">
        <f>1439.18+475.36</f>
        <v>1914.54</v>
      </c>
      <c r="DR71" s="479">
        <f>1252.16+340.95</f>
        <v>1593.1100000000001</v>
      </c>
      <c r="DS71" s="479">
        <f>1216.39+348.73</f>
        <v>1565.1200000000001</v>
      </c>
      <c r="DT71" s="479">
        <f>1248.47+605.76</f>
        <v>1854.23</v>
      </c>
      <c r="DU71" s="479">
        <f>1172.14+1196.69</f>
        <v>2368.83</v>
      </c>
      <c r="DV71" s="481">
        <f>1305.5+2180.46</f>
        <v>3485.96</v>
      </c>
      <c r="DW71" s="481">
        <f>1337.54+2577.08</f>
        <v>3914.62</v>
      </c>
      <c r="DX71" s="481">
        <f>109.3+20.87</f>
        <v>130.16999999999999</v>
      </c>
      <c r="DY71" s="481">
        <f>0+11.15</f>
        <v>11.15</v>
      </c>
      <c r="DZ71" s="481">
        <f>1337.54+2577.08</f>
        <v>3914.62</v>
      </c>
      <c r="EA71" s="481">
        <f>0+0</f>
        <v>0</v>
      </c>
      <c r="EB71" s="481">
        <f t="shared" ref="EB71:FT71" si="381">0+0</f>
        <v>0</v>
      </c>
      <c r="EC71" s="481">
        <f t="shared" si="381"/>
        <v>0</v>
      </c>
      <c r="ED71" s="499">
        <f t="shared" si="381"/>
        <v>0</v>
      </c>
      <c r="EE71" s="499">
        <f t="shared" si="381"/>
        <v>0</v>
      </c>
      <c r="EF71" s="499">
        <f t="shared" si="381"/>
        <v>0</v>
      </c>
      <c r="EG71" s="499">
        <f t="shared" si="381"/>
        <v>0</v>
      </c>
      <c r="EH71" s="499">
        <f t="shared" si="381"/>
        <v>0</v>
      </c>
      <c r="EI71" s="499">
        <f t="shared" si="381"/>
        <v>0</v>
      </c>
      <c r="EJ71" s="499">
        <f t="shared" si="381"/>
        <v>0</v>
      </c>
      <c r="EK71" s="499">
        <f t="shared" si="381"/>
        <v>0</v>
      </c>
      <c r="EL71" s="499">
        <f t="shared" si="381"/>
        <v>0</v>
      </c>
      <c r="EM71" s="499">
        <f t="shared" si="381"/>
        <v>0</v>
      </c>
      <c r="EN71" s="499">
        <f t="shared" si="381"/>
        <v>0</v>
      </c>
      <c r="EO71" s="499">
        <f t="shared" si="381"/>
        <v>0</v>
      </c>
      <c r="EP71" s="499">
        <f t="shared" si="381"/>
        <v>0</v>
      </c>
      <c r="EQ71" s="499">
        <f t="shared" si="381"/>
        <v>0</v>
      </c>
      <c r="ER71" s="499">
        <f t="shared" si="381"/>
        <v>0</v>
      </c>
      <c r="ES71" s="499">
        <f t="shared" si="381"/>
        <v>0</v>
      </c>
      <c r="ET71" s="499">
        <f t="shared" si="381"/>
        <v>0</v>
      </c>
      <c r="EU71" s="499">
        <f t="shared" si="381"/>
        <v>0</v>
      </c>
      <c r="EV71" s="499">
        <f t="shared" si="381"/>
        <v>0</v>
      </c>
      <c r="EW71" s="499">
        <f t="shared" si="381"/>
        <v>0</v>
      </c>
      <c r="EX71" s="499">
        <f t="shared" si="381"/>
        <v>0</v>
      </c>
      <c r="EY71" s="499">
        <f t="shared" si="381"/>
        <v>0</v>
      </c>
      <c r="EZ71" s="499">
        <f t="shared" si="381"/>
        <v>0</v>
      </c>
      <c r="FA71" s="499">
        <f t="shared" si="381"/>
        <v>0</v>
      </c>
      <c r="FB71" s="499">
        <f t="shared" si="381"/>
        <v>0</v>
      </c>
      <c r="FC71" s="499">
        <f t="shared" si="381"/>
        <v>0</v>
      </c>
      <c r="FD71" s="499">
        <f t="shared" si="381"/>
        <v>0</v>
      </c>
      <c r="FE71" s="499">
        <f t="shared" si="381"/>
        <v>0</v>
      </c>
      <c r="FF71" s="499">
        <f t="shared" si="381"/>
        <v>0</v>
      </c>
      <c r="FG71" s="499">
        <f t="shared" si="381"/>
        <v>0</v>
      </c>
      <c r="FH71" s="499">
        <f t="shared" si="381"/>
        <v>0</v>
      </c>
      <c r="FI71" s="499">
        <f t="shared" si="381"/>
        <v>0</v>
      </c>
      <c r="FJ71" s="499">
        <f t="shared" si="381"/>
        <v>0</v>
      </c>
      <c r="FK71" s="499">
        <f t="shared" si="381"/>
        <v>0</v>
      </c>
      <c r="FL71" s="499">
        <f t="shared" si="381"/>
        <v>0</v>
      </c>
      <c r="FM71" s="499">
        <f t="shared" si="381"/>
        <v>0</v>
      </c>
      <c r="FN71" s="499">
        <f t="shared" si="381"/>
        <v>0</v>
      </c>
      <c r="FO71" s="499">
        <f t="shared" si="381"/>
        <v>0</v>
      </c>
      <c r="FP71" s="499">
        <f t="shared" si="381"/>
        <v>0</v>
      </c>
      <c r="FQ71" s="499">
        <f t="shared" si="381"/>
        <v>0</v>
      </c>
      <c r="FR71" s="499">
        <f t="shared" si="381"/>
        <v>0</v>
      </c>
      <c r="FS71" s="499">
        <f t="shared" si="381"/>
        <v>0</v>
      </c>
      <c r="FT71" s="499">
        <f t="shared" si="381"/>
        <v>0</v>
      </c>
    </row>
    <row r="72" spans="1:176" s="345" customFormat="1" ht="13.8" hidden="1" thickBot="1" x14ac:dyDescent="0.3">
      <c r="B72" s="468" t="s">
        <v>8</v>
      </c>
      <c r="C72" s="395">
        <v>925.5809999999999</v>
      </c>
      <c r="D72" s="393">
        <v>2118.0839999999998</v>
      </c>
      <c r="E72" s="393">
        <v>26883.847539999999</v>
      </c>
      <c r="F72" s="393">
        <v>38563.991119999991</v>
      </c>
      <c r="G72" s="393">
        <v>42893.29608</v>
      </c>
      <c r="H72" s="393">
        <v>122512.10200000001</v>
      </c>
      <c r="I72" s="393">
        <v>99388.391000000003</v>
      </c>
      <c r="J72" s="393">
        <v>152441.66</v>
      </c>
      <c r="K72" s="393">
        <v>145167.45000000001</v>
      </c>
      <c r="L72" s="393">
        <v>132354.0834</v>
      </c>
      <c r="M72" s="393">
        <v>93767.27</v>
      </c>
      <c r="N72" s="394">
        <v>44878.923999999992</v>
      </c>
      <c r="O72" s="395">
        <f>6649+48279</f>
        <v>54928</v>
      </c>
      <c r="P72" s="393">
        <f>2883+65769</f>
        <v>68652</v>
      </c>
      <c r="Q72" s="393">
        <f>5836+93598</f>
        <v>99434</v>
      </c>
      <c r="R72" s="393">
        <f>5657.54+224661.39</f>
        <v>230318.93000000002</v>
      </c>
      <c r="S72" s="393">
        <f>5064.04+3440.36</f>
        <v>8504.4</v>
      </c>
      <c r="T72" s="393">
        <f>7003.44+37944.12</f>
        <v>44947.560000000005</v>
      </c>
      <c r="U72" s="393">
        <f>7262.53+57871.49</f>
        <v>65134.02</v>
      </c>
      <c r="V72" s="393">
        <f>8552.42+43733.37</f>
        <v>52285.79</v>
      </c>
      <c r="W72" s="393">
        <f>7410.08+45082.89</f>
        <v>52492.97</v>
      </c>
      <c r="X72" s="393">
        <f>6250.43+24112.41</f>
        <v>30362.84</v>
      </c>
      <c r="Y72" s="393">
        <f>5819.02+5914.41</f>
        <v>11733.43</v>
      </c>
      <c r="Z72" s="394">
        <f>6381.87+145318.89</f>
        <v>151700.76</v>
      </c>
      <c r="AA72" s="395">
        <f>8554.19+77745.92</f>
        <v>86300.11</v>
      </c>
      <c r="AB72" s="393">
        <f>7799.98+55778.71</f>
        <v>63578.69</v>
      </c>
      <c r="AC72" s="393">
        <f>8066.45+66477.13</f>
        <v>74543.58</v>
      </c>
      <c r="AD72" s="393">
        <f>13845.93+86454.28</f>
        <v>100300.20999999999</v>
      </c>
      <c r="AE72" s="393">
        <f>10358.14+7217.34</f>
        <v>17575.48</v>
      </c>
      <c r="AF72" s="393">
        <f>15225.72+124348.66</f>
        <v>139574.38</v>
      </c>
      <c r="AG72" s="393">
        <f>12688.12+78607.53</f>
        <v>91295.65</v>
      </c>
      <c r="AH72" s="393">
        <f>14892.46+96617.34</f>
        <v>111509.79999999999</v>
      </c>
      <c r="AI72" s="393">
        <f>15022.97+91239.05</f>
        <v>106262.02</v>
      </c>
      <c r="AJ72" s="393">
        <f>17980.87+89982.56</f>
        <v>107963.43</v>
      </c>
      <c r="AK72" s="393">
        <f>16656.41+137526.21</f>
        <v>154182.62</v>
      </c>
      <c r="AL72" s="394">
        <f>14030.73+98334.97</f>
        <v>112365.7</v>
      </c>
      <c r="AM72" s="395">
        <f>13420.77+80387.18</f>
        <v>93807.95</v>
      </c>
      <c r="AN72" s="393">
        <f>19128.26+118137.31</f>
        <v>137265.57</v>
      </c>
      <c r="AO72" s="393">
        <f>17852.96+97601.45</f>
        <v>115454.41</v>
      </c>
      <c r="AP72" s="393">
        <f>15867.96+82448.57</f>
        <v>98316.53</v>
      </c>
      <c r="AQ72" s="393">
        <f>19315.93+116556.07</f>
        <v>135872</v>
      </c>
      <c r="AR72" s="393">
        <f>20232.7+121547.52</f>
        <v>141780.22</v>
      </c>
      <c r="AS72" s="393">
        <f>23809.89+127462.59</f>
        <v>151272.47999999998</v>
      </c>
      <c r="AT72" s="393">
        <f>24414.07+136616.58</f>
        <v>161030.65</v>
      </c>
      <c r="AU72" s="393">
        <f>24352.14+103046.29</f>
        <v>127398.43</v>
      </c>
      <c r="AV72" s="393">
        <f>22979.28+129134.01</f>
        <v>152113.28999999998</v>
      </c>
      <c r="AW72" s="393">
        <f>21873.93+143994.95</f>
        <v>165868.88</v>
      </c>
      <c r="AX72" s="394">
        <f>20253.58+129863.94</f>
        <v>150117.52000000002</v>
      </c>
      <c r="AY72" s="395">
        <f>21175+127338.02</f>
        <v>148513.02000000002</v>
      </c>
      <c r="AZ72" s="393">
        <f>20163.88+122420.88</f>
        <v>142584.76</v>
      </c>
      <c r="BA72" s="393">
        <f>116719.54+18808.49</f>
        <v>135528.03</v>
      </c>
      <c r="BB72" s="393">
        <f>20648.79+81788.6</f>
        <v>102437.39000000001</v>
      </c>
      <c r="BC72" s="393">
        <f>21264.46+149360.82</f>
        <v>170625.28</v>
      </c>
      <c r="BD72" s="393">
        <f>22450.74+135569.09</f>
        <v>158019.82999999999</v>
      </c>
      <c r="BE72" s="393">
        <f>23282.82+124812.45</f>
        <v>148095.26999999999</v>
      </c>
      <c r="BF72" s="393">
        <f>27474.07+115274.58</f>
        <v>142748.65</v>
      </c>
      <c r="BG72" s="393">
        <f>25224.29+126722.39</f>
        <v>151946.68</v>
      </c>
      <c r="BH72" s="393">
        <f>24998.48+126649.43</f>
        <v>151647.91</v>
      </c>
      <c r="BI72" s="393">
        <f>22781.04+171565.82</f>
        <v>194346.86000000002</v>
      </c>
      <c r="BJ72" s="394">
        <f>21760.47+119187.08</f>
        <v>140947.54999999999</v>
      </c>
      <c r="BK72" s="395">
        <f>9632.32+51214.71</f>
        <v>60847.03</v>
      </c>
      <c r="BL72" s="393">
        <f>26217.35+129824.86</f>
        <v>156042.21</v>
      </c>
      <c r="BM72" s="393">
        <f>24330.17+100288.42</f>
        <v>124618.59</v>
      </c>
      <c r="BN72" s="393">
        <f>114431.17+22391.42</f>
        <v>136822.59</v>
      </c>
      <c r="BO72" s="393">
        <f>137387.53+24616.85</f>
        <v>162004.38</v>
      </c>
      <c r="BP72" s="393">
        <f>24830.12+151233.4</f>
        <v>176063.52</v>
      </c>
      <c r="BQ72" s="393">
        <f>26967.52+170695.96</f>
        <v>197663.47999999998</v>
      </c>
      <c r="BR72" s="393">
        <f>26333.78+142305.18</f>
        <v>168638.96</v>
      </c>
      <c r="BS72" s="393">
        <f>28829.89+163516.22</f>
        <v>192346.11</v>
      </c>
      <c r="BT72" s="393">
        <f>26242.07+192458.54</f>
        <v>218700.61000000002</v>
      </c>
      <c r="BU72" s="393">
        <f>26559.32+151336.41</f>
        <v>177895.73</v>
      </c>
      <c r="BV72" s="394">
        <f>23047.75+153210</f>
        <v>176257.75</v>
      </c>
      <c r="BW72" s="395">
        <f>143787.48+23342.05</f>
        <v>167129.53</v>
      </c>
      <c r="BX72" s="393">
        <f>25025.36+171585.5</f>
        <v>196610.86</v>
      </c>
      <c r="BY72" s="393">
        <f>23662.58+142261.1</f>
        <v>165923.68</v>
      </c>
      <c r="BZ72" s="393">
        <f>25750.5+186323.03</f>
        <v>212073.53</v>
      </c>
      <c r="CA72" s="393">
        <f>163958.74+22811.25</f>
        <v>186769.99</v>
      </c>
      <c r="CB72" s="393">
        <f>22868.65+156143.81</f>
        <v>179012.46</v>
      </c>
      <c r="CC72" s="393">
        <f>34441.65+158808.86</f>
        <v>193250.50999999998</v>
      </c>
      <c r="CD72" s="393">
        <f>29818.24+160647.89</f>
        <v>190466.13</v>
      </c>
      <c r="CE72" s="393">
        <f>28409.98+154534.59</f>
        <v>182944.57</v>
      </c>
      <c r="CF72" s="393">
        <f>28176.82+132271.81</f>
        <v>160448.63</v>
      </c>
      <c r="CG72" s="393">
        <f>24120.42+142542.27</f>
        <v>166662.69</v>
      </c>
      <c r="CH72" s="394">
        <f>26265.61+212615.69</f>
        <v>238881.3</v>
      </c>
      <c r="CI72" s="395">
        <f>24887.52+170139.55</f>
        <v>195027.06999999998</v>
      </c>
      <c r="CJ72" s="393">
        <f>25461.61+123435.03</f>
        <v>148896.64000000001</v>
      </c>
      <c r="CK72" s="393">
        <f>26097.47+83623.33</f>
        <v>109720.8</v>
      </c>
      <c r="CL72" s="393">
        <f>25114.09+146275.37</f>
        <v>171389.46</v>
      </c>
      <c r="CM72" s="393">
        <f>26088.15+171306.26</f>
        <v>197394.41</v>
      </c>
      <c r="CN72" s="393">
        <f>32114.08+190616.34</f>
        <v>222730.41999999998</v>
      </c>
      <c r="CO72" s="393">
        <f>31171.31+154105.81</f>
        <v>185277.12</v>
      </c>
      <c r="CP72" s="393">
        <f>33314.57+152655.91</f>
        <v>185970.48</v>
      </c>
      <c r="CQ72" s="393">
        <f>32477.25+168903.35</f>
        <v>201380.6</v>
      </c>
      <c r="CR72" s="393">
        <f>29082.07+147848.6</f>
        <v>176930.67</v>
      </c>
      <c r="CS72" s="393">
        <f>27410.7+134530.35</f>
        <v>161941.05000000002</v>
      </c>
      <c r="CT72" s="394">
        <f>30052.6+177790.94</f>
        <v>207843.54</v>
      </c>
      <c r="CU72" s="440">
        <f>29157.59+153851.84</f>
        <v>183009.43</v>
      </c>
      <c r="CV72" s="393">
        <f>28368.46+137125.01</f>
        <v>165493.47</v>
      </c>
      <c r="CW72" s="416">
        <f>29701.05+180453.12</f>
        <v>210154.16999999998</v>
      </c>
      <c r="CX72" s="393">
        <f>27977.29+177761.83</f>
        <v>205739.12</v>
      </c>
      <c r="CY72" s="393">
        <f>28434.74+140934.14</f>
        <v>169368.88</v>
      </c>
      <c r="CZ72" s="393">
        <f>33908.17+211014.73</f>
        <v>244922.90000000002</v>
      </c>
      <c r="DA72" s="393">
        <f>31641.68+146772.63</f>
        <v>178414.31</v>
      </c>
      <c r="DB72" s="393">
        <f>37145.04+225857.19</f>
        <v>263002.23</v>
      </c>
      <c r="DC72" s="393">
        <f>35880.58+184555.35</f>
        <v>220435.93</v>
      </c>
      <c r="DD72" s="393">
        <f>30757.12+131832.67</f>
        <v>162589.79</v>
      </c>
      <c r="DE72" s="393">
        <f>31097.03+169621.82</f>
        <v>200718.85</v>
      </c>
      <c r="DF72" s="394">
        <f>31366.73+208889.1</f>
        <v>240255.83000000002</v>
      </c>
      <c r="DG72" s="440">
        <f>31994.28+175278.8</f>
        <v>207273.08</v>
      </c>
      <c r="DH72" s="393">
        <f>28526.49+162784.87</f>
        <v>191311.35999999999</v>
      </c>
      <c r="DI72" s="393">
        <f>31524.13+209684.22</f>
        <v>241208.35</v>
      </c>
      <c r="DJ72" s="393">
        <f>29083.61+166471.05</f>
        <v>195554.65999999997</v>
      </c>
      <c r="DK72" s="393">
        <f>31564.95+188775.59</f>
        <v>220340.54</v>
      </c>
      <c r="DL72" s="393">
        <f>34174.77+204213.52</f>
        <v>238388.28999999998</v>
      </c>
      <c r="DM72" s="393">
        <f>34640.86+206767.75</f>
        <v>241408.61</v>
      </c>
      <c r="DN72" s="393">
        <f>36921.46+243189.9</f>
        <v>280111.35999999999</v>
      </c>
      <c r="DO72" s="393">
        <f>36517.96+213153.03</f>
        <v>249670.99</v>
      </c>
      <c r="DP72" s="393">
        <f>32711.72+170386.56</f>
        <v>203098.28</v>
      </c>
      <c r="DQ72" s="393">
        <v>232449.88</v>
      </c>
      <c r="DR72" s="393">
        <v>261253.21</v>
      </c>
      <c r="DS72" s="393">
        <v>203760.28</v>
      </c>
      <c r="DT72" s="393">
        <v>235242.17</v>
      </c>
      <c r="DU72" s="393">
        <v>211447.37</v>
      </c>
      <c r="DV72" s="477">
        <v>205193.71</v>
      </c>
      <c r="DW72" s="477">
        <v>246341.14</v>
      </c>
      <c r="DX72" s="477">
        <v>256852.34</v>
      </c>
      <c r="DY72" s="477">
        <v>245917.21</v>
      </c>
      <c r="DZ72" s="477">
        <v>319578.17</v>
      </c>
      <c r="EA72" s="482">
        <v>245458.7</v>
      </c>
      <c r="EB72" s="477">
        <v>248613.1</v>
      </c>
      <c r="EC72" s="477">
        <v>266508.27</v>
      </c>
      <c r="ED72" s="500">
        <v>266916.74</v>
      </c>
      <c r="EE72" s="494">
        <f>42695.83+183827.32</f>
        <v>226523.15000000002</v>
      </c>
      <c r="EF72" s="494">
        <f>39870.4+183263.14</f>
        <v>223133.54</v>
      </c>
      <c r="EG72" s="494">
        <f>33879.18+147490.59</f>
        <v>181369.77</v>
      </c>
      <c r="EH72" s="494">
        <f>43095.42+211834.04</f>
        <v>254929.46000000002</v>
      </c>
      <c r="EI72" s="501">
        <f>42603.39+244229.28</f>
        <v>286832.67</v>
      </c>
      <c r="EJ72" s="501">
        <f>38828.82+227715.15</f>
        <v>266543.96999999997</v>
      </c>
      <c r="EK72" s="501">
        <f>41404.87+225355.95</f>
        <v>266760.82</v>
      </c>
      <c r="EL72" s="501">
        <f>28861.92+231621.97</f>
        <v>260483.89</v>
      </c>
      <c r="EM72" s="501">
        <f>59740.92+185126.28</f>
        <v>244867.20000000001</v>
      </c>
      <c r="EN72" s="501">
        <f>47636.13+242510.98</f>
        <v>290147.11</v>
      </c>
      <c r="EO72" s="501">
        <f>39550.65+207146.46</f>
        <v>246697.11</v>
      </c>
      <c r="EP72" s="501">
        <f>45541.59+246746.29</f>
        <v>292287.88</v>
      </c>
      <c r="EQ72" s="501">
        <f>42783.06+222389.31</f>
        <v>265172.37</v>
      </c>
      <c r="ER72" s="501">
        <f>41898.84+201661.86</f>
        <v>243560.69999999998</v>
      </c>
      <c r="ES72" s="501">
        <f>37442.97+194166.26</f>
        <v>231609.23</v>
      </c>
      <c r="ET72" s="501">
        <f>39888.17+224027.14</f>
        <v>263915.31</v>
      </c>
      <c r="EU72" s="501">
        <f>36748.01+152065.07</f>
        <v>188813.08000000002</v>
      </c>
      <c r="EV72" s="501">
        <f>48961+217115.34</f>
        <v>266076.33999999997</v>
      </c>
      <c r="EW72" s="501">
        <f>50075.29+230085.02</f>
        <v>280160.31</v>
      </c>
      <c r="EX72" s="501">
        <f>45749.79+236545.17</f>
        <v>282294.96000000002</v>
      </c>
      <c r="EY72" s="501">
        <f>49442.02+231324.64</f>
        <v>280766.66000000003</v>
      </c>
      <c r="EZ72" s="393">
        <v>320516.53000000003</v>
      </c>
      <c r="FA72" s="393">
        <v>227060.4</v>
      </c>
      <c r="FB72" s="393">
        <v>314617.8</v>
      </c>
      <c r="FC72" s="501">
        <f>38350.81+222106.03</f>
        <v>260456.84</v>
      </c>
      <c r="FD72" s="501">
        <f>53043.32+201044.4</f>
        <v>254087.72</v>
      </c>
      <c r="FE72" s="501">
        <f>42248.71+179677.87</f>
        <v>221926.58</v>
      </c>
      <c r="FF72" s="501">
        <f>23525.15+212010.92</f>
        <v>235536.07</v>
      </c>
      <c r="FG72" s="501">
        <f>47370.3+235530.2</f>
        <v>282900.5</v>
      </c>
      <c r="FH72" s="501">
        <f>41063.2+235515.37</f>
        <v>276578.57</v>
      </c>
      <c r="FI72" s="501">
        <f>35878.17+238215.32</f>
        <v>274093.49</v>
      </c>
      <c r="FJ72" s="501">
        <f>57178.71+212549.99</f>
        <v>269728.7</v>
      </c>
      <c r="FK72" s="501">
        <f>45564.26+222456.75</f>
        <v>268021.01</v>
      </c>
      <c r="FL72" s="501">
        <f>51525.59+216944.42</f>
        <v>268470.01</v>
      </c>
      <c r="FM72" s="501">
        <f>51395.16+262356.59</f>
        <v>313751.75</v>
      </c>
      <c r="FN72" s="501">
        <f>52010.41+253512.76</f>
        <v>305523.17000000004</v>
      </c>
      <c r="FO72" s="501">
        <f>46415.84+237080.46</f>
        <v>283496.3</v>
      </c>
      <c r="FP72" s="501">
        <f>46108.52+193566.92</f>
        <v>239675.44</v>
      </c>
      <c r="FQ72" s="501">
        <f>47799.34+238213.47</f>
        <v>286012.81</v>
      </c>
      <c r="FR72" s="501">
        <f>49485.43+240460.39</f>
        <v>289945.82</v>
      </c>
      <c r="FS72" s="501">
        <f>49281.9+206181.53</f>
        <v>255463.43</v>
      </c>
      <c r="FT72" s="501">
        <f>54727.33+241945.45</f>
        <v>296672.78000000003</v>
      </c>
    </row>
    <row r="73" spans="1:176" s="345" customFormat="1" ht="13.8" hidden="1" thickTop="1" x14ac:dyDescent="0.25">
      <c r="B73" s="443" t="s">
        <v>9</v>
      </c>
      <c r="C73" s="401">
        <f t="shared" ref="C73:Q73" si="382">SUM(C71:C72)</f>
        <v>158417.97339999996</v>
      </c>
      <c r="D73" s="398">
        <f t="shared" si="382"/>
        <v>159610.47639999996</v>
      </c>
      <c r="E73" s="398">
        <f t="shared" si="382"/>
        <v>48513.163970000038</v>
      </c>
      <c r="F73" s="398">
        <f t="shared" si="382"/>
        <v>82496.179009999963</v>
      </c>
      <c r="G73" s="398">
        <f t="shared" si="382"/>
        <v>185915.10916999984</v>
      </c>
      <c r="H73" s="398">
        <f t="shared" si="382"/>
        <v>183820.44418000011</v>
      </c>
      <c r="I73" s="398">
        <f t="shared" si="382"/>
        <v>98129.286889999843</v>
      </c>
      <c r="J73" s="398">
        <f t="shared" si="382"/>
        <v>98305.24</v>
      </c>
      <c r="K73" s="398">
        <f t="shared" si="382"/>
        <v>173565.13</v>
      </c>
      <c r="L73" s="398">
        <f t="shared" si="382"/>
        <v>139263.96340000001</v>
      </c>
      <c r="M73" s="398">
        <f t="shared" si="382"/>
        <v>95332.31</v>
      </c>
      <c r="N73" s="399">
        <f t="shared" si="382"/>
        <v>54251.183999999994</v>
      </c>
      <c r="O73" s="401">
        <f t="shared" si="382"/>
        <v>63069</v>
      </c>
      <c r="P73" s="398">
        <f t="shared" si="382"/>
        <v>82987</v>
      </c>
      <c r="Q73" s="398">
        <f t="shared" si="382"/>
        <v>108993</v>
      </c>
      <c r="R73" s="398">
        <f>SUM(R71:R72)</f>
        <v>236427.54000000004</v>
      </c>
      <c r="S73" s="398">
        <f>SUM(S71:S72)</f>
        <v>13318.74</v>
      </c>
      <c r="T73" s="398">
        <f>SUM(T71:T72)</f>
        <v>59147.16</v>
      </c>
      <c r="U73" s="398">
        <f t="shared" ref="U73:Z73" si="383">SUM(U71:U72)</f>
        <v>79429.06</v>
      </c>
      <c r="V73" s="398">
        <f t="shared" si="383"/>
        <v>68595.070000000007</v>
      </c>
      <c r="W73" s="398">
        <f t="shared" si="383"/>
        <v>61478.6</v>
      </c>
      <c r="X73" s="398">
        <f t="shared" si="383"/>
        <v>43061.74</v>
      </c>
      <c r="Y73" s="398">
        <f t="shared" si="383"/>
        <v>20749.89</v>
      </c>
      <c r="Z73" s="399">
        <f t="shared" si="383"/>
        <v>168564.16</v>
      </c>
      <c r="AA73" s="401">
        <f t="shared" ref="AA73:AF73" si="384">SUM(AA71:AA72)</f>
        <v>98420.39</v>
      </c>
      <c r="AB73" s="398">
        <f t="shared" si="384"/>
        <v>71917.36</v>
      </c>
      <c r="AC73" s="398">
        <f t="shared" si="384"/>
        <v>84654.45</v>
      </c>
      <c r="AD73" s="398">
        <f t="shared" si="384"/>
        <v>110067.04999999999</v>
      </c>
      <c r="AE73" s="398">
        <f t="shared" si="384"/>
        <v>28018.329999999998</v>
      </c>
      <c r="AF73" s="398">
        <f t="shared" si="384"/>
        <v>151445.71000000002</v>
      </c>
      <c r="AG73" s="398">
        <f t="shared" ref="AG73:AL73" si="385">SUM(AG71:AG72)</f>
        <v>100663.85999999999</v>
      </c>
      <c r="AH73" s="398">
        <f t="shared" si="385"/>
        <v>123869.51999999999</v>
      </c>
      <c r="AI73" s="398">
        <f t="shared" si="385"/>
        <v>118509.86</v>
      </c>
      <c r="AJ73" s="398">
        <f t="shared" si="385"/>
        <v>119639.31999999999</v>
      </c>
      <c r="AK73" s="398">
        <f t="shared" si="385"/>
        <v>165176.38999999998</v>
      </c>
      <c r="AL73" s="399">
        <f t="shared" si="385"/>
        <v>123155.15</v>
      </c>
      <c r="AM73" s="401">
        <f t="shared" ref="AM73:AR73" si="386">SUM(AM71:AM72)</f>
        <v>103751.05</v>
      </c>
      <c r="AN73" s="398">
        <f t="shared" si="386"/>
        <v>141153.13</v>
      </c>
      <c r="AO73" s="398">
        <f t="shared" si="386"/>
        <v>119141.16</v>
      </c>
      <c r="AP73" s="398">
        <f t="shared" si="386"/>
        <v>102045.6</v>
      </c>
      <c r="AQ73" s="398">
        <f t="shared" si="386"/>
        <v>140012.51999999999</v>
      </c>
      <c r="AR73" s="398">
        <f t="shared" si="386"/>
        <v>145789.51</v>
      </c>
      <c r="AS73" s="398">
        <f t="shared" ref="AS73:AX73" si="387">SUM(AS71:AS72)</f>
        <v>155717.72999999998</v>
      </c>
      <c r="AT73" s="398">
        <f t="shared" si="387"/>
        <v>165231.72999999998</v>
      </c>
      <c r="AU73" s="398">
        <f t="shared" si="387"/>
        <v>131766.35999999999</v>
      </c>
      <c r="AV73" s="398">
        <f t="shared" si="387"/>
        <v>156496.68999999997</v>
      </c>
      <c r="AW73" s="398">
        <f t="shared" si="387"/>
        <v>169423.89</v>
      </c>
      <c r="AX73" s="399">
        <f t="shared" si="387"/>
        <v>153111.03000000003</v>
      </c>
      <c r="AY73" s="401">
        <f t="shared" ref="AY73:BJ73" si="388">SUM(AY71:AY72)</f>
        <v>151367.71000000002</v>
      </c>
      <c r="AZ73" s="398">
        <f t="shared" si="388"/>
        <v>145966.58000000002</v>
      </c>
      <c r="BA73" s="398">
        <f t="shared" si="388"/>
        <v>140699.48000000001</v>
      </c>
      <c r="BB73" s="398">
        <f t="shared" si="388"/>
        <v>109883.74000000002</v>
      </c>
      <c r="BC73" s="398">
        <f t="shared" si="388"/>
        <v>178969.82</v>
      </c>
      <c r="BD73" s="398">
        <f t="shared" si="388"/>
        <v>167038.46999999997</v>
      </c>
      <c r="BE73" s="398">
        <f t="shared" si="388"/>
        <v>157098.81</v>
      </c>
      <c r="BF73" s="398">
        <f t="shared" si="388"/>
        <v>150996.41999999998</v>
      </c>
      <c r="BG73" s="398">
        <f t="shared" si="388"/>
        <v>159462.38999999998</v>
      </c>
      <c r="BH73" s="398">
        <f t="shared" si="388"/>
        <v>157600.20000000001</v>
      </c>
      <c r="BI73" s="398">
        <f t="shared" si="388"/>
        <v>197419.15000000002</v>
      </c>
      <c r="BJ73" s="399">
        <f t="shared" si="388"/>
        <v>143639.81999999998</v>
      </c>
      <c r="BK73" s="401">
        <f t="shared" ref="BK73:BP73" si="389">SUM(BK71:BK72)</f>
        <v>64827.95</v>
      </c>
      <c r="BL73" s="398">
        <f t="shared" si="389"/>
        <v>159025.19</v>
      </c>
      <c r="BM73" s="398">
        <f t="shared" si="389"/>
        <v>127041.66</v>
      </c>
      <c r="BN73" s="398">
        <f t="shared" si="389"/>
        <v>139269.1</v>
      </c>
      <c r="BO73" s="398">
        <f t="shared" si="389"/>
        <v>165244.44</v>
      </c>
      <c r="BP73" s="398">
        <f t="shared" si="389"/>
        <v>179278.16</v>
      </c>
      <c r="BQ73" s="398">
        <f t="shared" ref="BQ73:BV73" si="390">SUM(BQ71:BQ72)</f>
        <v>200963.96999999997</v>
      </c>
      <c r="BR73" s="398">
        <f t="shared" si="390"/>
        <v>172301.93</v>
      </c>
      <c r="BS73" s="398">
        <f t="shared" si="390"/>
        <v>196075.56</v>
      </c>
      <c r="BT73" s="398">
        <f t="shared" si="390"/>
        <v>222501.1</v>
      </c>
      <c r="BU73" s="398">
        <f t="shared" si="390"/>
        <v>180566.48</v>
      </c>
      <c r="BV73" s="399">
        <f t="shared" si="390"/>
        <v>178433.01</v>
      </c>
      <c r="BW73" s="401">
        <f t="shared" ref="BW73:CB73" si="391">SUM(BW71:BW72)</f>
        <v>169550.47</v>
      </c>
      <c r="BX73" s="398">
        <f t="shared" si="391"/>
        <v>198299.86</v>
      </c>
      <c r="BY73" s="398">
        <f t="shared" si="391"/>
        <v>167489.94</v>
      </c>
      <c r="BZ73" s="398">
        <f t="shared" si="391"/>
        <v>213724.63999999998</v>
      </c>
      <c r="CA73" s="398">
        <f t="shared" si="391"/>
        <v>188988.03999999998</v>
      </c>
      <c r="CB73" s="398">
        <f t="shared" si="391"/>
        <v>181437.68</v>
      </c>
      <c r="CC73" s="398">
        <f t="shared" ref="CC73:DK73" si="392">SUM(CC71:CC72)</f>
        <v>195946.15</v>
      </c>
      <c r="CD73" s="398">
        <f t="shared" si="392"/>
        <v>193037.80000000002</v>
      </c>
      <c r="CE73" s="398">
        <f t="shared" si="392"/>
        <v>185052.34</v>
      </c>
      <c r="CF73" s="398">
        <f t="shared" si="392"/>
        <v>162456.05000000002</v>
      </c>
      <c r="CG73" s="398">
        <f t="shared" si="392"/>
        <v>168216.64</v>
      </c>
      <c r="CH73" s="399">
        <f t="shared" si="392"/>
        <v>240292.65999999997</v>
      </c>
      <c r="CI73" s="401">
        <f t="shared" si="392"/>
        <v>196522.97999999998</v>
      </c>
      <c r="CJ73" s="398">
        <f t="shared" si="392"/>
        <v>150406.16</v>
      </c>
      <c r="CK73" s="398">
        <f t="shared" si="392"/>
        <v>111271.52</v>
      </c>
      <c r="CL73" s="398">
        <f t="shared" si="392"/>
        <v>172953.77</v>
      </c>
      <c r="CM73" s="398">
        <f t="shared" si="392"/>
        <v>199250.1</v>
      </c>
      <c r="CN73" s="398">
        <f t="shared" si="392"/>
        <v>224363.15999999997</v>
      </c>
      <c r="CO73" s="398">
        <f t="shared" si="392"/>
        <v>187265.26</v>
      </c>
      <c r="CP73" s="398">
        <f t="shared" si="392"/>
        <v>187785.99000000002</v>
      </c>
      <c r="CQ73" s="398">
        <f t="shared" si="392"/>
        <v>203051.07</v>
      </c>
      <c r="CR73" s="398">
        <f t="shared" si="392"/>
        <v>178673.72</v>
      </c>
      <c r="CS73" s="398">
        <f t="shared" si="392"/>
        <v>163162.14000000001</v>
      </c>
      <c r="CT73" s="399">
        <f t="shared" si="392"/>
        <v>209003.36000000002</v>
      </c>
      <c r="CU73" s="398">
        <f t="shared" si="392"/>
        <v>184233.69</v>
      </c>
      <c r="CV73" s="398">
        <f t="shared" si="392"/>
        <v>166520.34</v>
      </c>
      <c r="CW73" s="398">
        <f t="shared" si="392"/>
        <v>211303.99999999997</v>
      </c>
      <c r="CX73" s="398">
        <f t="shared" si="392"/>
        <v>206942.19999999998</v>
      </c>
      <c r="CY73" s="398">
        <f t="shared" si="392"/>
        <v>170735.23</v>
      </c>
      <c r="CZ73" s="398">
        <f t="shared" si="392"/>
        <v>246465.03000000003</v>
      </c>
      <c r="DA73" s="398">
        <f t="shared" si="392"/>
        <v>179937.82</v>
      </c>
      <c r="DB73" s="398">
        <f t="shared" si="392"/>
        <v>264577.19</v>
      </c>
      <c r="DC73" s="398">
        <f t="shared" si="392"/>
        <v>221861.94999999998</v>
      </c>
      <c r="DD73" s="398">
        <f t="shared" si="392"/>
        <v>163921.71000000002</v>
      </c>
      <c r="DE73" s="398">
        <f t="shared" si="392"/>
        <v>201883.67</v>
      </c>
      <c r="DF73" s="442">
        <f t="shared" si="392"/>
        <v>241396.86000000002</v>
      </c>
      <c r="DG73" s="398">
        <f t="shared" si="392"/>
        <v>208320.81999999998</v>
      </c>
      <c r="DH73" s="398">
        <f t="shared" si="392"/>
        <v>192361.12999999998</v>
      </c>
      <c r="DI73" s="398">
        <f t="shared" si="392"/>
        <v>242247.6</v>
      </c>
      <c r="DJ73" s="398">
        <f t="shared" si="392"/>
        <v>197346.97999999998</v>
      </c>
      <c r="DK73" s="398">
        <f t="shared" si="392"/>
        <v>222205.56</v>
      </c>
      <c r="DL73" s="398">
        <f t="shared" ref="DL73:FH73" si="393">SUM(DL71:DL72)</f>
        <v>240457.40999999997</v>
      </c>
      <c r="DM73" s="398">
        <f t="shared" si="393"/>
        <v>243771.74</v>
      </c>
      <c r="DN73" s="398">
        <f t="shared" si="393"/>
        <v>282368.51</v>
      </c>
      <c r="DO73" s="398">
        <f t="shared" si="393"/>
        <v>252113.3</v>
      </c>
      <c r="DP73" s="398">
        <f t="shared" si="393"/>
        <v>204910.86</v>
      </c>
      <c r="DQ73" s="398">
        <f t="shared" si="393"/>
        <v>234364.42</v>
      </c>
      <c r="DR73" s="398">
        <f t="shared" si="393"/>
        <v>262846.32</v>
      </c>
      <c r="DS73" s="398">
        <f t="shared" si="393"/>
        <v>205325.4</v>
      </c>
      <c r="DT73" s="398">
        <f t="shared" si="393"/>
        <v>237096.40000000002</v>
      </c>
      <c r="DU73" s="398">
        <f t="shared" si="393"/>
        <v>213816.19999999998</v>
      </c>
      <c r="DV73" s="464">
        <f t="shared" si="393"/>
        <v>208679.66999999998</v>
      </c>
      <c r="DW73" s="464">
        <f t="shared" si="393"/>
        <v>250255.76</v>
      </c>
      <c r="DX73" s="464">
        <f t="shared" si="393"/>
        <v>256982.51</v>
      </c>
      <c r="DY73" s="464">
        <f t="shared" si="393"/>
        <v>245928.36</v>
      </c>
      <c r="DZ73" s="464">
        <f t="shared" si="393"/>
        <v>323492.78999999998</v>
      </c>
      <c r="EA73" s="464">
        <f t="shared" si="393"/>
        <v>245458.7</v>
      </c>
      <c r="EB73" s="464">
        <f t="shared" si="393"/>
        <v>248613.1</v>
      </c>
      <c r="EC73" s="464">
        <f t="shared" si="393"/>
        <v>266508.27</v>
      </c>
      <c r="ED73" s="497">
        <f t="shared" si="393"/>
        <v>266916.74</v>
      </c>
      <c r="EE73" s="497">
        <f t="shared" si="393"/>
        <v>226523.15000000002</v>
      </c>
      <c r="EF73" s="497">
        <f t="shared" si="393"/>
        <v>223133.54</v>
      </c>
      <c r="EG73" s="497">
        <f t="shared" si="393"/>
        <v>181369.77</v>
      </c>
      <c r="EH73" s="497">
        <f t="shared" si="393"/>
        <v>254929.46000000002</v>
      </c>
      <c r="EI73" s="497">
        <f t="shared" si="393"/>
        <v>286832.67</v>
      </c>
      <c r="EJ73" s="497">
        <f t="shared" si="393"/>
        <v>266543.96999999997</v>
      </c>
      <c r="EK73" s="497">
        <f t="shared" si="393"/>
        <v>266760.82</v>
      </c>
      <c r="EL73" s="497">
        <f t="shared" si="393"/>
        <v>260483.89</v>
      </c>
      <c r="EM73" s="497">
        <f t="shared" si="393"/>
        <v>244867.20000000001</v>
      </c>
      <c r="EN73" s="497">
        <f t="shared" si="393"/>
        <v>290147.11</v>
      </c>
      <c r="EO73" s="497">
        <f t="shared" si="393"/>
        <v>246697.11</v>
      </c>
      <c r="EP73" s="497">
        <f t="shared" si="393"/>
        <v>292287.88</v>
      </c>
      <c r="EQ73" s="497">
        <f t="shared" si="393"/>
        <v>265172.37</v>
      </c>
      <c r="ER73" s="497">
        <f t="shared" si="393"/>
        <v>243560.69999999998</v>
      </c>
      <c r="ES73" s="497">
        <f t="shared" si="393"/>
        <v>231609.23</v>
      </c>
      <c r="ET73" s="497">
        <f t="shared" si="393"/>
        <v>263915.31</v>
      </c>
      <c r="EU73" s="497">
        <f t="shared" si="393"/>
        <v>188813.08000000002</v>
      </c>
      <c r="EV73" s="497">
        <f t="shared" si="393"/>
        <v>266076.33999999997</v>
      </c>
      <c r="EW73" s="497">
        <f t="shared" si="393"/>
        <v>280160.31</v>
      </c>
      <c r="EX73" s="497">
        <f t="shared" si="393"/>
        <v>282294.96000000002</v>
      </c>
      <c r="EY73" s="497">
        <f t="shared" si="393"/>
        <v>280766.66000000003</v>
      </c>
      <c r="EZ73" s="497">
        <f t="shared" si="393"/>
        <v>320516.53000000003</v>
      </c>
      <c r="FA73" s="497">
        <f t="shared" si="393"/>
        <v>227060.4</v>
      </c>
      <c r="FB73" s="497">
        <f t="shared" si="393"/>
        <v>314617.8</v>
      </c>
      <c r="FC73" s="497">
        <f t="shared" si="393"/>
        <v>260456.84</v>
      </c>
      <c r="FD73" s="497">
        <f t="shared" si="393"/>
        <v>254087.72</v>
      </c>
      <c r="FE73" s="497">
        <f t="shared" si="393"/>
        <v>221926.58</v>
      </c>
      <c r="FF73" s="497">
        <f t="shared" si="393"/>
        <v>235536.07</v>
      </c>
      <c r="FG73" s="497">
        <f t="shared" si="393"/>
        <v>282900.5</v>
      </c>
      <c r="FH73" s="497">
        <f t="shared" si="393"/>
        <v>276578.57</v>
      </c>
      <c r="FI73" s="497">
        <f t="shared" ref="FI73:FK73" si="394">SUM(FI71:FI72)</f>
        <v>274093.49</v>
      </c>
      <c r="FJ73" s="497">
        <f t="shared" si="394"/>
        <v>269728.7</v>
      </c>
      <c r="FK73" s="497">
        <f t="shared" si="394"/>
        <v>268021.01</v>
      </c>
      <c r="FL73" s="497">
        <f t="shared" ref="FL73:FQ73" si="395">SUM(FL71:FL72)</f>
        <v>268470.01</v>
      </c>
      <c r="FM73" s="497">
        <f t="shared" si="395"/>
        <v>313751.75</v>
      </c>
      <c r="FN73" s="497">
        <f t="shared" si="395"/>
        <v>305523.17000000004</v>
      </c>
      <c r="FO73" s="497">
        <f t="shared" si="395"/>
        <v>283496.3</v>
      </c>
      <c r="FP73" s="497">
        <f t="shared" si="395"/>
        <v>239675.44</v>
      </c>
      <c r="FQ73" s="497">
        <f t="shared" si="395"/>
        <v>286012.81</v>
      </c>
      <c r="FR73" s="497">
        <f t="shared" ref="FR73:FT73" si="396">SUM(FR71:FR72)</f>
        <v>289945.82</v>
      </c>
      <c r="FS73" s="497">
        <f t="shared" si="396"/>
        <v>255463.43</v>
      </c>
      <c r="FT73" s="497">
        <f t="shared" si="396"/>
        <v>296672.78000000003</v>
      </c>
    </row>
    <row r="74" spans="1:176" s="345" customFormat="1" hidden="1" x14ac:dyDescent="0.25">
      <c r="B74" s="443" t="s">
        <v>10</v>
      </c>
      <c r="C74" s="407">
        <f t="shared" ref="C74:Q74" si="397">SUM(C71)/C73</f>
        <v>0.99415734856257154</v>
      </c>
      <c r="D74" s="405">
        <f t="shared" si="397"/>
        <v>0.98672966807835427</v>
      </c>
      <c r="E74" s="405">
        <f t="shared" si="397"/>
        <v>0.44584427524404197</v>
      </c>
      <c r="F74" s="405">
        <f t="shared" si="397"/>
        <v>0.53253603278613226</v>
      </c>
      <c r="G74" s="405">
        <f t="shared" si="397"/>
        <v>0.76928558269689318</v>
      </c>
      <c r="H74" s="405">
        <f t="shared" si="397"/>
        <v>0.33352297919575208</v>
      </c>
      <c r="I74" s="405">
        <f t="shared" si="397"/>
        <v>-1.2831073677439192E-2</v>
      </c>
      <c r="J74" s="405">
        <f t="shared" si="397"/>
        <v>-0.55069719579546317</v>
      </c>
      <c r="K74" s="405">
        <f t="shared" si="397"/>
        <v>0.16361397015633267</v>
      </c>
      <c r="L74" s="405">
        <f t="shared" si="397"/>
        <v>4.9617143095038466E-2</v>
      </c>
      <c r="M74" s="405">
        <f t="shared" si="397"/>
        <v>1.6416679717506058E-2</v>
      </c>
      <c r="N74" s="406">
        <f t="shared" si="397"/>
        <v>0.17275678259851437</v>
      </c>
      <c r="O74" s="407">
        <f t="shared" si="397"/>
        <v>0.12908084796017061</v>
      </c>
      <c r="P74" s="405">
        <f t="shared" si="397"/>
        <v>0.17273789870702641</v>
      </c>
      <c r="Q74" s="405">
        <f t="shared" si="397"/>
        <v>8.7702880001467989E-2</v>
      </c>
      <c r="R74" s="405">
        <f>SUM(R71)/R73</f>
        <v>2.5837133863508454E-2</v>
      </c>
      <c r="S74" s="405">
        <f>SUM(S71)/S73</f>
        <v>0.36147113015195131</v>
      </c>
      <c r="T74" s="405">
        <f>SUM(T71)/T73</f>
        <v>0.24007238893634114</v>
      </c>
      <c r="U74" s="405">
        <f t="shared" ref="U74:Z74" si="398">SUM(U71)/U73</f>
        <v>0.17997241815526963</v>
      </c>
      <c r="V74" s="405">
        <f t="shared" si="398"/>
        <v>0.23776169336950889</v>
      </c>
      <c r="W74" s="405">
        <f t="shared" si="398"/>
        <v>0.14615866333976374</v>
      </c>
      <c r="X74" s="405">
        <f t="shared" si="398"/>
        <v>0.29489983451667307</v>
      </c>
      <c r="Y74" s="405">
        <f t="shared" si="398"/>
        <v>0.43453049630624552</v>
      </c>
      <c r="Z74" s="406">
        <f t="shared" si="398"/>
        <v>0.10004143229497896</v>
      </c>
      <c r="AA74" s="407">
        <f t="shared" ref="AA74:AF74" si="399">SUM(AA71)/AA73</f>
        <v>0.12314805905564892</v>
      </c>
      <c r="AB74" s="405">
        <f t="shared" si="399"/>
        <v>0.11594794358413602</v>
      </c>
      <c r="AC74" s="405">
        <f t="shared" si="399"/>
        <v>0.11943695812801337</v>
      </c>
      <c r="AD74" s="405">
        <f t="shared" si="399"/>
        <v>8.8735366306265148E-2</v>
      </c>
      <c r="AE74" s="405">
        <f t="shared" si="399"/>
        <v>0.37271493340252609</v>
      </c>
      <c r="AF74" s="405">
        <f t="shared" si="399"/>
        <v>7.8386703723730439E-2</v>
      </c>
      <c r="AG74" s="405">
        <f t="shared" ref="AG74:AL74" si="400">SUM(AG71)/AG73</f>
        <v>9.3064283447902754E-2</v>
      </c>
      <c r="AH74" s="405">
        <f t="shared" si="400"/>
        <v>9.9780155763903838E-2</v>
      </c>
      <c r="AI74" s="405">
        <f t="shared" si="400"/>
        <v>0.10334870026848399</v>
      </c>
      <c r="AJ74" s="405">
        <f t="shared" si="400"/>
        <v>9.7592413597803795E-2</v>
      </c>
      <c r="AK74" s="405">
        <f t="shared" si="400"/>
        <v>6.6557756831954015E-2</v>
      </c>
      <c r="AL74" s="406">
        <f t="shared" si="400"/>
        <v>8.7608597772809355E-2</v>
      </c>
      <c r="AM74" s="407">
        <f t="shared" ref="AM74:AR74" si="401">SUM(AM71)/AM73</f>
        <v>9.5836138525826967E-2</v>
      </c>
      <c r="AN74" s="405">
        <f t="shared" si="401"/>
        <v>2.7541436736117718E-2</v>
      </c>
      <c r="AO74" s="405">
        <f t="shared" si="401"/>
        <v>3.0944385634653883E-2</v>
      </c>
      <c r="AP74" s="405">
        <f t="shared" si="401"/>
        <v>3.6543172856056509E-2</v>
      </c>
      <c r="AQ74" s="405">
        <f t="shared" si="401"/>
        <v>2.9572498230872501E-2</v>
      </c>
      <c r="AR74" s="405">
        <f t="shared" si="401"/>
        <v>2.75005382760392E-2</v>
      </c>
      <c r="AS74" s="405">
        <f t="shared" ref="AS74:AX74" si="402">SUM(AS71)/AS73</f>
        <v>2.8546845628946688E-2</v>
      </c>
      <c r="AT74" s="405">
        <f t="shared" si="402"/>
        <v>2.5425382884994307E-2</v>
      </c>
      <c r="AU74" s="405">
        <f t="shared" si="402"/>
        <v>3.3149052611000263E-2</v>
      </c>
      <c r="AV74" s="405">
        <f t="shared" si="402"/>
        <v>2.8009538093105996E-2</v>
      </c>
      <c r="AW74" s="405">
        <f t="shared" si="402"/>
        <v>2.0982932218118706E-2</v>
      </c>
      <c r="AX74" s="406">
        <f t="shared" si="402"/>
        <v>1.9551236772425862E-2</v>
      </c>
      <c r="AY74" s="407">
        <f t="shared" ref="AY74:BJ74" si="403">SUM(AY71)/AY73</f>
        <v>1.8859306254946973E-2</v>
      </c>
      <c r="AZ74" s="405">
        <f t="shared" si="403"/>
        <v>2.3168454039273919E-2</v>
      </c>
      <c r="BA74" s="405">
        <f t="shared" si="403"/>
        <v>3.6755288647832951E-2</v>
      </c>
      <c r="BB74" s="405">
        <f t="shared" si="403"/>
        <v>6.7765713107325973E-2</v>
      </c>
      <c r="BC74" s="405">
        <f t="shared" si="403"/>
        <v>4.6625403098690052E-2</v>
      </c>
      <c r="BD74" s="405">
        <f t="shared" si="403"/>
        <v>5.399139491639262E-2</v>
      </c>
      <c r="BE74" s="405">
        <f t="shared" si="403"/>
        <v>5.7311318908144504E-2</v>
      </c>
      <c r="BF74" s="405">
        <f t="shared" si="403"/>
        <v>5.4622288395976548E-2</v>
      </c>
      <c r="BG74" s="405">
        <f t="shared" si="403"/>
        <v>4.7131552461994332E-2</v>
      </c>
      <c r="BH74" s="405">
        <f t="shared" si="403"/>
        <v>3.7768289634150208E-2</v>
      </c>
      <c r="BI74" s="405">
        <f t="shared" si="403"/>
        <v>1.55622694150998E-2</v>
      </c>
      <c r="BJ74" s="406">
        <f t="shared" si="403"/>
        <v>1.8743200875634629E-2</v>
      </c>
      <c r="BK74" s="407">
        <f t="shared" ref="BK74:BP74" si="404">SUM(BK71)/BK73</f>
        <v>6.1407463910242426E-2</v>
      </c>
      <c r="BL74" s="405">
        <f t="shared" si="404"/>
        <v>1.8757908731314832E-2</v>
      </c>
      <c r="BM74" s="405">
        <f t="shared" si="404"/>
        <v>1.9073034782448529E-2</v>
      </c>
      <c r="BN74" s="405">
        <f t="shared" si="404"/>
        <v>1.756678258134791E-2</v>
      </c>
      <c r="BO74" s="405">
        <f t="shared" si="404"/>
        <v>1.9607679386973626E-2</v>
      </c>
      <c r="BP74" s="405">
        <f t="shared" si="404"/>
        <v>1.7931018479886228E-2</v>
      </c>
      <c r="BQ74" s="405">
        <f t="shared" ref="BQ74:BV74" si="405">SUM(BQ71)/BQ73</f>
        <v>1.6423292195113383E-2</v>
      </c>
      <c r="BR74" s="405">
        <f t="shared" si="405"/>
        <v>2.1259018979067734E-2</v>
      </c>
      <c r="BS74" s="405">
        <f t="shared" si="405"/>
        <v>1.9020473535814458E-2</v>
      </c>
      <c r="BT74" s="405">
        <f t="shared" si="405"/>
        <v>1.7080769488330622E-2</v>
      </c>
      <c r="BU74" s="405">
        <f t="shared" si="405"/>
        <v>1.4790951233030626E-2</v>
      </c>
      <c r="BV74" s="406">
        <f t="shared" si="405"/>
        <v>1.2190905707413666E-2</v>
      </c>
      <c r="BW74" s="407">
        <f t="shared" ref="BW74:CB74" si="406">SUM(BW71)/BW73</f>
        <v>1.4278580295294965E-2</v>
      </c>
      <c r="BX74" s="405">
        <f t="shared" si="406"/>
        <v>8.5174038952927147E-3</v>
      </c>
      <c r="BY74" s="405">
        <f t="shared" si="406"/>
        <v>9.3513676104964878E-3</v>
      </c>
      <c r="BZ74" s="405">
        <f t="shared" si="406"/>
        <v>7.7254077957506443E-3</v>
      </c>
      <c r="CA74" s="405">
        <f t="shared" si="406"/>
        <v>1.1736456973679393E-2</v>
      </c>
      <c r="CB74" s="405">
        <f t="shared" si="406"/>
        <v>1.3366683260059324E-2</v>
      </c>
      <c r="CC74" s="405">
        <f t="shared" ref="CC74:DK74" si="407">SUM(CC71)/CC73</f>
        <v>1.375704498404281E-2</v>
      </c>
      <c r="CD74" s="405">
        <f t="shared" si="407"/>
        <v>1.33221058259056E-2</v>
      </c>
      <c r="CE74" s="405">
        <f t="shared" si="407"/>
        <v>1.1390128868405555E-2</v>
      </c>
      <c r="CF74" s="405">
        <f t="shared" si="407"/>
        <v>1.2356695857125665E-2</v>
      </c>
      <c r="CG74" s="405">
        <f t="shared" si="407"/>
        <v>9.2377900307603327E-3</v>
      </c>
      <c r="CH74" s="406">
        <f t="shared" si="407"/>
        <v>5.8735044174882418E-3</v>
      </c>
      <c r="CI74" s="407">
        <f t="shared" si="407"/>
        <v>7.6118833532851987E-3</v>
      </c>
      <c r="CJ74" s="405">
        <f t="shared" si="407"/>
        <v>1.0036291066802051E-2</v>
      </c>
      <c r="CK74" s="405">
        <f t="shared" si="407"/>
        <v>1.3936360355282286E-2</v>
      </c>
      <c r="CL74" s="405">
        <f t="shared" si="407"/>
        <v>9.0446713014697509E-3</v>
      </c>
      <c r="CM74" s="405">
        <f t="shared" si="407"/>
        <v>9.3133704826246014E-3</v>
      </c>
      <c r="CN74" s="405">
        <f t="shared" si="407"/>
        <v>7.2772196647613637E-3</v>
      </c>
      <c r="CO74" s="405">
        <f t="shared" si="407"/>
        <v>1.0616704881620861E-2</v>
      </c>
      <c r="CP74" s="405">
        <f t="shared" si="407"/>
        <v>9.6679736331767869E-3</v>
      </c>
      <c r="CQ74" s="405">
        <f t="shared" si="407"/>
        <v>8.2268465760855138E-3</v>
      </c>
      <c r="CR74" s="405">
        <f t="shared" si="407"/>
        <v>9.7554917421543586E-3</v>
      </c>
      <c r="CS74" s="405">
        <f t="shared" si="407"/>
        <v>7.4839052736131052E-3</v>
      </c>
      <c r="CT74" s="406">
        <f t="shared" si="407"/>
        <v>5.5492887769842559E-3</v>
      </c>
      <c r="CU74" s="405">
        <f t="shared" si="407"/>
        <v>6.6451472583543211E-3</v>
      </c>
      <c r="CV74" s="405">
        <f t="shared" si="407"/>
        <v>6.1666340580375945E-3</v>
      </c>
      <c r="CW74" s="405">
        <f t="shared" si="407"/>
        <v>5.441591261878622E-3</v>
      </c>
      <c r="CX74" s="405">
        <f t="shared" si="407"/>
        <v>5.8136039918392675E-3</v>
      </c>
      <c r="CY74" s="405">
        <f t="shared" si="407"/>
        <v>8.0027420234242211E-3</v>
      </c>
      <c r="CZ74" s="405">
        <f t="shared" si="407"/>
        <v>6.2569931320479825E-3</v>
      </c>
      <c r="DA74" s="405">
        <f t="shared" si="407"/>
        <v>8.4668692773981584E-3</v>
      </c>
      <c r="DB74" s="405">
        <f t="shared" si="407"/>
        <v>5.9527429405384497E-3</v>
      </c>
      <c r="DC74" s="405">
        <f t="shared" si="407"/>
        <v>6.4275104406140851E-3</v>
      </c>
      <c r="DD74" s="405">
        <f t="shared" si="407"/>
        <v>8.1253422746749033E-3</v>
      </c>
      <c r="DE74" s="405">
        <f t="shared" si="407"/>
        <v>5.7697583960109305E-3</v>
      </c>
      <c r="DF74" s="406">
        <f t="shared" si="407"/>
        <v>4.7267806217529086E-3</v>
      </c>
      <c r="DG74" s="405">
        <f t="shared" si="407"/>
        <v>5.0294540891304097E-3</v>
      </c>
      <c r="DH74" s="405">
        <f t="shared" si="407"/>
        <v>5.4572875507645441E-3</v>
      </c>
      <c r="DI74" s="405">
        <f t="shared" si="407"/>
        <v>4.2900321819493775E-3</v>
      </c>
      <c r="DJ74" s="405">
        <f t="shared" si="407"/>
        <v>9.0820746281498731E-3</v>
      </c>
      <c r="DK74" s="405">
        <f t="shared" si="407"/>
        <v>8.3932193235848832E-3</v>
      </c>
      <c r="DL74" s="405">
        <f t="shared" ref="DL74:FH74" si="408">SUM(DL71)/DL73</f>
        <v>8.6049334058784059E-3</v>
      </c>
      <c r="DM74" s="405">
        <f t="shared" si="408"/>
        <v>9.6940276998474066E-3</v>
      </c>
      <c r="DN74" s="405">
        <f t="shared" si="408"/>
        <v>7.9936321511205333E-3</v>
      </c>
      <c r="DO74" s="405">
        <f t="shared" si="408"/>
        <v>9.6873508854947357E-3</v>
      </c>
      <c r="DP74" s="405">
        <f t="shared" si="408"/>
        <v>8.8457000278072129E-3</v>
      </c>
      <c r="DQ74" s="405">
        <f t="shared" si="408"/>
        <v>8.169072762836611E-3</v>
      </c>
      <c r="DR74" s="405">
        <f t="shared" si="408"/>
        <v>6.0609941200622484E-3</v>
      </c>
      <c r="DS74" s="405">
        <f t="shared" si="408"/>
        <v>7.6226321731261704E-3</v>
      </c>
      <c r="DT74" s="405">
        <f t="shared" si="408"/>
        <v>7.8205742474369063E-3</v>
      </c>
      <c r="DU74" s="405">
        <f t="shared" si="408"/>
        <v>1.1078814420984004E-2</v>
      </c>
      <c r="DV74" s="408">
        <f t="shared" si="408"/>
        <v>1.6704837610678609E-2</v>
      </c>
      <c r="DW74" s="408">
        <f t="shared" si="408"/>
        <v>1.5642477120206943E-2</v>
      </c>
      <c r="DX74" s="408">
        <f t="shared" si="408"/>
        <v>5.0653252627970663E-4</v>
      </c>
      <c r="DY74" s="408">
        <f t="shared" si="408"/>
        <v>4.5338406680709784E-5</v>
      </c>
      <c r="DZ74" s="408">
        <f t="shared" si="408"/>
        <v>1.210110432445805E-2</v>
      </c>
      <c r="EA74" s="408">
        <f t="shared" si="408"/>
        <v>0</v>
      </c>
      <c r="EB74" s="408">
        <f t="shared" si="408"/>
        <v>0</v>
      </c>
      <c r="EC74" s="408">
        <f t="shared" si="408"/>
        <v>0</v>
      </c>
      <c r="ED74" s="491">
        <f t="shared" si="408"/>
        <v>0</v>
      </c>
      <c r="EE74" s="491">
        <f t="shared" si="408"/>
        <v>0</v>
      </c>
      <c r="EF74" s="491">
        <f t="shared" si="408"/>
        <v>0</v>
      </c>
      <c r="EG74" s="491">
        <f t="shared" si="408"/>
        <v>0</v>
      </c>
      <c r="EH74" s="491">
        <f t="shared" si="408"/>
        <v>0</v>
      </c>
      <c r="EI74" s="491">
        <f t="shared" si="408"/>
        <v>0</v>
      </c>
      <c r="EJ74" s="491">
        <f t="shared" si="408"/>
        <v>0</v>
      </c>
      <c r="EK74" s="491">
        <f t="shared" si="408"/>
        <v>0</v>
      </c>
      <c r="EL74" s="491">
        <f t="shared" si="408"/>
        <v>0</v>
      </c>
      <c r="EM74" s="491">
        <f t="shared" si="408"/>
        <v>0</v>
      </c>
      <c r="EN74" s="491">
        <f t="shared" si="408"/>
        <v>0</v>
      </c>
      <c r="EO74" s="491">
        <f t="shared" si="408"/>
        <v>0</v>
      </c>
      <c r="EP74" s="491">
        <f t="shared" si="408"/>
        <v>0</v>
      </c>
      <c r="EQ74" s="491">
        <f t="shared" si="408"/>
        <v>0</v>
      </c>
      <c r="ER74" s="491">
        <f t="shared" si="408"/>
        <v>0</v>
      </c>
      <c r="ES74" s="491">
        <f t="shared" si="408"/>
        <v>0</v>
      </c>
      <c r="ET74" s="491">
        <f t="shared" si="408"/>
        <v>0</v>
      </c>
      <c r="EU74" s="491">
        <f t="shared" si="408"/>
        <v>0</v>
      </c>
      <c r="EV74" s="491">
        <f t="shared" si="408"/>
        <v>0</v>
      </c>
      <c r="EW74" s="491">
        <f t="shared" si="408"/>
        <v>0</v>
      </c>
      <c r="EX74" s="491">
        <f t="shared" si="408"/>
        <v>0</v>
      </c>
      <c r="EY74" s="491">
        <f t="shared" si="408"/>
        <v>0</v>
      </c>
      <c r="EZ74" s="491">
        <f t="shared" si="408"/>
        <v>0</v>
      </c>
      <c r="FA74" s="491">
        <f t="shared" si="408"/>
        <v>0</v>
      </c>
      <c r="FB74" s="491">
        <f t="shared" si="408"/>
        <v>0</v>
      </c>
      <c r="FC74" s="491">
        <f t="shared" si="408"/>
        <v>0</v>
      </c>
      <c r="FD74" s="491">
        <f t="shared" si="408"/>
        <v>0</v>
      </c>
      <c r="FE74" s="491">
        <f t="shared" si="408"/>
        <v>0</v>
      </c>
      <c r="FF74" s="491">
        <f t="shared" si="408"/>
        <v>0</v>
      </c>
      <c r="FG74" s="491">
        <f t="shared" si="408"/>
        <v>0</v>
      </c>
      <c r="FH74" s="491">
        <f t="shared" si="408"/>
        <v>0</v>
      </c>
      <c r="FI74" s="491">
        <f t="shared" ref="FI74:FK74" si="409">SUM(FI71)/FI73</f>
        <v>0</v>
      </c>
      <c r="FJ74" s="491">
        <f t="shared" si="409"/>
        <v>0</v>
      </c>
      <c r="FK74" s="491">
        <f t="shared" si="409"/>
        <v>0</v>
      </c>
      <c r="FL74" s="491">
        <f t="shared" ref="FL74:FQ74" si="410">SUM(FL71)/FL73</f>
        <v>0</v>
      </c>
      <c r="FM74" s="491">
        <f t="shared" si="410"/>
        <v>0</v>
      </c>
      <c r="FN74" s="491">
        <f t="shared" si="410"/>
        <v>0</v>
      </c>
      <c r="FO74" s="491">
        <f t="shared" si="410"/>
        <v>0</v>
      </c>
      <c r="FP74" s="491">
        <f t="shared" si="410"/>
        <v>0</v>
      </c>
      <c r="FQ74" s="491">
        <f t="shared" si="410"/>
        <v>0</v>
      </c>
      <c r="FR74" s="491">
        <f t="shared" ref="FR74:FT74" si="411">SUM(FR71)/FR73</f>
        <v>0</v>
      </c>
      <c r="FS74" s="491">
        <f t="shared" si="411"/>
        <v>0</v>
      </c>
      <c r="FT74" s="491">
        <f t="shared" si="411"/>
        <v>0</v>
      </c>
    </row>
    <row r="75" spans="1:176" s="345" customFormat="1" ht="13.8" hidden="1" thickBot="1" x14ac:dyDescent="0.3">
      <c r="B75" s="417" t="s">
        <v>11</v>
      </c>
      <c r="C75" s="414">
        <f t="shared" ref="C75:Q75" si="412">SUM(C72/C73)</f>
        <v>5.8426514374283756E-3</v>
      </c>
      <c r="D75" s="412">
        <f t="shared" si="412"/>
        <v>1.3270331921645718E-2</v>
      </c>
      <c r="E75" s="412">
        <f t="shared" si="412"/>
        <v>0.55415572475595798</v>
      </c>
      <c r="F75" s="412">
        <f t="shared" si="412"/>
        <v>0.46746396721386779</v>
      </c>
      <c r="G75" s="412">
        <f t="shared" si="412"/>
        <v>0.23071441730310679</v>
      </c>
      <c r="H75" s="412">
        <f t="shared" si="412"/>
        <v>0.66647702080424787</v>
      </c>
      <c r="I75" s="412">
        <f t="shared" si="412"/>
        <v>1.0128310736774393</v>
      </c>
      <c r="J75" s="412">
        <f t="shared" si="412"/>
        <v>1.5506971957954632</v>
      </c>
      <c r="K75" s="412">
        <f t="shared" si="412"/>
        <v>0.83638602984366739</v>
      </c>
      <c r="L75" s="412">
        <f t="shared" si="412"/>
        <v>0.95038285690496149</v>
      </c>
      <c r="M75" s="412">
        <f t="shared" si="412"/>
        <v>0.98358332028249396</v>
      </c>
      <c r="N75" s="413">
        <f t="shared" si="412"/>
        <v>0.82724321740148554</v>
      </c>
      <c r="O75" s="414">
        <f t="shared" si="412"/>
        <v>0.87091915203982939</v>
      </c>
      <c r="P75" s="412">
        <f t="shared" si="412"/>
        <v>0.82726210129297362</v>
      </c>
      <c r="Q75" s="412">
        <f t="shared" si="412"/>
        <v>0.91229711999853202</v>
      </c>
      <c r="R75" s="412">
        <f>SUM(R72/R73)</f>
        <v>0.9741628661364915</v>
      </c>
      <c r="S75" s="412">
        <f>SUM(S72/S73)</f>
        <v>0.63852886984804869</v>
      </c>
      <c r="T75" s="412">
        <f>SUM(T72/T73)</f>
        <v>0.75992761106365891</v>
      </c>
      <c r="U75" s="412">
        <f t="shared" ref="U75:Z75" si="413">SUM(U72/U73)</f>
        <v>0.82002758184473035</v>
      </c>
      <c r="V75" s="412">
        <f t="shared" si="413"/>
        <v>0.76223830663049097</v>
      </c>
      <c r="W75" s="412">
        <f t="shared" si="413"/>
        <v>0.85384133666023632</v>
      </c>
      <c r="X75" s="412">
        <f t="shared" si="413"/>
        <v>0.70510016548332699</v>
      </c>
      <c r="Y75" s="412">
        <f t="shared" si="413"/>
        <v>0.56546950369375459</v>
      </c>
      <c r="Z75" s="413">
        <f t="shared" si="413"/>
        <v>0.89995856770502103</v>
      </c>
      <c r="AA75" s="414">
        <f t="shared" ref="AA75:AF75" si="414">SUM(AA72/AA73)</f>
        <v>0.87685194094435104</v>
      </c>
      <c r="AB75" s="412">
        <f t="shared" si="414"/>
        <v>0.88405205641586404</v>
      </c>
      <c r="AC75" s="412">
        <f t="shared" si="414"/>
        <v>0.88056304187198675</v>
      </c>
      <c r="AD75" s="412">
        <f t="shared" si="414"/>
        <v>0.91126463369373489</v>
      </c>
      <c r="AE75" s="412">
        <f t="shared" si="414"/>
        <v>0.62728506659747385</v>
      </c>
      <c r="AF75" s="412">
        <f t="shared" si="414"/>
        <v>0.92161329627626942</v>
      </c>
      <c r="AG75" s="412">
        <f t="shared" ref="AG75:AL75" si="415">SUM(AG72/AG73)</f>
        <v>0.90693571655209737</v>
      </c>
      <c r="AH75" s="412">
        <f t="shared" si="415"/>
        <v>0.90021984423609613</v>
      </c>
      <c r="AI75" s="412">
        <f t="shared" si="415"/>
        <v>0.89665129973151603</v>
      </c>
      <c r="AJ75" s="412">
        <f t="shared" si="415"/>
        <v>0.9024075864021962</v>
      </c>
      <c r="AK75" s="412">
        <f t="shared" si="415"/>
        <v>0.93344224316804603</v>
      </c>
      <c r="AL75" s="413">
        <f t="shared" si="415"/>
        <v>0.91239140222719073</v>
      </c>
      <c r="AM75" s="414">
        <f t="shared" ref="AM75:AR75" si="416">SUM(AM72/AM73)</f>
        <v>0.90416386147417294</v>
      </c>
      <c r="AN75" s="412">
        <f t="shared" si="416"/>
        <v>0.97245856326388225</v>
      </c>
      <c r="AO75" s="412">
        <f t="shared" si="416"/>
        <v>0.96905561436534615</v>
      </c>
      <c r="AP75" s="412">
        <f t="shared" si="416"/>
        <v>0.96345682714394343</v>
      </c>
      <c r="AQ75" s="412">
        <f t="shared" si="416"/>
        <v>0.97042750176912762</v>
      </c>
      <c r="AR75" s="412">
        <f t="shared" si="416"/>
        <v>0.97249946172396073</v>
      </c>
      <c r="AS75" s="412">
        <f t="shared" ref="AS75:BD75" si="417">SUM(AS72/AS73)</f>
        <v>0.97145315437105328</v>
      </c>
      <c r="AT75" s="412">
        <f t="shared" si="417"/>
        <v>0.97457461711500581</v>
      </c>
      <c r="AU75" s="412">
        <f t="shared" si="417"/>
        <v>0.96685094738899979</v>
      </c>
      <c r="AV75" s="412">
        <f t="shared" si="417"/>
        <v>0.97199046190689409</v>
      </c>
      <c r="AW75" s="412">
        <f t="shared" si="417"/>
        <v>0.97901706778188125</v>
      </c>
      <c r="AX75" s="413">
        <f t="shared" si="417"/>
        <v>0.98044876322757413</v>
      </c>
      <c r="AY75" s="414">
        <f t="shared" si="417"/>
        <v>0.98114069374505297</v>
      </c>
      <c r="AZ75" s="412">
        <f t="shared" si="417"/>
        <v>0.97683154596072608</v>
      </c>
      <c r="BA75" s="412">
        <f t="shared" si="417"/>
        <v>0.96324471135216694</v>
      </c>
      <c r="BB75" s="412">
        <f t="shared" si="417"/>
        <v>0.93223428689267396</v>
      </c>
      <c r="BC75" s="412">
        <f t="shared" si="417"/>
        <v>0.95337459690130988</v>
      </c>
      <c r="BD75" s="412">
        <f t="shared" si="417"/>
        <v>0.94600860508360751</v>
      </c>
      <c r="BE75" s="412">
        <f t="shared" ref="BE75:BJ75" si="418">SUM(BE72/BE73)</f>
        <v>0.94268868109185544</v>
      </c>
      <c r="BF75" s="412">
        <f t="shared" si="418"/>
        <v>0.94537771160402351</v>
      </c>
      <c r="BG75" s="412">
        <f t="shared" si="418"/>
        <v>0.9528684475380057</v>
      </c>
      <c r="BH75" s="412">
        <f t="shared" si="418"/>
        <v>0.96223171036584976</v>
      </c>
      <c r="BI75" s="412">
        <f t="shared" si="418"/>
        <v>0.98443773058490014</v>
      </c>
      <c r="BJ75" s="413">
        <f t="shared" si="418"/>
        <v>0.98125679912436548</v>
      </c>
      <c r="BK75" s="414">
        <f t="shared" ref="BK75:BP75" si="419">SUM(BK72/BK73)</f>
        <v>0.93859253608975757</v>
      </c>
      <c r="BL75" s="412">
        <f t="shared" si="419"/>
        <v>0.98124209126868511</v>
      </c>
      <c r="BM75" s="412">
        <f t="shared" si="419"/>
        <v>0.98092696521755141</v>
      </c>
      <c r="BN75" s="412">
        <f t="shared" si="419"/>
        <v>0.98243321741865197</v>
      </c>
      <c r="BO75" s="412">
        <f t="shared" si="419"/>
        <v>0.98039232061302639</v>
      </c>
      <c r="BP75" s="412">
        <f t="shared" si="419"/>
        <v>0.98206898152011368</v>
      </c>
      <c r="BQ75" s="412">
        <f t="shared" ref="BQ75:BV75" si="420">SUM(BQ72/BQ73)</f>
        <v>0.98357670780488671</v>
      </c>
      <c r="BR75" s="412">
        <f t="shared" si="420"/>
        <v>0.97874098102093221</v>
      </c>
      <c r="BS75" s="412">
        <f t="shared" si="420"/>
        <v>0.98097952646418551</v>
      </c>
      <c r="BT75" s="412">
        <f t="shared" si="420"/>
        <v>0.98291923051166941</v>
      </c>
      <c r="BU75" s="412">
        <f t="shared" si="420"/>
        <v>0.98520904876696935</v>
      </c>
      <c r="BV75" s="413">
        <f t="shared" si="420"/>
        <v>0.98780909429258623</v>
      </c>
      <c r="BW75" s="414">
        <f t="shared" ref="BW75:CB75" si="421">SUM(BW72/BW73)</f>
        <v>0.98572141970470506</v>
      </c>
      <c r="BX75" s="412">
        <f t="shared" si="421"/>
        <v>0.99148259610470724</v>
      </c>
      <c r="BY75" s="412">
        <f t="shared" si="421"/>
        <v>0.9906486323895034</v>
      </c>
      <c r="BZ75" s="412">
        <f t="shared" si="421"/>
        <v>0.99227459220424941</v>
      </c>
      <c r="CA75" s="412">
        <f t="shared" si="421"/>
        <v>0.98826354302632069</v>
      </c>
      <c r="CB75" s="412">
        <f t="shared" si="421"/>
        <v>0.9866333167399407</v>
      </c>
      <c r="CC75" s="412">
        <f t="shared" ref="CC75:DK75" si="422">SUM(CC72/CC73)</f>
        <v>0.98624295501595716</v>
      </c>
      <c r="CD75" s="412">
        <f t="shared" si="422"/>
        <v>0.98667789417409435</v>
      </c>
      <c r="CE75" s="412">
        <f t="shared" si="422"/>
        <v>0.98860987113159449</v>
      </c>
      <c r="CF75" s="412">
        <f t="shared" si="422"/>
        <v>0.98764330414287427</v>
      </c>
      <c r="CG75" s="412">
        <f t="shared" si="422"/>
        <v>0.99076220996923958</v>
      </c>
      <c r="CH75" s="413">
        <f t="shared" si="422"/>
        <v>0.99412649558251187</v>
      </c>
      <c r="CI75" s="414">
        <f t="shared" si="422"/>
        <v>0.99238811664671478</v>
      </c>
      <c r="CJ75" s="412">
        <f t="shared" si="422"/>
        <v>0.98996370893319807</v>
      </c>
      <c r="CK75" s="412">
        <f t="shared" si="422"/>
        <v>0.98606363964471766</v>
      </c>
      <c r="CL75" s="412">
        <f t="shared" si="422"/>
        <v>0.99095532869853031</v>
      </c>
      <c r="CM75" s="412">
        <f t="shared" si="422"/>
        <v>0.99068662951737541</v>
      </c>
      <c r="CN75" s="412">
        <f t="shared" si="422"/>
        <v>0.99272278033523864</v>
      </c>
      <c r="CO75" s="412">
        <f t="shared" si="422"/>
        <v>0.98938329511837908</v>
      </c>
      <c r="CP75" s="412">
        <f t="shared" si="422"/>
        <v>0.99033202636682316</v>
      </c>
      <c r="CQ75" s="412">
        <f t="shared" si="422"/>
        <v>0.99177315342391448</v>
      </c>
      <c r="CR75" s="412">
        <f t="shared" si="422"/>
        <v>0.99024450825784571</v>
      </c>
      <c r="CS75" s="412">
        <f t="shared" si="422"/>
        <v>0.99251609472638691</v>
      </c>
      <c r="CT75" s="413">
        <f t="shared" si="422"/>
        <v>0.99445071122301576</v>
      </c>
      <c r="CU75" s="483">
        <f t="shared" si="422"/>
        <v>0.99335485274164559</v>
      </c>
      <c r="CV75" s="412">
        <f t="shared" si="422"/>
        <v>0.99383336594196248</v>
      </c>
      <c r="CW75" s="412">
        <f t="shared" si="422"/>
        <v>0.9945584087381214</v>
      </c>
      <c r="CX75" s="412">
        <f t="shared" si="422"/>
        <v>0.99418639600816083</v>
      </c>
      <c r="CY75" s="412">
        <f t="shared" si="422"/>
        <v>0.99199725797657579</v>
      </c>
      <c r="CZ75" s="412">
        <f t="shared" si="422"/>
        <v>0.99374300686795203</v>
      </c>
      <c r="DA75" s="412">
        <f t="shared" si="422"/>
        <v>0.99153313072260174</v>
      </c>
      <c r="DB75" s="412">
        <f t="shared" si="422"/>
        <v>0.99404725705946151</v>
      </c>
      <c r="DC75" s="412">
        <f t="shared" si="422"/>
        <v>0.99357248955938593</v>
      </c>
      <c r="DD75" s="412">
        <f t="shared" si="422"/>
        <v>0.99187465772532502</v>
      </c>
      <c r="DE75" s="412">
        <f t="shared" si="422"/>
        <v>0.99423024160398898</v>
      </c>
      <c r="DF75" s="413">
        <f t="shared" si="422"/>
        <v>0.99527321937824709</v>
      </c>
      <c r="DG75" s="412">
        <f t="shared" si="422"/>
        <v>0.99497054591086964</v>
      </c>
      <c r="DH75" s="412">
        <f t="shared" si="422"/>
        <v>0.99454271244923553</v>
      </c>
      <c r="DI75" s="412">
        <f t="shared" si="422"/>
        <v>0.99570996781805066</v>
      </c>
      <c r="DJ75" s="412">
        <f t="shared" si="422"/>
        <v>0.99091792537185008</v>
      </c>
      <c r="DK75" s="412">
        <f t="shared" si="422"/>
        <v>0.99160678067641517</v>
      </c>
      <c r="DL75" s="412">
        <f t="shared" ref="DL75:FH75" si="423">SUM(DL72/DL73)</f>
        <v>0.99139506659412158</v>
      </c>
      <c r="DM75" s="412">
        <f t="shared" si="423"/>
        <v>0.9903059723001526</v>
      </c>
      <c r="DN75" s="412">
        <f t="shared" si="423"/>
        <v>0.99200636784887941</v>
      </c>
      <c r="DO75" s="412">
        <f t="shared" si="423"/>
        <v>0.99031264911450523</v>
      </c>
      <c r="DP75" s="412">
        <f t="shared" si="423"/>
        <v>0.99115429997219284</v>
      </c>
      <c r="DQ75" s="412">
        <f t="shared" si="423"/>
        <v>0.99183092723716337</v>
      </c>
      <c r="DR75" s="412">
        <f t="shared" si="423"/>
        <v>0.99393900587993766</v>
      </c>
      <c r="DS75" s="412">
        <f t="shared" si="423"/>
        <v>0.9923773678268738</v>
      </c>
      <c r="DT75" s="412">
        <f t="shared" si="423"/>
        <v>0.99217942575256302</v>
      </c>
      <c r="DU75" s="412">
        <f t="shared" si="423"/>
        <v>0.98892118557901609</v>
      </c>
      <c r="DV75" s="415">
        <f t="shared" si="423"/>
        <v>0.98329516238932146</v>
      </c>
      <c r="DW75" s="415">
        <f t="shared" si="423"/>
        <v>0.98435752287979306</v>
      </c>
      <c r="DX75" s="415">
        <f t="shared" si="423"/>
        <v>0.99949346747372025</v>
      </c>
      <c r="DY75" s="415">
        <f t="shared" si="423"/>
        <v>0.99995466159331936</v>
      </c>
      <c r="DZ75" s="415">
        <f t="shared" si="423"/>
        <v>0.98789889567554201</v>
      </c>
      <c r="EA75" s="415">
        <f t="shared" si="423"/>
        <v>1</v>
      </c>
      <c r="EB75" s="415">
        <f t="shared" si="423"/>
        <v>1</v>
      </c>
      <c r="EC75" s="415">
        <f t="shared" si="423"/>
        <v>1</v>
      </c>
      <c r="ED75" s="493">
        <f t="shared" si="423"/>
        <v>1</v>
      </c>
      <c r="EE75" s="493">
        <f t="shared" si="423"/>
        <v>1</v>
      </c>
      <c r="EF75" s="493">
        <f t="shared" si="423"/>
        <v>1</v>
      </c>
      <c r="EG75" s="493">
        <f t="shared" si="423"/>
        <v>1</v>
      </c>
      <c r="EH75" s="493">
        <f t="shared" si="423"/>
        <v>1</v>
      </c>
      <c r="EI75" s="493">
        <f t="shared" si="423"/>
        <v>1</v>
      </c>
      <c r="EJ75" s="493">
        <f t="shared" si="423"/>
        <v>1</v>
      </c>
      <c r="EK75" s="493">
        <f t="shared" si="423"/>
        <v>1</v>
      </c>
      <c r="EL75" s="493">
        <f t="shared" si="423"/>
        <v>1</v>
      </c>
      <c r="EM75" s="493">
        <f t="shared" si="423"/>
        <v>1</v>
      </c>
      <c r="EN75" s="493">
        <f t="shared" si="423"/>
        <v>1</v>
      </c>
      <c r="EO75" s="493">
        <f t="shared" si="423"/>
        <v>1</v>
      </c>
      <c r="EP75" s="493">
        <f t="shared" si="423"/>
        <v>1</v>
      </c>
      <c r="EQ75" s="493">
        <f t="shared" si="423"/>
        <v>1</v>
      </c>
      <c r="ER75" s="493">
        <f t="shared" si="423"/>
        <v>1</v>
      </c>
      <c r="ES75" s="493">
        <f t="shared" si="423"/>
        <v>1</v>
      </c>
      <c r="ET75" s="493">
        <f t="shared" si="423"/>
        <v>1</v>
      </c>
      <c r="EU75" s="493">
        <f t="shared" si="423"/>
        <v>1</v>
      </c>
      <c r="EV75" s="493">
        <f t="shared" si="423"/>
        <v>1</v>
      </c>
      <c r="EW75" s="493">
        <f t="shared" si="423"/>
        <v>1</v>
      </c>
      <c r="EX75" s="493">
        <f t="shared" si="423"/>
        <v>1</v>
      </c>
      <c r="EY75" s="493">
        <f t="shared" si="423"/>
        <v>1</v>
      </c>
      <c r="EZ75" s="493">
        <f t="shared" si="423"/>
        <v>1</v>
      </c>
      <c r="FA75" s="493">
        <f t="shared" si="423"/>
        <v>1</v>
      </c>
      <c r="FB75" s="493">
        <f t="shared" si="423"/>
        <v>1</v>
      </c>
      <c r="FC75" s="493">
        <f t="shared" si="423"/>
        <v>1</v>
      </c>
      <c r="FD75" s="493">
        <f t="shared" si="423"/>
        <v>1</v>
      </c>
      <c r="FE75" s="493">
        <f t="shared" si="423"/>
        <v>1</v>
      </c>
      <c r="FF75" s="493">
        <f t="shared" si="423"/>
        <v>1</v>
      </c>
      <c r="FG75" s="493">
        <f t="shared" si="423"/>
        <v>1</v>
      </c>
      <c r="FH75" s="493">
        <f t="shared" si="423"/>
        <v>1</v>
      </c>
      <c r="FI75" s="493">
        <f t="shared" ref="FI75:FK75" si="424">SUM(FI72/FI73)</f>
        <v>1</v>
      </c>
      <c r="FJ75" s="493">
        <f t="shared" si="424"/>
        <v>1</v>
      </c>
      <c r="FK75" s="493">
        <f t="shared" si="424"/>
        <v>1</v>
      </c>
      <c r="FL75" s="493">
        <f t="shared" ref="FL75:FQ75" si="425">SUM(FL72/FL73)</f>
        <v>1</v>
      </c>
      <c r="FM75" s="493">
        <f t="shared" si="425"/>
        <v>1</v>
      </c>
      <c r="FN75" s="493">
        <f t="shared" si="425"/>
        <v>1</v>
      </c>
      <c r="FO75" s="493">
        <f t="shared" si="425"/>
        <v>1</v>
      </c>
      <c r="FP75" s="493">
        <f t="shared" si="425"/>
        <v>1</v>
      </c>
      <c r="FQ75" s="493">
        <f t="shared" si="425"/>
        <v>1</v>
      </c>
      <c r="FR75" s="493">
        <f t="shared" ref="FR75:FT75" si="426">SUM(FR72/FR73)</f>
        <v>1</v>
      </c>
      <c r="FS75" s="493">
        <f t="shared" si="426"/>
        <v>1</v>
      </c>
      <c r="FT75" s="493">
        <f t="shared" si="426"/>
        <v>1</v>
      </c>
    </row>
    <row r="76" spans="1:176" s="345" customFormat="1" x14ac:dyDescent="0.25">
      <c r="B76" s="443"/>
      <c r="C76" s="386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86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86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86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86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86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8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2"/>
      <c r="CV76" s="342"/>
      <c r="CW76" s="342"/>
      <c r="CX76" s="342"/>
      <c r="CY76" s="342"/>
      <c r="CZ76" s="342"/>
      <c r="DA76" s="342"/>
      <c r="DB76" s="342"/>
      <c r="DC76" s="342"/>
      <c r="DD76" s="342"/>
      <c r="DE76" s="342"/>
      <c r="DF76" s="344"/>
      <c r="DN76" s="364"/>
      <c r="DO76" s="364"/>
      <c r="DV76" s="364"/>
      <c r="DW76" s="364"/>
      <c r="DX76" s="364"/>
      <c r="DZ76" s="364"/>
      <c r="EB76" s="364"/>
      <c r="EE76" s="364"/>
      <c r="EF76" s="364"/>
      <c r="EG76" s="364"/>
    </row>
    <row r="77" spans="1:176" s="345" customFormat="1" x14ac:dyDescent="0.25">
      <c r="B77" s="340" t="s">
        <v>55</v>
      </c>
      <c r="C77" s="386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6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6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6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6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6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8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2"/>
      <c r="CV77" s="342"/>
      <c r="CW77" s="342"/>
      <c r="CX77" s="342"/>
      <c r="CY77" s="342"/>
      <c r="CZ77" s="342"/>
      <c r="DA77" s="342"/>
      <c r="DB77" s="342"/>
      <c r="DC77" s="342"/>
      <c r="DD77" s="342"/>
      <c r="DE77" s="342"/>
      <c r="DF77" s="344"/>
      <c r="DN77" s="364"/>
      <c r="DO77" s="364"/>
      <c r="DV77" s="364"/>
      <c r="DW77" s="364"/>
      <c r="DX77" s="364"/>
      <c r="DZ77" s="364"/>
      <c r="EB77" s="364"/>
      <c r="EE77" s="364"/>
      <c r="EF77" s="364"/>
      <c r="EG77" s="364"/>
    </row>
    <row r="78" spans="1:176" s="345" customFormat="1" x14ac:dyDescent="0.25">
      <c r="B78" s="443" t="s">
        <v>1</v>
      </c>
      <c r="C78" s="386">
        <v>4253.9080000000004</v>
      </c>
      <c r="D78" s="347">
        <v>3808.663</v>
      </c>
      <c r="E78" s="347">
        <v>3585.2649999999999</v>
      </c>
      <c r="F78" s="347">
        <v>3726.6979999999999</v>
      </c>
      <c r="G78" s="347">
        <v>3651.87</v>
      </c>
      <c r="H78" s="347">
        <v>3796.335</v>
      </c>
      <c r="I78" s="347">
        <v>3684.741</v>
      </c>
      <c r="J78" s="347">
        <v>3697.88</v>
      </c>
      <c r="K78" s="347">
        <v>3676.71</v>
      </c>
      <c r="L78" s="347">
        <v>3685.68</v>
      </c>
      <c r="M78" s="347">
        <v>3698.11</v>
      </c>
      <c r="N78" s="348">
        <v>3635.5</v>
      </c>
      <c r="O78" s="386">
        <f>3685</f>
        <v>3685</v>
      </c>
      <c r="P78" s="347">
        <f>3655</f>
        <v>3655</v>
      </c>
      <c r="Q78" s="347">
        <v>3781</v>
      </c>
      <c r="R78" s="347">
        <v>3781</v>
      </c>
      <c r="S78" s="347">
        <v>3781</v>
      </c>
      <c r="T78" s="347">
        <v>3781</v>
      </c>
      <c r="U78" s="347">
        <f>3667.27</f>
        <v>3667.27</v>
      </c>
      <c r="V78" s="347">
        <v>3432.32</v>
      </c>
      <c r="W78" s="347">
        <v>3420.45</v>
      </c>
      <c r="X78" s="347">
        <f>3543.83</f>
        <v>3543.83</v>
      </c>
      <c r="Y78" s="347">
        <v>3592.74</v>
      </c>
      <c r="Z78" s="348">
        <v>3635.35</v>
      </c>
      <c r="AA78" s="386">
        <v>3553.71</v>
      </c>
      <c r="AB78" s="347">
        <v>3212.46</v>
      </c>
      <c r="AC78" s="347">
        <v>3373.96</v>
      </c>
      <c r="AD78" s="347">
        <v>3406.05</v>
      </c>
      <c r="AE78" s="347">
        <v>3396.46</v>
      </c>
      <c r="AF78" s="347">
        <v>3321.92</v>
      </c>
      <c r="AG78" s="347">
        <v>3280.79</v>
      </c>
      <c r="AH78" s="347">
        <v>3239.72</v>
      </c>
      <c r="AI78" s="347">
        <v>3224.16</v>
      </c>
      <c r="AJ78" s="347">
        <v>3311.64</v>
      </c>
      <c r="AK78" s="347">
        <v>3247.19</v>
      </c>
      <c r="AL78" s="348">
        <v>3293.36</v>
      </c>
      <c r="AM78" s="386">
        <v>3237.23</v>
      </c>
      <c r="AN78" s="347">
        <v>3126.41</v>
      </c>
      <c r="AO78" s="347">
        <v>3130.85</v>
      </c>
      <c r="AP78" s="347">
        <v>3076.77</v>
      </c>
      <c r="AQ78" s="347">
        <v>3015.2</v>
      </c>
      <c r="AR78" s="347">
        <v>2992.27</v>
      </c>
      <c r="AS78" s="347">
        <v>2958.12</v>
      </c>
      <c r="AT78" s="347">
        <v>2869.08</v>
      </c>
      <c r="AU78" s="347">
        <v>2805.92</v>
      </c>
      <c r="AV78" s="347">
        <v>2758.42</v>
      </c>
      <c r="AW78" s="347">
        <v>2402.0300000000002</v>
      </c>
      <c r="AX78" s="348">
        <v>2643.96</v>
      </c>
      <c r="AY78" s="386">
        <v>2975.94</v>
      </c>
      <c r="AZ78" s="347">
        <v>2964.27</v>
      </c>
      <c r="BA78" s="347">
        <v>3068.3</v>
      </c>
      <c r="BB78" s="347">
        <v>2848.42</v>
      </c>
      <c r="BC78" s="347">
        <v>2915.04</v>
      </c>
      <c r="BD78" s="347">
        <v>2901.85</v>
      </c>
      <c r="BE78" s="347">
        <f>2873.72</f>
        <v>2873.72</v>
      </c>
      <c r="BF78" s="347">
        <v>2820.38</v>
      </c>
      <c r="BG78" s="347">
        <v>2796.31</v>
      </c>
      <c r="BH78" s="347">
        <v>2822.58</v>
      </c>
      <c r="BI78" s="347">
        <v>2841.91</v>
      </c>
      <c r="BJ78" s="348">
        <v>2883.63</v>
      </c>
      <c r="BK78" s="386">
        <v>2664.03</v>
      </c>
      <c r="BL78" s="347">
        <v>2459.65</v>
      </c>
      <c r="BM78" s="347">
        <v>2452.38</v>
      </c>
      <c r="BN78" s="347">
        <v>2411.75</v>
      </c>
      <c r="BO78" s="347">
        <v>2501.84</v>
      </c>
      <c r="BP78" s="347">
        <v>2446.63</v>
      </c>
      <c r="BQ78" s="347">
        <v>2413.69</v>
      </c>
      <c r="BR78" s="347">
        <v>2376.4</v>
      </c>
      <c r="BS78" s="347">
        <v>2404.54</v>
      </c>
      <c r="BT78" s="347">
        <v>2349.7600000000002</v>
      </c>
      <c r="BU78" s="347">
        <v>2301.8000000000002</v>
      </c>
      <c r="BV78" s="348">
        <v>2352.11</v>
      </c>
      <c r="BW78" s="386">
        <v>2291.62</v>
      </c>
      <c r="BX78" s="347">
        <v>2252.12</v>
      </c>
      <c r="BY78" s="347">
        <v>2221.86</v>
      </c>
      <c r="BZ78" s="347">
        <v>2243.4699999999998</v>
      </c>
      <c r="CA78" s="347">
        <v>2259.62</v>
      </c>
      <c r="CB78" s="347">
        <v>2182.16</v>
      </c>
      <c r="CC78" s="347">
        <v>2191.3000000000002</v>
      </c>
      <c r="CD78" s="347">
        <v>2153.41</v>
      </c>
      <c r="CE78" s="347">
        <v>2134.5</v>
      </c>
      <c r="CF78" s="347">
        <v>1885.06</v>
      </c>
      <c r="CG78" s="347">
        <v>1755.57</v>
      </c>
      <c r="CH78" s="348">
        <v>1815.55</v>
      </c>
      <c r="CI78" s="386">
        <v>1701</v>
      </c>
      <c r="CJ78" s="347">
        <v>1682.18</v>
      </c>
      <c r="CK78" s="347">
        <v>1696.91</v>
      </c>
      <c r="CL78" s="347">
        <v>1705.05</v>
      </c>
      <c r="CM78" s="347">
        <v>1694.88</v>
      </c>
      <c r="CN78" s="347">
        <v>1668.79</v>
      </c>
      <c r="CO78" s="347">
        <v>1623.65</v>
      </c>
      <c r="CP78" s="347">
        <v>1573.56</v>
      </c>
      <c r="CQ78" s="347">
        <v>1556</v>
      </c>
      <c r="CR78" s="347">
        <v>1547.77</v>
      </c>
      <c r="CS78" s="347">
        <v>1536.53</v>
      </c>
      <c r="CT78" s="348">
        <v>1485.02</v>
      </c>
      <c r="CU78" s="479">
        <v>1471.2</v>
      </c>
      <c r="CV78" s="479">
        <v>1456.76</v>
      </c>
      <c r="CW78" s="479">
        <v>1425.61</v>
      </c>
      <c r="CX78" s="479">
        <v>1454.5</v>
      </c>
      <c r="CY78" s="479">
        <v>1428.37</v>
      </c>
      <c r="CZ78" s="479">
        <v>1393.56</v>
      </c>
      <c r="DA78" s="479">
        <v>1434.24</v>
      </c>
      <c r="DB78" s="479">
        <v>1313</v>
      </c>
      <c r="DC78" s="479">
        <v>1292.28</v>
      </c>
      <c r="DD78" s="479">
        <v>1272.93</v>
      </c>
      <c r="DE78" s="479">
        <v>1267.02</v>
      </c>
      <c r="DF78" s="480">
        <v>1251.6400000000001</v>
      </c>
      <c r="DG78" s="484">
        <v>1244.3900000000001</v>
      </c>
      <c r="DH78" s="484">
        <v>1238.68</v>
      </c>
      <c r="DI78" s="484">
        <v>1250.3900000000001</v>
      </c>
      <c r="DJ78" s="484">
        <v>1237.3399999999999</v>
      </c>
      <c r="DK78" s="484">
        <v>1234.08</v>
      </c>
      <c r="DL78" s="484">
        <v>1231.57</v>
      </c>
      <c r="DM78" s="484">
        <v>1256.4000000000001</v>
      </c>
      <c r="DN78" s="484">
        <v>1245.1600000000001</v>
      </c>
      <c r="DO78" s="484">
        <v>1240.96</v>
      </c>
      <c r="DP78" s="484">
        <v>1232.78</v>
      </c>
      <c r="DQ78" s="484">
        <v>1173.4000000000001</v>
      </c>
      <c r="DR78" s="484">
        <v>945.73</v>
      </c>
      <c r="DS78" s="484">
        <v>941.96</v>
      </c>
      <c r="DT78" s="484">
        <v>937.17</v>
      </c>
      <c r="DU78" s="484">
        <v>939.45</v>
      </c>
      <c r="DV78" s="484">
        <v>934.21</v>
      </c>
      <c r="DW78" s="484">
        <v>838.76</v>
      </c>
      <c r="DX78" s="484">
        <v>502.41</v>
      </c>
      <c r="DY78" s="484">
        <v>142.86000000000001</v>
      </c>
      <c r="DZ78" s="484">
        <v>126.59</v>
      </c>
      <c r="EA78" s="484">
        <v>128.83000000000001</v>
      </c>
      <c r="EB78" s="484">
        <v>127.89</v>
      </c>
      <c r="EC78" s="484">
        <v>124.35</v>
      </c>
      <c r="ED78" s="484">
        <v>123.26</v>
      </c>
      <c r="EE78" s="484">
        <v>122.23</v>
      </c>
      <c r="EF78" s="484">
        <v>121</v>
      </c>
      <c r="EG78" s="484">
        <v>120.07</v>
      </c>
      <c r="EH78" s="484">
        <v>115.74</v>
      </c>
      <c r="EI78" s="484">
        <v>117.8</v>
      </c>
      <c r="EJ78" s="484">
        <v>114.35</v>
      </c>
      <c r="EK78" s="484">
        <v>113.37</v>
      </c>
      <c r="EL78" s="484">
        <v>112.5</v>
      </c>
      <c r="EM78" s="484">
        <v>113.04</v>
      </c>
      <c r="EN78" s="484">
        <v>109.7</v>
      </c>
      <c r="EO78" s="484">
        <v>108.38</v>
      </c>
      <c r="EP78" s="484">
        <v>107.58</v>
      </c>
      <c r="EQ78" s="484">
        <v>106.79</v>
      </c>
      <c r="ER78" s="484">
        <v>104.24</v>
      </c>
      <c r="ES78" s="484">
        <v>106.41</v>
      </c>
      <c r="ET78" s="484">
        <v>103.69</v>
      </c>
      <c r="EU78" s="484">
        <v>103.07</v>
      </c>
      <c r="EV78" s="484">
        <v>102.6</v>
      </c>
      <c r="EW78" s="484">
        <v>100.39</v>
      </c>
      <c r="EX78" s="484">
        <v>99.59</v>
      </c>
      <c r="EY78" s="484">
        <v>98.74</v>
      </c>
      <c r="EZ78" s="513">
        <v>97.87</v>
      </c>
      <c r="FA78" s="513">
        <v>96.75</v>
      </c>
      <c r="FB78" s="513">
        <v>96.19</v>
      </c>
      <c r="FC78" s="347">
        <v>96.3</v>
      </c>
      <c r="FD78" s="347">
        <v>94.14</v>
      </c>
      <c r="FE78" s="347">
        <v>93.86</v>
      </c>
      <c r="FF78" s="345">
        <v>93</v>
      </c>
      <c r="FG78" s="345">
        <v>91</v>
      </c>
      <c r="FH78" s="345">
        <v>91</v>
      </c>
      <c r="FI78" s="513">
        <v>90.35</v>
      </c>
      <c r="FJ78" s="513">
        <v>88.98</v>
      </c>
      <c r="FK78" s="513">
        <v>88.58</v>
      </c>
      <c r="FL78" s="513">
        <v>87.56</v>
      </c>
      <c r="FM78" s="513">
        <v>86.4</v>
      </c>
      <c r="FN78" s="513">
        <v>85.71</v>
      </c>
      <c r="FO78" s="513">
        <v>85.38</v>
      </c>
      <c r="FP78" s="513">
        <v>84.02</v>
      </c>
      <c r="FQ78" s="513">
        <v>83.43</v>
      </c>
      <c r="FR78" s="513">
        <v>82.85</v>
      </c>
      <c r="FS78" s="513">
        <v>82.12</v>
      </c>
      <c r="FT78" s="513">
        <v>81.89</v>
      </c>
    </row>
    <row r="79" spans="1:176" s="345" customFormat="1" ht="13.8" thickBot="1" x14ac:dyDescent="0.3">
      <c r="B79" s="468" t="s">
        <v>8</v>
      </c>
      <c r="C79" s="395">
        <v>772.79</v>
      </c>
      <c r="D79" s="393">
        <v>726.51200000000006</v>
      </c>
      <c r="E79" s="393">
        <v>898.99799999999993</v>
      </c>
      <c r="F79" s="393">
        <v>945.2109999999999</v>
      </c>
      <c r="G79" s="393">
        <v>954.59399999999994</v>
      </c>
      <c r="H79" s="393">
        <v>978.47399999999993</v>
      </c>
      <c r="I79" s="393">
        <v>971.36899999999991</v>
      </c>
      <c r="J79" s="393">
        <v>965.92</v>
      </c>
      <c r="K79" s="393">
        <v>973.41</v>
      </c>
      <c r="L79" s="393">
        <v>985.33</v>
      </c>
      <c r="M79" s="393">
        <v>987.91</v>
      </c>
      <c r="N79" s="394">
        <v>1047.05</v>
      </c>
      <c r="O79" s="395">
        <v>1050</v>
      </c>
      <c r="P79" s="393">
        <v>1038</v>
      </c>
      <c r="Q79" s="393">
        <v>1024</v>
      </c>
      <c r="R79" s="393">
        <v>1024</v>
      </c>
      <c r="S79" s="393">
        <v>1024</v>
      </c>
      <c r="T79" s="393">
        <v>1024</v>
      </c>
      <c r="U79" s="393">
        <v>1028.3699999999999</v>
      </c>
      <c r="V79" s="393">
        <v>1018.8</v>
      </c>
      <c r="W79" s="393">
        <v>982.33</v>
      </c>
      <c r="X79" s="393">
        <v>867</v>
      </c>
      <c r="Y79" s="393">
        <v>866.86</v>
      </c>
      <c r="Z79" s="394">
        <v>869.22</v>
      </c>
      <c r="AA79" s="395">
        <v>872.3</v>
      </c>
      <c r="AB79" s="393">
        <v>1249.71</v>
      </c>
      <c r="AC79" s="393">
        <v>1067.31</v>
      </c>
      <c r="AD79" s="393">
        <v>1009.11</v>
      </c>
      <c r="AE79" s="393">
        <v>1016.37</v>
      </c>
      <c r="AF79" s="393">
        <v>1014.11</v>
      </c>
      <c r="AG79" s="393">
        <v>1011.48</v>
      </c>
      <c r="AH79" s="393">
        <v>1004.24</v>
      </c>
      <c r="AI79" s="393">
        <v>993.52</v>
      </c>
      <c r="AJ79" s="393">
        <v>948.5</v>
      </c>
      <c r="AK79" s="393">
        <v>983.72</v>
      </c>
      <c r="AL79" s="394">
        <v>999.46</v>
      </c>
      <c r="AM79" s="395">
        <v>902.5</v>
      </c>
      <c r="AN79" s="393">
        <v>1150.71</v>
      </c>
      <c r="AO79" s="393">
        <v>1059.47</v>
      </c>
      <c r="AP79" s="393">
        <v>1084.29</v>
      </c>
      <c r="AQ79" s="393">
        <v>1171.93</v>
      </c>
      <c r="AR79" s="393">
        <v>1072.19</v>
      </c>
      <c r="AS79" s="393">
        <v>1083.5899999999999</v>
      </c>
      <c r="AT79" s="393">
        <v>1249.8499999999999</v>
      </c>
      <c r="AU79" s="393">
        <v>1256.6400000000001</v>
      </c>
      <c r="AV79" s="393">
        <v>1287.8</v>
      </c>
      <c r="AW79" s="393">
        <v>1261.56</v>
      </c>
      <c r="AX79" s="394">
        <v>1277.5999999999999</v>
      </c>
      <c r="AY79" s="395">
        <v>1287.99</v>
      </c>
      <c r="AZ79" s="393">
        <v>1122.5</v>
      </c>
      <c r="BA79" s="393">
        <v>1036.3900000000001</v>
      </c>
      <c r="BB79" s="393">
        <v>1075.72</v>
      </c>
      <c r="BC79" s="393">
        <v>1063.21</v>
      </c>
      <c r="BD79" s="393">
        <v>1072.1099999999999</v>
      </c>
      <c r="BE79" s="393">
        <v>1058.01</v>
      </c>
      <c r="BF79" s="393">
        <v>1111.6600000000001</v>
      </c>
      <c r="BG79" s="393">
        <v>1131.69</v>
      </c>
      <c r="BH79" s="393">
        <v>1147.25</v>
      </c>
      <c r="BI79" s="393">
        <v>1140.77</v>
      </c>
      <c r="BJ79" s="394">
        <v>1144.19</v>
      </c>
      <c r="BK79" s="395">
        <v>1371.69</v>
      </c>
      <c r="BL79" s="393">
        <v>1504.21</v>
      </c>
      <c r="BM79" s="393">
        <v>1508.89</v>
      </c>
      <c r="BN79" s="393">
        <v>1487.36</v>
      </c>
      <c r="BO79" s="393">
        <v>1460.44</v>
      </c>
      <c r="BP79" s="393">
        <v>1434.91</v>
      </c>
      <c r="BQ79" s="393">
        <v>1441.29</v>
      </c>
      <c r="BR79" s="393">
        <v>1480.61</v>
      </c>
      <c r="BS79" s="393">
        <v>1521.52</v>
      </c>
      <c r="BT79" s="393">
        <v>1522.28</v>
      </c>
      <c r="BU79" s="393">
        <v>1542.6</v>
      </c>
      <c r="BV79" s="394">
        <v>1558.43</v>
      </c>
      <c r="BW79" s="395">
        <v>1622.53</v>
      </c>
      <c r="BX79" s="393">
        <v>1616.54</v>
      </c>
      <c r="BY79" s="393">
        <v>1557.87</v>
      </c>
      <c r="BZ79" s="393">
        <v>1598.17</v>
      </c>
      <c r="CA79" s="393">
        <v>1595.2</v>
      </c>
      <c r="CB79" s="393">
        <v>1566.39</v>
      </c>
      <c r="CC79" s="393">
        <v>1549.2</v>
      </c>
      <c r="CD79" s="393">
        <v>1584.77</v>
      </c>
      <c r="CE79" s="393">
        <v>1607.09</v>
      </c>
      <c r="CF79" s="393">
        <v>2066.85</v>
      </c>
      <c r="CG79" s="393">
        <v>2101.7600000000002</v>
      </c>
      <c r="CH79" s="394">
        <v>2124.7800000000002</v>
      </c>
      <c r="CI79" s="395">
        <v>2015.43</v>
      </c>
      <c r="CJ79" s="393">
        <v>2069.2800000000002</v>
      </c>
      <c r="CK79" s="393">
        <v>1927.87</v>
      </c>
      <c r="CL79" s="393">
        <v>1973.4</v>
      </c>
      <c r="CM79" s="393">
        <v>1942.83</v>
      </c>
      <c r="CN79" s="393">
        <v>1919.79</v>
      </c>
      <c r="CO79" s="393">
        <v>1947.17</v>
      </c>
      <c r="CP79" s="393">
        <v>1976.91</v>
      </c>
      <c r="CQ79" s="393">
        <v>2002.2</v>
      </c>
      <c r="CR79" s="393">
        <v>2031.92</v>
      </c>
      <c r="CS79" s="393">
        <v>2041.52</v>
      </c>
      <c r="CT79" s="394">
        <v>2067.9299999999998</v>
      </c>
      <c r="CU79" s="440">
        <v>2077.4299999999998</v>
      </c>
      <c r="CV79" s="393">
        <v>2073.98</v>
      </c>
      <c r="CW79" s="393">
        <v>2057.9299999999998</v>
      </c>
      <c r="CX79" s="393">
        <v>2042.19</v>
      </c>
      <c r="CY79" s="393">
        <v>2043.77</v>
      </c>
      <c r="CZ79" s="393">
        <v>2005.13</v>
      </c>
      <c r="DA79" s="393">
        <v>1982.41</v>
      </c>
      <c r="DB79" s="393">
        <v>2067.75</v>
      </c>
      <c r="DC79" s="393">
        <v>2108.34</v>
      </c>
      <c r="DD79" s="393">
        <v>2073.63</v>
      </c>
      <c r="DE79" s="393">
        <v>2094.52</v>
      </c>
      <c r="DF79" s="394">
        <v>2066.75</v>
      </c>
      <c r="DG79" s="485">
        <v>2096.65</v>
      </c>
      <c r="DH79" s="486">
        <v>2398.9499999999998</v>
      </c>
      <c r="DI79" s="486">
        <v>2117.87</v>
      </c>
      <c r="DJ79" s="486">
        <v>2032.18</v>
      </c>
      <c r="DK79" s="486">
        <v>2025.37</v>
      </c>
      <c r="DL79" s="486">
        <v>2014.15</v>
      </c>
      <c r="DM79" s="486">
        <v>1969.06</v>
      </c>
      <c r="DN79" s="486">
        <v>2010.98</v>
      </c>
      <c r="DO79" s="486">
        <v>2013.09</v>
      </c>
      <c r="DP79" s="486">
        <v>2006.54</v>
      </c>
      <c r="DQ79" s="486">
        <v>2099.35</v>
      </c>
      <c r="DR79" s="486">
        <v>2761.44</v>
      </c>
      <c r="DS79" s="486">
        <v>2363.4</v>
      </c>
      <c r="DT79" s="486">
        <v>2372.66</v>
      </c>
      <c r="DU79" s="486">
        <v>2305.5300000000002</v>
      </c>
      <c r="DV79" s="477">
        <v>3330.11</v>
      </c>
      <c r="DW79" s="477">
        <v>2410.5700000000002</v>
      </c>
      <c r="DX79" s="477">
        <v>2667.73</v>
      </c>
      <c r="DY79" s="393">
        <v>3081.38</v>
      </c>
      <c r="DZ79" s="416">
        <v>3049.17</v>
      </c>
      <c r="EA79" s="393">
        <v>3108.02</v>
      </c>
      <c r="EB79" s="393">
        <v>3103.95</v>
      </c>
      <c r="EC79" s="393">
        <v>3119.66</v>
      </c>
      <c r="ED79" s="393">
        <v>3219.56</v>
      </c>
      <c r="EE79" s="393">
        <v>3022.22</v>
      </c>
      <c r="EF79" s="393">
        <v>2978.52</v>
      </c>
      <c r="EG79" s="393">
        <v>3143.98</v>
      </c>
      <c r="EH79" s="486">
        <v>3409.97</v>
      </c>
      <c r="EI79" s="486">
        <v>2856.64</v>
      </c>
      <c r="EJ79" s="486">
        <v>3142.65</v>
      </c>
      <c r="EK79" s="486">
        <v>3022.01</v>
      </c>
      <c r="EL79" s="486">
        <v>3026.37</v>
      </c>
      <c r="EM79" s="486">
        <v>3052.62</v>
      </c>
      <c r="EN79" s="486">
        <v>3059.35</v>
      </c>
      <c r="EO79" s="486">
        <v>3055.68</v>
      </c>
      <c r="EP79" s="486">
        <v>3313.06</v>
      </c>
      <c r="EQ79" s="486">
        <v>2813.35</v>
      </c>
      <c r="ER79" s="486">
        <v>3145.84</v>
      </c>
      <c r="ES79" s="486">
        <v>3098.89</v>
      </c>
      <c r="ET79" s="486">
        <v>3076.48</v>
      </c>
      <c r="EU79" s="486">
        <v>3024.66</v>
      </c>
      <c r="EV79" s="486">
        <v>3011.03</v>
      </c>
      <c r="EW79" s="486">
        <v>3000.76</v>
      </c>
      <c r="EX79" s="486">
        <v>3007.7</v>
      </c>
      <c r="EY79" s="486">
        <v>3012.61</v>
      </c>
      <c r="EZ79" s="393">
        <v>3021.5</v>
      </c>
      <c r="FA79" s="393">
        <v>3041.56</v>
      </c>
      <c r="FB79" s="393">
        <v>3055.86</v>
      </c>
      <c r="FC79" s="393">
        <v>3080.52</v>
      </c>
      <c r="FD79" s="393">
        <v>3047.06</v>
      </c>
      <c r="FE79" s="393">
        <v>3047</v>
      </c>
      <c r="FF79" s="550">
        <v>3031</v>
      </c>
      <c r="FG79" s="550">
        <v>2991</v>
      </c>
      <c r="FH79" s="550">
        <v>2970</v>
      </c>
      <c r="FI79" s="550">
        <v>2962.68</v>
      </c>
      <c r="FJ79" s="550">
        <v>2953.57</v>
      </c>
      <c r="FK79" s="550">
        <v>2959.72</v>
      </c>
      <c r="FL79" s="393">
        <v>2965.35</v>
      </c>
      <c r="FM79" s="393">
        <v>2984.14</v>
      </c>
      <c r="FN79" s="393">
        <v>2991.32</v>
      </c>
      <c r="FO79" s="393">
        <v>2999.95</v>
      </c>
      <c r="FP79" s="393">
        <v>2962.86</v>
      </c>
      <c r="FQ79" s="393">
        <v>2994.64</v>
      </c>
      <c r="FR79" s="393">
        <v>2969.6</v>
      </c>
      <c r="FS79" s="393">
        <v>2957.33</v>
      </c>
      <c r="FT79" s="393">
        <v>2926.35</v>
      </c>
    </row>
    <row r="80" spans="1:176" s="345" customFormat="1" ht="13.8" thickTop="1" x14ac:dyDescent="0.25">
      <c r="B80" s="443" t="s">
        <v>9</v>
      </c>
      <c r="C80" s="401">
        <f t="shared" ref="C80:Q80" si="427">SUM(C78:C79)</f>
        <v>5026.6980000000003</v>
      </c>
      <c r="D80" s="398">
        <f t="shared" si="427"/>
        <v>4535.1750000000002</v>
      </c>
      <c r="E80" s="398">
        <f t="shared" si="427"/>
        <v>4484.2629999999999</v>
      </c>
      <c r="F80" s="398">
        <f t="shared" si="427"/>
        <v>4671.9089999999997</v>
      </c>
      <c r="G80" s="398">
        <f t="shared" si="427"/>
        <v>4606.4639999999999</v>
      </c>
      <c r="H80" s="398">
        <f t="shared" si="427"/>
        <v>4774.8090000000002</v>
      </c>
      <c r="I80" s="398">
        <f t="shared" si="427"/>
        <v>4656.1099999999997</v>
      </c>
      <c r="J80" s="398">
        <f t="shared" si="427"/>
        <v>4663.8</v>
      </c>
      <c r="K80" s="398">
        <f t="shared" si="427"/>
        <v>4650.12</v>
      </c>
      <c r="L80" s="398">
        <f t="shared" si="427"/>
        <v>4671.01</v>
      </c>
      <c r="M80" s="398">
        <f t="shared" si="427"/>
        <v>4686.0200000000004</v>
      </c>
      <c r="N80" s="399">
        <f t="shared" si="427"/>
        <v>4682.55</v>
      </c>
      <c r="O80" s="401">
        <f t="shared" si="427"/>
        <v>4735</v>
      </c>
      <c r="P80" s="398">
        <f t="shared" si="427"/>
        <v>4693</v>
      </c>
      <c r="Q80" s="398">
        <f t="shared" si="427"/>
        <v>4805</v>
      </c>
      <c r="R80" s="398">
        <f>SUM(R78:R79)</f>
        <v>4805</v>
      </c>
      <c r="S80" s="398">
        <f>SUM(S78:S79)</f>
        <v>4805</v>
      </c>
      <c r="T80" s="398">
        <f>SUM(T78:T79)</f>
        <v>4805</v>
      </c>
      <c r="U80" s="398">
        <f t="shared" ref="U80:Z80" si="428">SUM(U78:U79)</f>
        <v>4695.6399999999994</v>
      </c>
      <c r="V80" s="398">
        <f t="shared" si="428"/>
        <v>4451.12</v>
      </c>
      <c r="W80" s="398">
        <f t="shared" si="428"/>
        <v>4402.78</v>
      </c>
      <c r="X80" s="398">
        <f t="shared" si="428"/>
        <v>4410.83</v>
      </c>
      <c r="Y80" s="398">
        <f t="shared" si="428"/>
        <v>4459.5999999999995</v>
      </c>
      <c r="Z80" s="399">
        <f t="shared" si="428"/>
        <v>4504.57</v>
      </c>
      <c r="AA80" s="401">
        <f t="shared" ref="AA80:AF80" si="429">SUM(AA78:AA79)</f>
        <v>4426.01</v>
      </c>
      <c r="AB80" s="398">
        <f t="shared" si="429"/>
        <v>4462.17</v>
      </c>
      <c r="AC80" s="398">
        <f t="shared" si="429"/>
        <v>4441.2700000000004</v>
      </c>
      <c r="AD80" s="398">
        <f t="shared" si="429"/>
        <v>4415.16</v>
      </c>
      <c r="AE80" s="398">
        <f t="shared" si="429"/>
        <v>4412.83</v>
      </c>
      <c r="AF80" s="398">
        <f t="shared" si="429"/>
        <v>4336.03</v>
      </c>
      <c r="AG80" s="398">
        <f t="shared" ref="AG80:AL80" si="430">SUM(AG78:AG79)</f>
        <v>4292.2700000000004</v>
      </c>
      <c r="AH80" s="398">
        <f t="shared" si="430"/>
        <v>4243.96</v>
      </c>
      <c r="AI80" s="398">
        <f t="shared" si="430"/>
        <v>4217.68</v>
      </c>
      <c r="AJ80" s="398">
        <f t="shared" si="430"/>
        <v>4260.1399999999994</v>
      </c>
      <c r="AK80" s="398">
        <f t="shared" si="430"/>
        <v>4230.91</v>
      </c>
      <c r="AL80" s="399">
        <f t="shared" si="430"/>
        <v>4292.82</v>
      </c>
      <c r="AM80" s="401">
        <f t="shared" ref="AM80:AR80" si="431">SUM(AM78:AM79)</f>
        <v>4139.7299999999996</v>
      </c>
      <c r="AN80" s="398">
        <f t="shared" si="431"/>
        <v>4277.12</v>
      </c>
      <c r="AO80" s="398">
        <f t="shared" si="431"/>
        <v>4190.32</v>
      </c>
      <c r="AP80" s="398">
        <f t="shared" si="431"/>
        <v>4161.0599999999995</v>
      </c>
      <c r="AQ80" s="398">
        <f t="shared" si="431"/>
        <v>4187.13</v>
      </c>
      <c r="AR80" s="398">
        <f t="shared" si="431"/>
        <v>4064.46</v>
      </c>
      <c r="AS80" s="398">
        <f t="shared" ref="AS80:AX80" si="432">SUM(AS78:AS79)</f>
        <v>4041.71</v>
      </c>
      <c r="AT80" s="398">
        <f t="shared" si="432"/>
        <v>4118.93</v>
      </c>
      <c r="AU80" s="398">
        <f t="shared" si="432"/>
        <v>4062.5600000000004</v>
      </c>
      <c r="AV80" s="398">
        <f t="shared" si="432"/>
        <v>4046.2200000000003</v>
      </c>
      <c r="AW80" s="398">
        <f t="shared" si="432"/>
        <v>3663.59</v>
      </c>
      <c r="AX80" s="399">
        <f t="shared" si="432"/>
        <v>3921.56</v>
      </c>
      <c r="AY80" s="401">
        <f t="shared" ref="AY80:BJ80" si="433">SUM(AY78:AY79)</f>
        <v>4263.93</v>
      </c>
      <c r="AZ80" s="398">
        <f t="shared" si="433"/>
        <v>4086.77</v>
      </c>
      <c r="BA80" s="398">
        <f t="shared" si="433"/>
        <v>4104.6900000000005</v>
      </c>
      <c r="BB80" s="398">
        <f t="shared" si="433"/>
        <v>3924.1400000000003</v>
      </c>
      <c r="BC80" s="398">
        <f t="shared" si="433"/>
        <v>3978.25</v>
      </c>
      <c r="BD80" s="398">
        <f t="shared" si="433"/>
        <v>3973.96</v>
      </c>
      <c r="BE80" s="398">
        <f t="shared" si="433"/>
        <v>3931.7299999999996</v>
      </c>
      <c r="BF80" s="398">
        <f t="shared" si="433"/>
        <v>3932.04</v>
      </c>
      <c r="BG80" s="398">
        <f t="shared" si="433"/>
        <v>3928</v>
      </c>
      <c r="BH80" s="398">
        <f t="shared" si="433"/>
        <v>3969.83</v>
      </c>
      <c r="BI80" s="398">
        <f t="shared" si="433"/>
        <v>3982.68</v>
      </c>
      <c r="BJ80" s="399">
        <f t="shared" si="433"/>
        <v>4027.82</v>
      </c>
      <c r="BK80" s="401">
        <f t="shared" ref="BK80:BP80" si="434">SUM(BK78:BK79)</f>
        <v>4035.7200000000003</v>
      </c>
      <c r="BL80" s="398">
        <f t="shared" si="434"/>
        <v>3963.86</v>
      </c>
      <c r="BM80" s="398">
        <f t="shared" si="434"/>
        <v>3961.2700000000004</v>
      </c>
      <c r="BN80" s="398">
        <f t="shared" si="434"/>
        <v>3899.1099999999997</v>
      </c>
      <c r="BO80" s="398">
        <f t="shared" si="434"/>
        <v>3962.28</v>
      </c>
      <c r="BP80" s="398">
        <f t="shared" si="434"/>
        <v>3881.54</v>
      </c>
      <c r="BQ80" s="398">
        <f t="shared" ref="BQ80:BV80" si="435">SUM(BQ78:BQ79)</f>
        <v>3854.98</v>
      </c>
      <c r="BR80" s="398">
        <f t="shared" si="435"/>
        <v>3857.01</v>
      </c>
      <c r="BS80" s="398">
        <f t="shared" si="435"/>
        <v>3926.06</v>
      </c>
      <c r="BT80" s="398">
        <f t="shared" si="435"/>
        <v>3872.04</v>
      </c>
      <c r="BU80" s="398">
        <f t="shared" si="435"/>
        <v>3844.4</v>
      </c>
      <c r="BV80" s="399">
        <f t="shared" si="435"/>
        <v>3910.54</v>
      </c>
      <c r="BW80" s="401">
        <f t="shared" ref="BW80:CB80" si="436">SUM(BW78:BW79)</f>
        <v>3914.1499999999996</v>
      </c>
      <c r="BX80" s="398">
        <f t="shared" si="436"/>
        <v>3868.66</v>
      </c>
      <c r="BY80" s="398">
        <f t="shared" si="436"/>
        <v>3779.73</v>
      </c>
      <c r="BZ80" s="398">
        <f t="shared" si="436"/>
        <v>3841.64</v>
      </c>
      <c r="CA80" s="398">
        <f t="shared" si="436"/>
        <v>3854.8199999999997</v>
      </c>
      <c r="CB80" s="398">
        <f t="shared" si="436"/>
        <v>3748.55</v>
      </c>
      <c r="CC80" s="398">
        <f t="shared" ref="CC80:DK80" si="437">SUM(CC78:CC79)</f>
        <v>3740.5</v>
      </c>
      <c r="CD80" s="398">
        <f t="shared" si="437"/>
        <v>3738.18</v>
      </c>
      <c r="CE80" s="398">
        <f t="shared" si="437"/>
        <v>3741.59</v>
      </c>
      <c r="CF80" s="398">
        <f t="shared" si="437"/>
        <v>3951.91</v>
      </c>
      <c r="CG80" s="398">
        <f t="shared" si="437"/>
        <v>3857.33</v>
      </c>
      <c r="CH80" s="399">
        <f t="shared" si="437"/>
        <v>3940.33</v>
      </c>
      <c r="CI80" s="401">
        <f t="shared" si="437"/>
        <v>3716.4300000000003</v>
      </c>
      <c r="CJ80" s="398">
        <f t="shared" si="437"/>
        <v>3751.46</v>
      </c>
      <c r="CK80" s="398">
        <f t="shared" si="437"/>
        <v>3624.7799999999997</v>
      </c>
      <c r="CL80" s="398">
        <f t="shared" si="437"/>
        <v>3678.45</v>
      </c>
      <c r="CM80" s="398">
        <f t="shared" si="437"/>
        <v>3637.71</v>
      </c>
      <c r="CN80" s="398">
        <f t="shared" si="437"/>
        <v>3588.58</v>
      </c>
      <c r="CO80" s="398">
        <f t="shared" si="437"/>
        <v>3570.82</v>
      </c>
      <c r="CP80" s="398">
        <f t="shared" si="437"/>
        <v>3550.4700000000003</v>
      </c>
      <c r="CQ80" s="398">
        <f t="shared" si="437"/>
        <v>3558.2</v>
      </c>
      <c r="CR80" s="398">
        <f t="shared" si="437"/>
        <v>3579.69</v>
      </c>
      <c r="CS80" s="398">
        <f t="shared" si="437"/>
        <v>3578.05</v>
      </c>
      <c r="CT80" s="442">
        <f t="shared" si="437"/>
        <v>3552.95</v>
      </c>
      <c r="CU80" s="398">
        <f t="shared" si="437"/>
        <v>3548.63</v>
      </c>
      <c r="CV80" s="398">
        <f t="shared" si="437"/>
        <v>3530.74</v>
      </c>
      <c r="CW80" s="398">
        <f t="shared" si="437"/>
        <v>3483.54</v>
      </c>
      <c r="CX80" s="398">
        <f t="shared" si="437"/>
        <v>3496.69</v>
      </c>
      <c r="CY80" s="398">
        <f t="shared" si="437"/>
        <v>3472.14</v>
      </c>
      <c r="CZ80" s="398">
        <f t="shared" si="437"/>
        <v>3398.69</v>
      </c>
      <c r="DA80" s="398">
        <f t="shared" si="437"/>
        <v>3416.65</v>
      </c>
      <c r="DB80" s="398">
        <f t="shared" si="437"/>
        <v>3380.75</v>
      </c>
      <c r="DC80" s="398">
        <f t="shared" si="437"/>
        <v>3400.62</v>
      </c>
      <c r="DD80" s="398">
        <f t="shared" si="437"/>
        <v>3346.5600000000004</v>
      </c>
      <c r="DE80" s="398">
        <f t="shared" si="437"/>
        <v>3361.54</v>
      </c>
      <c r="DF80" s="399">
        <f t="shared" si="437"/>
        <v>3318.3900000000003</v>
      </c>
      <c r="DG80" s="398">
        <f t="shared" si="437"/>
        <v>3341.04</v>
      </c>
      <c r="DH80" s="398">
        <f t="shared" si="437"/>
        <v>3637.63</v>
      </c>
      <c r="DI80" s="398">
        <f t="shared" si="437"/>
        <v>3368.26</v>
      </c>
      <c r="DJ80" s="398">
        <f t="shared" si="437"/>
        <v>3269.52</v>
      </c>
      <c r="DK80" s="398">
        <f t="shared" si="437"/>
        <v>3259.45</v>
      </c>
      <c r="DL80" s="398">
        <f t="shared" ref="DL80:FH80" si="438">SUM(DL78:DL79)</f>
        <v>3245.7200000000003</v>
      </c>
      <c r="DM80" s="398">
        <f t="shared" si="438"/>
        <v>3225.46</v>
      </c>
      <c r="DN80" s="398">
        <f t="shared" si="438"/>
        <v>3256.1400000000003</v>
      </c>
      <c r="DO80" s="398">
        <f t="shared" si="438"/>
        <v>3254.05</v>
      </c>
      <c r="DP80" s="398">
        <f t="shared" si="438"/>
        <v>3239.3199999999997</v>
      </c>
      <c r="DQ80" s="398">
        <f t="shared" si="438"/>
        <v>3272.75</v>
      </c>
      <c r="DR80" s="398">
        <f t="shared" si="438"/>
        <v>3707.17</v>
      </c>
      <c r="DS80" s="398">
        <f t="shared" si="438"/>
        <v>3305.36</v>
      </c>
      <c r="DT80" s="398">
        <f t="shared" si="438"/>
        <v>3309.83</v>
      </c>
      <c r="DU80" s="398">
        <f t="shared" si="438"/>
        <v>3244.9800000000005</v>
      </c>
      <c r="DV80" s="464">
        <f t="shared" si="438"/>
        <v>4264.32</v>
      </c>
      <c r="DW80" s="464">
        <f t="shared" si="438"/>
        <v>3249.33</v>
      </c>
      <c r="DX80" s="464">
        <f t="shared" si="438"/>
        <v>3170.14</v>
      </c>
      <c r="DY80" s="464">
        <f t="shared" si="438"/>
        <v>3224.2400000000002</v>
      </c>
      <c r="DZ80" s="464">
        <f t="shared" si="438"/>
        <v>3175.76</v>
      </c>
      <c r="EA80" s="464">
        <f t="shared" si="438"/>
        <v>3236.85</v>
      </c>
      <c r="EB80" s="464">
        <f t="shared" si="438"/>
        <v>3231.8399999999997</v>
      </c>
      <c r="EC80" s="464">
        <f t="shared" si="438"/>
        <v>3244.0099999999998</v>
      </c>
      <c r="ED80" s="497">
        <f t="shared" si="438"/>
        <v>3342.82</v>
      </c>
      <c r="EE80" s="497">
        <f t="shared" si="438"/>
        <v>3144.45</v>
      </c>
      <c r="EF80" s="497">
        <f t="shared" si="438"/>
        <v>3099.52</v>
      </c>
      <c r="EG80" s="497">
        <f t="shared" si="438"/>
        <v>3264.05</v>
      </c>
      <c r="EH80" s="497">
        <f t="shared" si="438"/>
        <v>3525.7099999999996</v>
      </c>
      <c r="EI80" s="497">
        <f t="shared" si="438"/>
        <v>2974.44</v>
      </c>
      <c r="EJ80" s="497">
        <f t="shared" si="438"/>
        <v>3257</v>
      </c>
      <c r="EK80" s="497">
        <f t="shared" si="438"/>
        <v>3135.38</v>
      </c>
      <c r="EL80" s="497">
        <f t="shared" si="438"/>
        <v>3138.87</v>
      </c>
      <c r="EM80" s="497">
        <f t="shared" si="438"/>
        <v>3165.66</v>
      </c>
      <c r="EN80" s="497">
        <f t="shared" si="438"/>
        <v>3169.0499999999997</v>
      </c>
      <c r="EO80" s="497">
        <f t="shared" si="438"/>
        <v>3164.06</v>
      </c>
      <c r="EP80" s="497">
        <f t="shared" si="438"/>
        <v>3420.64</v>
      </c>
      <c r="EQ80" s="497">
        <f t="shared" si="438"/>
        <v>2920.14</v>
      </c>
      <c r="ER80" s="497">
        <f t="shared" si="438"/>
        <v>3250.08</v>
      </c>
      <c r="ES80" s="497">
        <f t="shared" si="438"/>
        <v>3205.2999999999997</v>
      </c>
      <c r="ET80" s="497">
        <f t="shared" si="438"/>
        <v>3180.17</v>
      </c>
      <c r="EU80" s="497">
        <f t="shared" si="438"/>
        <v>3127.73</v>
      </c>
      <c r="EV80" s="497">
        <f t="shared" si="438"/>
        <v>3113.63</v>
      </c>
      <c r="EW80" s="497">
        <f t="shared" si="438"/>
        <v>3101.15</v>
      </c>
      <c r="EX80" s="497">
        <f t="shared" si="438"/>
        <v>3107.29</v>
      </c>
      <c r="EY80" s="497">
        <f t="shared" si="438"/>
        <v>3111.35</v>
      </c>
      <c r="EZ80" s="497">
        <f t="shared" si="438"/>
        <v>3119.37</v>
      </c>
      <c r="FA80" s="497">
        <f t="shared" si="438"/>
        <v>3138.31</v>
      </c>
      <c r="FB80" s="497">
        <f t="shared" si="438"/>
        <v>3152.05</v>
      </c>
      <c r="FC80" s="497">
        <f t="shared" si="438"/>
        <v>3176.82</v>
      </c>
      <c r="FD80" s="497">
        <f t="shared" si="438"/>
        <v>3141.2</v>
      </c>
      <c r="FE80" s="497">
        <f t="shared" si="438"/>
        <v>3140.86</v>
      </c>
      <c r="FF80" s="497">
        <f t="shared" si="438"/>
        <v>3124</v>
      </c>
      <c r="FG80" s="497">
        <f t="shared" si="438"/>
        <v>3082</v>
      </c>
      <c r="FH80" s="497">
        <f t="shared" si="438"/>
        <v>3061</v>
      </c>
      <c r="FI80" s="497">
        <f t="shared" ref="FI80:FK80" si="439">SUM(FI78:FI79)</f>
        <v>3053.0299999999997</v>
      </c>
      <c r="FJ80" s="497">
        <f t="shared" si="439"/>
        <v>3042.55</v>
      </c>
      <c r="FK80" s="497">
        <f t="shared" si="439"/>
        <v>3048.2999999999997</v>
      </c>
      <c r="FL80" s="497">
        <f t="shared" ref="FL80:FM80" si="440">SUM(FL78:FL79)</f>
        <v>3052.91</v>
      </c>
      <c r="FM80" s="497">
        <f t="shared" si="440"/>
        <v>3070.54</v>
      </c>
      <c r="FN80" s="497">
        <f t="shared" ref="FN80:FQ80" si="441">SUM(FN78:FN79)</f>
        <v>3077.03</v>
      </c>
      <c r="FO80" s="497">
        <f t="shared" si="441"/>
        <v>3085.33</v>
      </c>
      <c r="FP80" s="497">
        <f t="shared" si="441"/>
        <v>3046.88</v>
      </c>
      <c r="FQ80" s="497">
        <f t="shared" si="441"/>
        <v>3078.0699999999997</v>
      </c>
      <c r="FR80" s="497">
        <f t="shared" ref="FR80:FT80" si="442">SUM(FR78:FR79)</f>
        <v>3052.45</v>
      </c>
      <c r="FS80" s="497">
        <f t="shared" si="442"/>
        <v>3039.45</v>
      </c>
      <c r="FT80" s="497">
        <f t="shared" si="442"/>
        <v>3008.24</v>
      </c>
    </row>
    <row r="81" spans="1:176" s="345" customFormat="1" x14ac:dyDescent="0.25">
      <c r="B81" s="443" t="s">
        <v>10</v>
      </c>
      <c r="C81" s="407">
        <f t="shared" ref="C81:Q81" si="443">SUM(C78)/C80</f>
        <v>0.84626289464773896</v>
      </c>
      <c r="D81" s="405">
        <f t="shared" si="443"/>
        <v>0.83980507918658043</v>
      </c>
      <c r="E81" s="405">
        <f t="shared" si="443"/>
        <v>0.79952157132621349</v>
      </c>
      <c r="F81" s="405">
        <f t="shared" si="443"/>
        <v>0.79768206101617134</v>
      </c>
      <c r="G81" s="405">
        <f t="shared" si="443"/>
        <v>0.792770767339113</v>
      </c>
      <c r="H81" s="405">
        <f t="shared" si="443"/>
        <v>0.79507578208887519</v>
      </c>
      <c r="I81" s="405">
        <f t="shared" si="443"/>
        <v>0.79137756625165645</v>
      </c>
      <c r="J81" s="405">
        <f t="shared" si="443"/>
        <v>0.7928899180925425</v>
      </c>
      <c r="K81" s="405">
        <f t="shared" si="443"/>
        <v>0.79066991819565946</v>
      </c>
      <c r="L81" s="405">
        <f t="shared" si="443"/>
        <v>0.78905418742413302</v>
      </c>
      <c r="M81" s="405">
        <f t="shared" si="443"/>
        <v>0.78917930354543941</v>
      </c>
      <c r="N81" s="406">
        <f t="shared" si="443"/>
        <v>0.77639320455734584</v>
      </c>
      <c r="O81" s="407">
        <f t="shared" si="443"/>
        <v>0.77824709609292497</v>
      </c>
      <c r="P81" s="405">
        <f t="shared" si="443"/>
        <v>0.77881951843170683</v>
      </c>
      <c r="Q81" s="405">
        <f t="shared" si="443"/>
        <v>0.78688865764828309</v>
      </c>
      <c r="R81" s="405">
        <f>SUM(R78)/R80</f>
        <v>0.78688865764828309</v>
      </c>
      <c r="S81" s="405">
        <f>SUM(S78)/S80</f>
        <v>0.78688865764828309</v>
      </c>
      <c r="T81" s="405">
        <f>SUM(T78)/T80</f>
        <v>0.78688865764828309</v>
      </c>
      <c r="U81" s="405">
        <f t="shared" ref="U81:Z81" si="444">SUM(U78)/U80</f>
        <v>0.78099470998628528</v>
      </c>
      <c r="V81" s="405">
        <f t="shared" si="444"/>
        <v>0.77111378709178824</v>
      </c>
      <c r="W81" s="405">
        <f t="shared" si="444"/>
        <v>0.77688415046856762</v>
      </c>
      <c r="X81" s="405">
        <f t="shared" si="444"/>
        <v>0.8034383551395089</v>
      </c>
      <c r="Y81" s="405">
        <f t="shared" si="444"/>
        <v>0.80561933805722497</v>
      </c>
      <c r="Z81" s="406">
        <f t="shared" si="444"/>
        <v>0.80703596569705882</v>
      </c>
      <c r="AA81" s="407">
        <f t="shared" ref="AA81:AF81" si="445">SUM(AA78)/AA80</f>
        <v>0.80291504086073007</v>
      </c>
      <c r="AB81" s="405">
        <f t="shared" si="445"/>
        <v>0.71993223028257547</v>
      </c>
      <c r="AC81" s="405">
        <f t="shared" si="445"/>
        <v>0.75968360401416701</v>
      </c>
      <c r="AD81" s="405">
        <f t="shared" si="445"/>
        <v>0.77144429646943724</v>
      </c>
      <c r="AE81" s="405">
        <f t="shared" si="445"/>
        <v>0.76967841498539491</v>
      </c>
      <c r="AF81" s="405">
        <f t="shared" si="445"/>
        <v>0.7661201606077449</v>
      </c>
      <c r="AG81" s="405">
        <f t="shared" ref="AG81:AL81" si="446">SUM(AG78)/AG80</f>
        <v>0.76434846829300107</v>
      </c>
      <c r="AH81" s="405">
        <f t="shared" si="446"/>
        <v>0.76337194507017025</v>
      </c>
      <c r="AI81" s="405">
        <f t="shared" si="446"/>
        <v>0.76443921776901036</v>
      </c>
      <c r="AJ81" s="405">
        <f t="shared" si="446"/>
        <v>0.77735473482092143</v>
      </c>
      <c r="AK81" s="405">
        <f t="shared" si="446"/>
        <v>0.76749209980831545</v>
      </c>
      <c r="AL81" s="406">
        <f t="shared" si="446"/>
        <v>0.76717868440791837</v>
      </c>
      <c r="AM81" s="407">
        <f t="shared" ref="AM81:AR81" si="447">SUM(AM78)/AM80</f>
        <v>0.78199061291436889</v>
      </c>
      <c r="AN81" s="405">
        <f t="shared" si="447"/>
        <v>0.73096148810414485</v>
      </c>
      <c r="AO81" s="405">
        <f t="shared" si="447"/>
        <v>0.74716250787529359</v>
      </c>
      <c r="AP81" s="405">
        <f t="shared" si="447"/>
        <v>0.73941976323340697</v>
      </c>
      <c r="AQ81" s="405">
        <f t="shared" si="447"/>
        <v>0.72011138894660542</v>
      </c>
      <c r="AR81" s="405">
        <f t="shared" si="447"/>
        <v>0.73620357931926994</v>
      </c>
      <c r="AS81" s="405">
        <f t="shared" ref="AS81:AX81" si="448">SUM(AS78)/AS80</f>
        <v>0.73189813222621114</v>
      </c>
      <c r="AT81" s="405">
        <f t="shared" si="448"/>
        <v>0.69655954337655646</v>
      </c>
      <c r="AU81" s="405">
        <f t="shared" si="448"/>
        <v>0.69067779922019612</v>
      </c>
      <c r="AV81" s="405">
        <f t="shared" si="448"/>
        <v>0.68172763715270057</v>
      </c>
      <c r="AW81" s="405">
        <f t="shared" si="448"/>
        <v>0.65564924022611704</v>
      </c>
      <c r="AX81" s="406">
        <f t="shared" si="448"/>
        <v>0.67421128326482316</v>
      </c>
      <c r="AY81" s="407">
        <f t="shared" ref="AY81:BJ81" si="449">SUM(AY78)/AY80</f>
        <v>0.69793359647086139</v>
      </c>
      <c r="AZ81" s="405">
        <f t="shared" si="449"/>
        <v>0.72533320935604406</v>
      </c>
      <c r="BA81" s="405">
        <f t="shared" si="449"/>
        <v>0.7475107742606627</v>
      </c>
      <c r="BB81" s="405">
        <f t="shared" si="449"/>
        <v>0.72587114628937799</v>
      </c>
      <c r="BC81" s="405">
        <f t="shared" si="449"/>
        <v>0.73274429711556588</v>
      </c>
      <c r="BD81" s="405">
        <f t="shared" si="449"/>
        <v>0.73021620751089589</v>
      </c>
      <c r="BE81" s="405">
        <f t="shared" si="449"/>
        <v>0.73090471624450304</v>
      </c>
      <c r="BF81" s="405">
        <f t="shared" si="449"/>
        <v>0.71728161463260809</v>
      </c>
      <c r="BG81" s="405">
        <f t="shared" si="449"/>
        <v>0.7118915478615071</v>
      </c>
      <c r="BH81" s="405">
        <f t="shared" si="449"/>
        <v>0.71100777615162358</v>
      </c>
      <c r="BI81" s="405">
        <f t="shared" si="449"/>
        <v>0.71356724617594181</v>
      </c>
      <c r="BJ81" s="406">
        <f t="shared" si="449"/>
        <v>0.7159282192352191</v>
      </c>
      <c r="BK81" s="407">
        <f t="shared" ref="BK81:BP81" si="450">SUM(BK78)/BK80</f>
        <v>0.66011269364574354</v>
      </c>
      <c r="BL81" s="405">
        <f t="shared" si="450"/>
        <v>0.62051888815447565</v>
      </c>
      <c r="BM81" s="405">
        <f t="shared" si="450"/>
        <v>0.61908933246155895</v>
      </c>
      <c r="BN81" s="405">
        <f t="shared" si="450"/>
        <v>0.61853858957556984</v>
      </c>
      <c r="BO81" s="405">
        <f t="shared" si="450"/>
        <v>0.6314142362478169</v>
      </c>
      <c r="BP81" s="405">
        <f t="shared" si="450"/>
        <v>0.63032456190068897</v>
      </c>
      <c r="BQ81" s="405">
        <f t="shared" ref="BQ81:BV81" si="451">SUM(BQ78)/BQ80</f>
        <v>0.62612257391737447</v>
      </c>
      <c r="BR81" s="405">
        <f t="shared" si="451"/>
        <v>0.61612492578448075</v>
      </c>
      <c r="BS81" s="405">
        <f t="shared" si="451"/>
        <v>0.61245625385246283</v>
      </c>
      <c r="BT81" s="405">
        <f t="shared" si="451"/>
        <v>0.60685323498724197</v>
      </c>
      <c r="BU81" s="405">
        <f t="shared" si="451"/>
        <v>0.59874102590781397</v>
      </c>
      <c r="BV81" s="406">
        <f t="shared" si="451"/>
        <v>0.60147959105392101</v>
      </c>
      <c r="BW81" s="407">
        <f t="shared" ref="BW81:CB81" si="452">SUM(BW78)/BW80</f>
        <v>0.58547066412886584</v>
      </c>
      <c r="BX81" s="405">
        <f t="shared" si="452"/>
        <v>0.58214472194506628</v>
      </c>
      <c r="BY81" s="405">
        <f t="shared" si="452"/>
        <v>0.58783563905358327</v>
      </c>
      <c r="BZ81" s="405">
        <f t="shared" si="452"/>
        <v>0.58398756780958128</v>
      </c>
      <c r="CA81" s="405">
        <f t="shared" si="452"/>
        <v>0.58618041828152812</v>
      </c>
      <c r="CB81" s="405">
        <f t="shared" si="452"/>
        <v>0.58213442531112025</v>
      </c>
      <c r="CC81" s="405">
        <f t="shared" ref="CC81:DK81" si="453">SUM(CC78)/CC80</f>
        <v>0.58583077128726113</v>
      </c>
      <c r="CD81" s="405">
        <f t="shared" si="453"/>
        <v>0.57605840275214137</v>
      </c>
      <c r="CE81" s="405">
        <f t="shared" si="453"/>
        <v>0.57047939512346357</v>
      </c>
      <c r="CF81" s="405">
        <f t="shared" si="453"/>
        <v>0.47699972924484618</v>
      </c>
      <c r="CG81" s="405">
        <f t="shared" si="453"/>
        <v>0.4551256957532801</v>
      </c>
      <c r="CH81" s="406">
        <f t="shared" si="453"/>
        <v>0.46076090073674031</v>
      </c>
      <c r="CI81" s="407">
        <f t="shared" si="453"/>
        <v>0.45769730628587108</v>
      </c>
      <c r="CJ81" s="405">
        <f t="shared" si="453"/>
        <v>0.44840675363725058</v>
      </c>
      <c r="CK81" s="405">
        <f t="shared" si="453"/>
        <v>0.46814151479538074</v>
      </c>
      <c r="CL81" s="405">
        <f t="shared" si="453"/>
        <v>0.46352403865758679</v>
      </c>
      <c r="CM81" s="405">
        <f t="shared" si="453"/>
        <v>0.46591949330760291</v>
      </c>
      <c r="CN81" s="405">
        <f t="shared" si="453"/>
        <v>0.4650279497740053</v>
      </c>
      <c r="CO81" s="405">
        <f t="shared" si="453"/>
        <v>0.45469948079152689</v>
      </c>
      <c r="CP81" s="405">
        <f t="shared" si="453"/>
        <v>0.44319766115472031</v>
      </c>
      <c r="CQ81" s="405">
        <f t="shared" si="453"/>
        <v>0.43729975830476087</v>
      </c>
      <c r="CR81" s="405">
        <f t="shared" si="453"/>
        <v>0.43237542915727339</v>
      </c>
      <c r="CS81" s="405">
        <f t="shared" si="453"/>
        <v>0.42943223264068414</v>
      </c>
      <c r="CT81" s="406">
        <f t="shared" si="453"/>
        <v>0.41796816729759778</v>
      </c>
      <c r="CU81" s="405">
        <f t="shared" si="453"/>
        <v>0.41458252903233078</v>
      </c>
      <c r="CV81" s="405">
        <f t="shared" si="453"/>
        <v>0.41259339401938405</v>
      </c>
      <c r="CW81" s="405">
        <f t="shared" si="453"/>
        <v>0.40924174833646232</v>
      </c>
      <c r="CX81" s="405">
        <f t="shared" si="453"/>
        <v>0.41596481243690459</v>
      </c>
      <c r="CY81" s="405">
        <f t="shared" si="453"/>
        <v>0.41138030148553917</v>
      </c>
      <c r="CZ81" s="405">
        <f t="shared" si="453"/>
        <v>0.41002856983131736</v>
      </c>
      <c r="DA81" s="405">
        <f t="shared" si="453"/>
        <v>0.41977960868101794</v>
      </c>
      <c r="DB81" s="405">
        <f t="shared" si="453"/>
        <v>0.38837536049693117</v>
      </c>
      <c r="DC81" s="405">
        <f t="shared" si="453"/>
        <v>0.38001305644264871</v>
      </c>
      <c r="DD81" s="405">
        <f t="shared" si="453"/>
        <v>0.38036969305794605</v>
      </c>
      <c r="DE81" s="405">
        <f t="shared" si="453"/>
        <v>0.37691653230364652</v>
      </c>
      <c r="DF81" s="406">
        <f t="shared" si="453"/>
        <v>0.37718291098996803</v>
      </c>
      <c r="DG81" s="405">
        <f t="shared" si="453"/>
        <v>0.37245588200081414</v>
      </c>
      <c r="DH81" s="405">
        <f t="shared" si="453"/>
        <v>0.34051841446216358</v>
      </c>
      <c r="DI81" s="405">
        <f t="shared" si="453"/>
        <v>0.3712272805543515</v>
      </c>
      <c r="DJ81" s="405">
        <f t="shared" si="453"/>
        <v>0.37844698916048836</v>
      </c>
      <c r="DK81" s="405">
        <f t="shared" si="453"/>
        <v>0.37861602417585788</v>
      </c>
      <c r="DL81" s="405">
        <f t="shared" ref="DL81:FH81" si="454">SUM(DL78)/DL80</f>
        <v>0.37944431435860143</v>
      </c>
      <c r="DM81" s="405">
        <f t="shared" si="454"/>
        <v>0.38952583507468702</v>
      </c>
      <c r="DN81" s="405">
        <f t="shared" si="454"/>
        <v>0.38240370500039922</v>
      </c>
      <c r="DO81" s="405">
        <f t="shared" si="454"/>
        <v>0.38135861464943682</v>
      </c>
      <c r="DP81" s="405">
        <f t="shared" si="454"/>
        <v>0.3805675265179112</v>
      </c>
      <c r="DQ81" s="405">
        <f t="shared" si="454"/>
        <v>0.35853639905278439</v>
      </c>
      <c r="DR81" s="405">
        <f t="shared" si="454"/>
        <v>0.25510834410075611</v>
      </c>
      <c r="DS81" s="405">
        <f t="shared" si="454"/>
        <v>0.2849795483699204</v>
      </c>
      <c r="DT81" s="405">
        <f t="shared" si="454"/>
        <v>0.28314747283093089</v>
      </c>
      <c r="DU81" s="405">
        <f t="shared" si="454"/>
        <v>0.28950871808146733</v>
      </c>
      <c r="DV81" s="408">
        <f t="shared" si="454"/>
        <v>0.21907596052829059</v>
      </c>
      <c r="DW81" s="408">
        <f t="shared" si="454"/>
        <v>0.25813321515512427</v>
      </c>
      <c r="DX81" s="408">
        <f t="shared" si="454"/>
        <v>0.15848195978726493</v>
      </c>
      <c r="DY81" s="408">
        <f t="shared" si="454"/>
        <v>4.4308116021139869E-2</v>
      </c>
      <c r="DZ81" s="408">
        <f t="shared" si="454"/>
        <v>3.9861324533340049E-2</v>
      </c>
      <c r="EA81" s="408">
        <f t="shared" si="454"/>
        <v>3.9801041135672031E-2</v>
      </c>
      <c r="EB81" s="408">
        <f t="shared" si="454"/>
        <v>3.9571884746769648E-2</v>
      </c>
      <c r="EC81" s="408">
        <f t="shared" si="454"/>
        <v>3.8332187631974012E-2</v>
      </c>
      <c r="ED81" s="491">
        <f t="shared" si="454"/>
        <v>3.6873059273308167E-2</v>
      </c>
      <c r="EE81" s="491">
        <f t="shared" si="454"/>
        <v>3.8871662770913834E-2</v>
      </c>
      <c r="EF81" s="491">
        <f t="shared" si="454"/>
        <v>3.9038302704934955E-2</v>
      </c>
      <c r="EG81" s="491">
        <f t="shared" si="454"/>
        <v>3.6785588456059184E-2</v>
      </c>
      <c r="EH81" s="491">
        <f t="shared" si="454"/>
        <v>3.2827430503359609E-2</v>
      </c>
      <c r="EI81" s="491">
        <f t="shared" si="454"/>
        <v>3.9604093543658639E-2</v>
      </c>
      <c r="EJ81" s="491">
        <f t="shared" si="454"/>
        <v>3.510899600859687E-2</v>
      </c>
      <c r="EK81" s="491">
        <f t="shared" si="454"/>
        <v>3.6158296602006777E-2</v>
      </c>
      <c r="EL81" s="491">
        <f t="shared" si="454"/>
        <v>3.5840923644496266E-2</v>
      </c>
      <c r="EM81" s="491">
        <f t="shared" si="454"/>
        <v>3.5708193552055498E-2</v>
      </c>
      <c r="EN81" s="491">
        <f t="shared" si="454"/>
        <v>3.4616052129186982E-2</v>
      </c>
      <c r="EO81" s="491">
        <f t="shared" si="454"/>
        <v>3.4253459163226994E-2</v>
      </c>
      <c r="EP81" s="491">
        <f t="shared" si="454"/>
        <v>3.1450254923055337E-2</v>
      </c>
      <c r="EQ81" s="491">
        <f t="shared" si="454"/>
        <v>3.6570164444170487E-2</v>
      </c>
      <c r="ER81" s="491">
        <f t="shared" si="454"/>
        <v>3.2073056663220599E-2</v>
      </c>
      <c r="ES81" s="491">
        <f t="shared" si="454"/>
        <v>3.3198140579664935E-2</v>
      </c>
      <c r="ET81" s="491">
        <f t="shared" si="454"/>
        <v>3.2605175195036744E-2</v>
      </c>
      <c r="EU81" s="491">
        <f t="shared" si="454"/>
        <v>3.2953611724797216E-2</v>
      </c>
      <c r="EV81" s="491">
        <f t="shared" si="454"/>
        <v>3.2951892164451137E-2</v>
      </c>
      <c r="EW81" s="491">
        <f t="shared" si="454"/>
        <v>3.2371862051174566E-2</v>
      </c>
      <c r="EX81" s="491">
        <f t="shared" si="454"/>
        <v>3.2050436232215214E-2</v>
      </c>
      <c r="EY81" s="491">
        <f t="shared" si="454"/>
        <v>3.1735420315940024E-2</v>
      </c>
      <c r="EZ81" s="491">
        <f t="shared" si="454"/>
        <v>3.1374925064997103E-2</v>
      </c>
      <c r="FA81" s="491">
        <f t="shared" si="454"/>
        <v>3.0828694424706291E-2</v>
      </c>
      <c r="FB81" s="491">
        <f t="shared" si="454"/>
        <v>3.0516647895813834E-2</v>
      </c>
      <c r="FC81" s="491">
        <f t="shared" si="454"/>
        <v>3.0313332200124651E-2</v>
      </c>
      <c r="FD81" s="491">
        <f t="shared" si="454"/>
        <v>2.9969438431172803E-2</v>
      </c>
      <c r="FE81" s="491">
        <f t="shared" si="454"/>
        <v>2.9883535082748037E-2</v>
      </c>
      <c r="FF81" s="491">
        <f t="shared" si="454"/>
        <v>2.9769526248399489E-2</v>
      </c>
      <c r="FG81" s="491">
        <f t="shared" si="454"/>
        <v>2.9526281635301754E-2</v>
      </c>
      <c r="FH81" s="491">
        <f t="shared" si="454"/>
        <v>2.9728846782097355E-2</v>
      </c>
      <c r="FI81" s="491">
        <f t="shared" ref="FI81:FK81" si="455">SUM(FI78)/FI80</f>
        <v>2.9593551324421968E-2</v>
      </c>
      <c r="FJ81" s="491">
        <f t="shared" si="455"/>
        <v>2.9245205501963814E-2</v>
      </c>
      <c r="FK81" s="491">
        <f t="shared" si="455"/>
        <v>2.9058819669979991E-2</v>
      </c>
      <c r="FL81" s="491">
        <f t="shared" ref="FL81:FM81" si="456">SUM(FL78)/FL80</f>
        <v>2.8680832386149609E-2</v>
      </c>
      <c r="FM81" s="491">
        <f t="shared" si="456"/>
        <v>2.8138373054902396E-2</v>
      </c>
      <c r="FN81" s="491">
        <f t="shared" ref="FN81:FQ81" si="457">SUM(FN78)/FN80</f>
        <v>2.7854782046323887E-2</v>
      </c>
      <c r="FO81" s="491">
        <f t="shared" si="457"/>
        <v>2.7672890744263982E-2</v>
      </c>
      <c r="FP81" s="491">
        <f t="shared" si="457"/>
        <v>2.7575749619282674E-2</v>
      </c>
      <c r="FQ81" s="491">
        <f t="shared" si="457"/>
        <v>2.7104646742926577E-2</v>
      </c>
      <c r="FR81" s="491">
        <f t="shared" ref="FR81:FT81" si="458">SUM(FR78)/FR80</f>
        <v>2.7142131730249472E-2</v>
      </c>
      <c r="FS81" s="491">
        <f t="shared" si="458"/>
        <v>2.7018046028064291E-2</v>
      </c>
      <c r="FT81" s="491">
        <f t="shared" si="458"/>
        <v>2.7221897189054066E-2</v>
      </c>
    </row>
    <row r="82" spans="1:176" s="345" customFormat="1" ht="13.8" thickBot="1" x14ac:dyDescent="0.3">
      <c r="B82" s="417" t="s">
        <v>11</v>
      </c>
      <c r="C82" s="414">
        <f t="shared" ref="C82:Q82" si="459">SUM(C79/C80)</f>
        <v>0.15373710535226104</v>
      </c>
      <c r="D82" s="412">
        <f t="shared" si="459"/>
        <v>0.16019492081341954</v>
      </c>
      <c r="E82" s="412">
        <f t="shared" si="459"/>
        <v>0.20047842867378651</v>
      </c>
      <c r="F82" s="412">
        <f t="shared" si="459"/>
        <v>0.20231793898382866</v>
      </c>
      <c r="G82" s="412">
        <f t="shared" si="459"/>
        <v>0.20722923266088694</v>
      </c>
      <c r="H82" s="412">
        <f t="shared" si="459"/>
        <v>0.20492421791112481</v>
      </c>
      <c r="I82" s="412">
        <f t="shared" si="459"/>
        <v>0.20862243374834358</v>
      </c>
      <c r="J82" s="412">
        <f t="shared" si="459"/>
        <v>0.20711008190745742</v>
      </c>
      <c r="K82" s="412">
        <f t="shared" si="459"/>
        <v>0.20933008180434054</v>
      </c>
      <c r="L82" s="412">
        <f t="shared" si="459"/>
        <v>0.21094581257586689</v>
      </c>
      <c r="M82" s="412">
        <f t="shared" si="459"/>
        <v>0.21082069645456056</v>
      </c>
      <c r="N82" s="413">
        <f t="shared" si="459"/>
        <v>0.22360679544265408</v>
      </c>
      <c r="O82" s="414">
        <f t="shared" si="459"/>
        <v>0.22175290390707497</v>
      </c>
      <c r="P82" s="412">
        <f t="shared" si="459"/>
        <v>0.2211804815682932</v>
      </c>
      <c r="Q82" s="412">
        <f t="shared" si="459"/>
        <v>0.21311134235171697</v>
      </c>
      <c r="R82" s="412">
        <f>SUM(R79/R80)</f>
        <v>0.21311134235171697</v>
      </c>
      <c r="S82" s="412">
        <f>SUM(S79/S80)</f>
        <v>0.21311134235171697</v>
      </c>
      <c r="T82" s="412">
        <f>SUM(T79/T80)</f>
        <v>0.21311134235171697</v>
      </c>
      <c r="U82" s="412">
        <f t="shared" ref="U82:Z82" si="460">SUM(U79/U80)</f>
        <v>0.21900529001371485</v>
      </c>
      <c r="V82" s="412">
        <f t="shared" si="460"/>
        <v>0.22888621290821187</v>
      </c>
      <c r="W82" s="412">
        <f t="shared" si="460"/>
        <v>0.22311584953143243</v>
      </c>
      <c r="X82" s="412">
        <f t="shared" si="460"/>
        <v>0.1965616448604911</v>
      </c>
      <c r="Y82" s="412">
        <f t="shared" si="460"/>
        <v>0.19438066194277517</v>
      </c>
      <c r="Z82" s="413">
        <f t="shared" si="460"/>
        <v>0.19296403430294126</v>
      </c>
      <c r="AA82" s="414">
        <f t="shared" ref="AA82:AF82" si="461">SUM(AA79/AA80)</f>
        <v>0.19708495913926988</v>
      </c>
      <c r="AB82" s="412">
        <f t="shared" si="461"/>
        <v>0.28006776971742448</v>
      </c>
      <c r="AC82" s="412">
        <f t="shared" si="461"/>
        <v>0.24031639598583285</v>
      </c>
      <c r="AD82" s="412">
        <f t="shared" si="461"/>
        <v>0.2285557035305629</v>
      </c>
      <c r="AE82" s="412">
        <f t="shared" si="461"/>
        <v>0.23032158501460515</v>
      </c>
      <c r="AF82" s="412">
        <f t="shared" si="461"/>
        <v>0.23387983939225515</v>
      </c>
      <c r="AG82" s="412">
        <f t="shared" ref="AG82:AL82" si="462">SUM(AG79/AG80)</f>
        <v>0.23565153170699885</v>
      </c>
      <c r="AH82" s="412">
        <f t="shared" si="462"/>
        <v>0.23662805492982969</v>
      </c>
      <c r="AI82" s="412">
        <f t="shared" si="462"/>
        <v>0.23556078223098953</v>
      </c>
      <c r="AJ82" s="412">
        <f t="shared" si="462"/>
        <v>0.22264526517907865</v>
      </c>
      <c r="AK82" s="412">
        <f t="shared" si="462"/>
        <v>0.23250790019168455</v>
      </c>
      <c r="AL82" s="413">
        <f t="shared" si="462"/>
        <v>0.23282131559208169</v>
      </c>
      <c r="AM82" s="414">
        <f t="shared" ref="AM82:AR82" si="463">SUM(AM79/AM80)</f>
        <v>0.21800938708563122</v>
      </c>
      <c r="AN82" s="412">
        <f t="shared" si="463"/>
        <v>0.26903851189585515</v>
      </c>
      <c r="AO82" s="412">
        <f t="shared" si="463"/>
        <v>0.25283749212470646</v>
      </c>
      <c r="AP82" s="412">
        <f t="shared" si="463"/>
        <v>0.26058023676659314</v>
      </c>
      <c r="AQ82" s="412">
        <f t="shared" si="463"/>
        <v>0.27988861105339458</v>
      </c>
      <c r="AR82" s="412">
        <f t="shared" si="463"/>
        <v>0.26379642068073006</v>
      </c>
      <c r="AS82" s="412">
        <f t="shared" ref="AS82:BD82" si="464">SUM(AS79/AS80)</f>
        <v>0.2681018677737888</v>
      </c>
      <c r="AT82" s="412">
        <f t="shared" si="464"/>
        <v>0.30344045662344343</v>
      </c>
      <c r="AU82" s="412">
        <f t="shared" si="464"/>
        <v>0.30932220077980388</v>
      </c>
      <c r="AV82" s="412">
        <f t="shared" si="464"/>
        <v>0.31827236284729943</v>
      </c>
      <c r="AW82" s="412">
        <f t="shared" si="464"/>
        <v>0.34435075977388296</v>
      </c>
      <c r="AX82" s="413">
        <f t="shared" si="464"/>
        <v>0.32578871673517679</v>
      </c>
      <c r="AY82" s="414">
        <f t="shared" si="464"/>
        <v>0.30206640352913861</v>
      </c>
      <c r="AZ82" s="412">
        <f t="shared" si="464"/>
        <v>0.27466679064395599</v>
      </c>
      <c r="BA82" s="412">
        <f t="shared" si="464"/>
        <v>0.25248922573933719</v>
      </c>
      <c r="BB82" s="412">
        <f t="shared" si="464"/>
        <v>0.27412885371062196</v>
      </c>
      <c r="BC82" s="412">
        <f t="shared" si="464"/>
        <v>0.26725570288443412</v>
      </c>
      <c r="BD82" s="412">
        <f t="shared" si="464"/>
        <v>0.26978379248910406</v>
      </c>
      <c r="BE82" s="412">
        <f t="shared" ref="BE82:BJ82" si="465">SUM(BE79/BE80)</f>
        <v>0.26909528375549696</v>
      </c>
      <c r="BF82" s="412">
        <f t="shared" si="465"/>
        <v>0.28271838536739202</v>
      </c>
      <c r="BG82" s="412">
        <f t="shared" si="465"/>
        <v>0.2881084521384929</v>
      </c>
      <c r="BH82" s="412">
        <f t="shared" si="465"/>
        <v>0.28899222384837636</v>
      </c>
      <c r="BI82" s="412">
        <f t="shared" si="465"/>
        <v>0.28643275382405819</v>
      </c>
      <c r="BJ82" s="413">
        <f t="shared" si="465"/>
        <v>0.28407178076478096</v>
      </c>
      <c r="BK82" s="414">
        <f t="shared" ref="BK82:BP82" si="466">SUM(BK79/BK80)</f>
        <v>0.33988730635425646</v>
      </c>
      <c r="BL82" s="412">
        <f t="shared" si="466"/>
        <v>0.3794811118455243</v>
      </c>
      <c r="BM82" s="412">
        <f t="shared" si="466"/>
        <v>0.38091066753844094</v>
      </c>
      <c r="BN82" s="412">
        <f t="shared" si="466"/>
        <v>0.38146141042443021</v>
      </c>
      <c r="BO82" s="412">
        <f t="shared" si="466"/>
        <v>0.3685857637521831</v>
      </c>
      <c r="BP82" s="412">
        <f t="shared" si="466"/>
        <v>0.36967543809931114</v>
      </c>
      <c r="BQ82" s="412">
        <f t="shared" ref="BQ82:BV82" si="467">SUM(BQ79/BQ80)</f>
        <v>0.37387742608262559</v>
      </c>
      <c r="BR82" s="412">
        <f t="shared" si="467"/>
        <v>0.38387507421551925</v>
      </c>
      <c r="BS82" s="412">
        <f t="shared" si="467"/>
        <v>0.38754374614753723</v>
      </c>
      <c r="BT82" s="412">
        <f t="shared" si="467"/>
        <v>0.39314676501275814</v>
      </c>
      <c r="BU82" s="412">
        <f t="shared" si="467"/>
        <v>0.40125897409218603</v>
      </c>
      <c r="BV82" s="413">
        <f t="shared" si="467"/>
        <v>0.3985204089460791</v>
      </c>
      <c r="BW82" s="414">
        <f t="shared" ref="BW82:CB82" si="468">SUM(BW79/BW80)</f>
        <v>0.41452933587113427</v>
      </c>
      <c r="BX82" s="412">
        <f t="shared" si="468"/>
        <v>0.41785527805493378</v>
      </c>
      <c r="BY82" s="412">
        <f t="shared" si="468"/>
        <v>0.41216436094641679</v>
      </c>
      <c r="BZ82" s="412">
        <f t="shared" si="468"/>
        <v>0.41601243219041872</v>
      </c>
      <c r="CA82" s="412">
        <f t="shared" si="468"/>
        <v>0.413819581718472</v>
      </c>
      <c r="CB82" s="412">
        <f t="shared" si="468"/>
        <v>0.41786557468887969</v>
      </c>
      <c r="CC82" s="412">
        <f t="shared" ref="CC82:DK82" si="469">SUM(CC79/CC80)</f>
        <v>0.41416922871273892</v>
      </c>
      <c r="CD82" s="412">
        <f t="shared" si="469"/>
        <v>0.42394159724785857</v>
      </c>
      <c r="CE82" s="412">
        <f t="shared" si="469"/>
        <v>0.42952060487653643</v>
      </c>
      <c r="CF82" s="412">
        <f t="shared" si="469"/>
        <v>0.52300027075515387</v>
      </c>
      <c r="CG82" s="412">
        <f t="shared" si="469"/>
        <v>0.5448743042467199</v>
      </c>
      <c r="CH82" s="413">
        <f t="shared" si="469"/>
        <v>0.53923909926325975</v>
      </c>
      <c r="CI82" s="414">
        <f t="shared" si="469"/>
        <v>0.54230269371412887</v>
      </c>
      <c r="CJ82" s="412">
        <f t="shared" si="469"/>
        <v>0.55159324636274953</v>
      </c>
      <c r="CK82" s="412">
        <f t="shared" si="469"/>
        <v>0.53185848520461931</v>
      </c>
      <c r="CL82" s="412">
        <f t="shared" si="469"/>
        <v>0.53647596134241327</v>
      </c>
      <c r="CM82" s="412">
        <f t="shared" si="469"/>
        <v>0.53408050669239715</v>
      </c>
      <c r="CN82" s="412">
        <f t="shared" si="469"/>
        <v>0.5349720502259947</v>
      </c>
      <c r="CO82" s="412">
        <f t="shared" si="469"/>
        <v>0.54530051920847311</v>
      </c>
      <c r="CP82" s="412">
        <f t="shared" si="469"/>
        <v>0.55680233884527963</v>
      </c>
      <c r="CQ82" s="412">
        <f t="shared" si="469"/>
        <v>0.56270024169523924</v>
      </c>
      <c r="CR82" s="412">
        <f t="shared" si="469"/>
        <v>0.56762457084272666</v>
      </c>
      <c r="CS82" s="412">
        <f t="shared" si="469"/>
        <v>0.5705677673593158</v>
      </c>
      <c r="CT82" s="413">
        <f t="shared" si="469"/>
        <v>0.58203183270240222</v>
      </c>
      <c r="CU82" s="483">
        <f t="shared" si="469"/>
        <v>0.58541747096766916</v>
      </c>
      <c r="CV82" s="412">
        <f t="shared" si="469"/>
        <v>0.587406605980616</v>
      </c>
      <c r="CW82" s="412">
        <f t="shared" si="469"/>
        <v>0.59075825166353757</v>
      </c>
      <c r="CX82" s="412">
        <f t="shared" si="469"/>
        <v>0.58403518756309536</v>
      </c>
      <c r="CY82" s="412">
        <f t="shared" si="469"/>
        <v>0.58861969851446083</v>
      </c>
      <c r="CZ82" s="412">
        <f t="shared" si="469"/>
        <v>0.5899714301686827</v>
      </c>
      <c r="DA82" s="412">
        <f t="shared" si="469"/>
        <v>0.58022039131898206</v>
      </c>
      <c r="DB82" s="412">
        <f t="shared" si="469"/>
        <v>0.61162463950306889</v>
      </c>
      <c r="DC82" s="412">
        <f t="shared" si="469"/>
        <v>0.6199869435573514</v>
      </c>
      <c r="DD82" s="412">
        <f t="shared" si="469"/>
        <v>0.6196303069420539</v>
      </c>
      <c r="DE82" s="412">
        <f t="shared" si="469"/>
        <v>0.62308346769635348</v>
      </c>
      <c r="DF82" s="413">
        <f t="shared" si="469"/>
        <v>0.62281708901003197</v>
      </c>
      <c r="DG82" s="412">
        <f t="shared" si="469"/>
        <v>0.62754411799918597</v>
      </c>
      <c r="DH82" s="412">
        <f t="shared" si="469"/>
        <v>0.65948158553783642</v>
      </c>
      <c r="DI82" s="412">
        <f t="shared" si="469"/>
        <v>0.62877271944564839</v>
      </c>
      <c r="DJ82" s="412">
        <f t="shared" si="469"/>
        <v>0.62155301083951164</v>
      </c>
      <c r="DK82" s="412">
        <f t="shared" si="469"/>
        <v>0.62138397582414207</v>
      </c>
      <c r="DL82" s="412">
        <f t="shared" ref="DL82:FH82" si="470">SUM(DL79/DL80)</f>
        <v>0.62055568564139851</v>
      </c>
      <c r="DM82" s="412">
        <f t="shared" si="470"/>
        <v>0.61047416492531292</v>
      </c>
      <c r="DN82" s="412">
        <f t="shared" si="470"/>
        <v>0.61759629499960067</v>
      </c>
      <c r="DO82" s="412">
        <f t="shared" si="470"/>
        <v>0.61864138535056312</v>
      </c>
      <c r="DP82" s="412">
        <f t="shared" si="470"/>
        <v>0.61943247348208885</v>
      </c>
      <c r="DQ82" s="412">
        <f t="shared" si="470"/>
        <v>0.64146360094721566</v>
      </c>
      <c r="DR82" s="412">
        <f t="shared" si="470"/>
        <v>0.74489165589924389</v>
      </c>
      <c r="DS82" s="412">
        <f t="shared" si="470"/>
        <v>0.71502045163007966</v>
      </c>
      <c r="DT82" s="412">
        <f t="shared" si="470"/>
        <v>0.71685252716906911</v>
      </c>
      <c r="DU82" s="412">
        <f t="shared" si="470"/>
        <v>0.71049128191853261</v>
      </c>
      <c r="DV82" s="415">
        <f t="shared" si="470"/>
        <v>0.78092403947170952</v>
      </c>
      <c r="DW82" s="415">
        <f t="shared" si="470"/>
        <v>0.74186678484487578</v>
      </c>
      <c r="DX82" s="415">
        <f t="shared" si="470"/>
        <v>0.84151804021273513</v>
      </c>
      <c r="DY82" s="415">
        <f t="shared" si="470"/>
        <v>0.95569188397886007</v>
      </c>
      <c r="DZ82" s="415">
        <f t="shared" si="470"/>
        <v>0.96013867546665987</v>
      </c>
      <c r="EA82" s="415">
        <f t="shared" si="470"/>
        <v>0.96019895886432804</v>
      </c>
      <c r="EB82" s="415">
        <f t="shared" si="470"/>
        <v>0.96042811525323035</v>
      </c>
      <c r="EC82" s="415">
        <f t="shared" si="470"/>
        <v>0.96166781236802601</v>
      </c>
      <c r="ED82" s="493">
        <f t="shared" si="470"/>
        <v>0.9631269407266918</v>
      </c>
      <c r="EE82" s="493">
        <f t="shared" si="470"/>
        <v>0.96112833722908619</v>
      </c>
      <c r="EF82" s="493">
        <f t="shared" si="470"/>
        <v>0.96096169729506509</v>
      </c>
      <c r="EG82" s="493">
        <f t="shared" si="470"/>
        <v>0.96321441154394072</v>
      </c>
      <c r="EH82" s="493">
        <f t="shared" si="470"/>
        <v>0.96717256949664043</v>
      </c>
      <c r="EI82" s="493">
        <f t="shared" si="470"/>
        <v>0.96039590645634132</v>
      </c>
      <c r="EJ82" s="493">
        <f t="shared" si="470"/>
        <v>0.96489100399140315</v>
      </c>
      <c r="EK82" s="493">
        <f t="shared" si="470"/>
        <v>0.96384170339799324</v>
      </c>
      <c r="EL82" s="493">
        <f t="shared" si="470"/>
        <v>0.96415907635550369</v>
      </c>
      <c r="EM82" s="493">
        <f t="shared" si="470"/>
        <v>0.96429180644794454</v>
      </c>
      <c r="EN82" s="493">
        <f t="shared" si="470"/>
        <v>0.96538394787081305</v>
      </c>
      <c r="EO82" s="493">
        <f t="shared" si="470"/>
        <v>0.96574654083677303</v>
      </c>
      <c r="EP82" s="493">
        <f t="shared" si="470"/>
        <v>0.96854974507694469</v>
      </c>
      <c r="EQ82" s="493">
        <f t="shared" si="470"/>
        <v>0.96342983555582951</v>
      </c>
      <c r="ER82" s="493">
        <f t="shared" si="470"/>
        <v>0.96792694333677942</v>
      </c>
      <c r="ES82" s="493">
        <f t="shared" si="470"/>
        <v>0.96680185942033514</v>
      </c>
      <c r="ET82" s="493">
        <f t="shared" si="470"/>
        <v>0.96739482480496319</v>
      </c>
      <c r="EU82" s="493">
        <f t="shared" si="470"/>
        <v>0.96704638827520273</v>
      </c>
      <c r="EV82" s="493">
        <f t="shared" si="470"/>
        <v>0.96704810783554884</v>
      </c>
      <c r="EW82" s="493">
        <f t="shared" si="470"/>
        <v>0.96762813794882552</v>
      </c>
      <c r="EX82" s="493">
        <f t="shared" si="470"/>
        <v>0.96794956376778474</v>
      </c>
      <c r="EY82" s="493">
        <f t="shared" si="470"/>
        <v>0.96826457968405999</v>
      </c>
      <c r="EZ82" s="493">
        <f t="shared" si="470"/>
        <v>0.96862507493500294</v>
      </c>
      <c r="FA82" s="493">
        <f t="shared" si="470"/>
        <v>0.96917130557529374</v>
      </c>
      <c r="FB82" s="493">
        <f t="shared" si="470"/>
        <v>0.96948335210418612</v>
      </c>
      <c r="FC82" s="493">
        <f t="shared" si="470"/>
        <v>0.96968666779987533</v>
      </c>
      <c r="FD82" s="493">
        <f t="shared" si="470"/>
        <v>0.97003056156882728</v>
      </c>
      <c r="FE82" s="493">
        <f t="shared" si="470"/>
        <v>0.9701164649172519</v>
      </c>
      <c r="FF82" s="493">
        <f t="shared" si="470"/>
        <v>0.97023047375160054</v>
      </c>
      <c r="FG82" s="493">
        <f t="shared" si="470"/>
        <v>0.9704737183646982</v>
      </c>
      <c r="FH82" s="493">
        <f t="shared" si="470"/>
        <v>0.97027115321790269</v>
      </c>
      <c r="FI82" s="493">
        <f t="shared" ref="FI82:FK82" si="471">SUM(FI79/FI80)</f>
        <v>0.97040644867557802</v>
      </c>
      <c r="FJ82" s="493">
        <f t="shared" si="471"/>
        <v>0.97075479449803614</v>
      </c>
      <c r="FK82" s="493">
        <f t="shared" si="471"/>
        <v>0.97094118033002008</v>
      </c>
      <c r="FL82" s="493">
        <f t="shared" ref="FL82:FM82" si="472">SUM(FL79/FL80)</f>
        <v>0.9713191676138504</v>
      </c>
      <c r="FM82" s="493">
        <f t="shared" si="472"/>
        <v>0.97186162694509759</v>
      </c>
      <c r="FN82" s="493">
        <f t="shared" ref="FN82:FQ82" si="473">SUM(FN79/FN80)</f>
        <v>0.97214521795367614</v>
      </c>
      <c r="FO82" s="493">
        <f t="shared" si="473"/>
        <v>0.97232710925573596</v>
      </c>
      <c r="FP82" s="493">
        <f t="shared" si="473"/>
        <v>0.97242425038071734</v>
      </c>
      <c r="FQ82" s="493">
        <f t="shared" si="473"/>
        <v>0.97289535325707344</v>
      </c>
      <c r="FR82" s="493">
        <f t="shared" ref="FR82:FT82" si="474">SUM(FR79/FR80)</f>
        <v>0.97285786826975051</v>
      </c>
      <c r="FS82" s="493">
        <f t="shared" si="474"/>
        <v>0.97298195397193576</v>
      </c>
      <c r="FT82" s="493">
        <f t="shared" si="474"/>
        <v>0.97277810281094601</v>
      </c>
    </row>
    <row r="83" spans="1:176" x14ac:dyDescent="0.25">
      <c r="A83" s="20"/>
      <c r="C83" s="201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224"/>
      <c r="O83" s="201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224"/>
      <c r="AA83" s="201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224"/>
      <c r="AM83" s="201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224"/>
      <c r="AY83" s="201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224"/>
      <c r="BK83" s="201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224"/>
      <c r="BW83" s="201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224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20"/>
      <c r="DV83" s="302"/>
      <c r="DW83" s="302"/>
      <c r="DX83" s="302"/>
      <c r="EE83" s="302"/>
      <c r="EF83" s="302"/>
      <c r="EG83" s="302"/>
    </row>
    <row r="84" spans="1:176" x14ac:dyDescent="0.25">
      <c r="A84" s="20"/>
      <c r="B84" s="278" t="s">
        <v>56</v>
      </c>
      <c r="C84" s="201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201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201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201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201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201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8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20"/>
      <c r="DV84" s="302"/>
      <c r="DW84" s="302"/>
      <c r="DX84" s="302"/>
      <c r="EE84" s="302"/>
      <c r="EF84" s="302"/>
      <c r="EG84" s="302"/>
    </row>
    <row r="85" spans="1:176" s="68" customFormat="1" x14ac:dyDescent="0.25">
      <c r="B85" s="87" t="s">
        <v>1</v>
      </c>
      <c r="C85" s="201">
        <f>SUM(C51,C61,C71,C78)</f>
        <v>484459.00039999996</v>
      </c>
      <c r="D85" s="69">
        <f t="shared" ref="D85:N86" si="475">SUM(D51,D61,D71,D78)</f>
        <v>439146.26239999995</v>
      </c>
      <c r="E85" s="69">
        <f t="shared" si="475"/>
        <v>287587.12143000006</v>
      </c>
      <c r="F85" s="69">
        <f t="shared" si="475"/>
        <v>300458.67988999997</v>
      </c>
      <c r="G85" s="69">
        <f t="shared" si="475"/>
        <v>468307.38508999982</v>
      </c>
      <c r="H85" s="69">
        <f t="shared" si="475"/>
        <v>386327.53518000012</v>
      </c>
      <c r="I85" s="69">
        <f t="shared" si="475"/>
        <v>379280.62188999983</v>
      </c>
      <c r="J85" s="69">
        <f t="shared" si="475"/>
        <v>353062.2</v>
      </c>
      <c r="K85" s="69">
        <f t="shared" si="475"/>
        <v>431555.49</v>
      </c>
      <c r="L85" s="69">
        <f t="shared" si="475"/>
        <v>320002.27999999997</v>
      </c>
      <c r="M85" s="69">
        <f t="shared" si="475"/>
        <v>226937.74000000002</v>
      </c>
      <c r="N85" s="89">
        <f t="shared" si="475"/>
        <v>253915.13</v>
      </c>
      <c r="O85" s="201">
        <f t="shared" ref="O85:Q86" si="476">SUM(O51,O61,O71,O78)</f>
        <v>272577</v>
      </c>
      <c r="P85" s="69">
        <f t="shared" si="476"/>
        <v>282085</v>
      </c>
      <c r="Q85" s="69">
        <f t="shared" si="476"/>
        <v>256045</v>
      </c>
      <c r="R85" s="69">
        <f t="shared" ref="R85:T86" si="477">SUM(R51,R61,R71,R78)</f>
        <v>220133.52999999997</v>
      </c>
      <c r="S85" s="69">
        <f t="shared" si="477"/>
        <v>279296.97000000003</v>
      </c>
      <c r="T85" s="69">
        <f t="shared" si="477"/>
        <v>349440.81999999995</v>
      </c>
      <c r="U85" s="69">
        <f t="shared" ref="U85:Z85" si="478">SUM(U51,U61,U71,U78)</f>
        <v>387020.99</v>
      </c>
      <c r="V85" s="69">
        <f t="shared" si="478"/>
        <v>406487.96000000008</v>
      </c>
      <c r="W85" s="69">
        <f t="shared" si="478"/>
        <v>344752.09</v>
      </c>
      <c r="X85" s="69">
        <f t="shared" si="478"/>
        <v>281242.67000000004</v>
      </c>
      <c r="Y85" s="69">
        <f t="shared" si="478"/>
        <v>224608.68999999997</v>
      </c>
      <c r="Z85" s="89">
        <f t="shared" si="478"/>
        <v>227783.93</v>
      </c>
      <c r="AA85" s="201">
        <f t="shared" ref="AA85:AF86" si="479">SUM(AA51,AA61,AA71,AA78)</f>
        <v>242516.88</v>
      </c>
      <c r="AB85" s="69">
        <f t="shared" si="479"/>
        <v>238393.07</v>
      </c>
      <c r="AC85" s="69">
        <f t="shared" si="479"/>
        <v>207360.68</v>
      </c>
      <c r="AD85" s="69">
        <f t="shared" si="479"/>
        <v>193348.86</v>
      </c>
      <c r="AE85" s="69">
        <f t="shared" si="479"/>
        <v>215917.51</v>
      </c>
      <c r="AF85" s="69">
        <f t="shared" si="479"/>
        <v>288164.29000000004</v>
      </c>
      <c r="AG85" s="69">
        <f t="shared" ref="AG85:AI86" si="480">SUM(AG51,AG61,AG71,AG78)</f>
        <v>304306.06999999995</v>
      </c>
      <c r="AH85" s="69">
        <f t="shared" si="480"/>
        <v>321140.0199999999</v>
      </c>
      <c r="AI85" s="69">
        <f t="shared" si="480"/>
        <v>298748.71000000002</v>
      </c>
      <c r="AJ85" s="69">
        <f t="shared" ref="AJ85:AL86" si="481">SUM(AJ51,AJ61,AJ71,AJ78)</f>
        <v>245561.95</v>
      </c>
      <c r="AK85" s="69">
        <f t="shared" si="481"/>
        <v>208195.50999999998</v>
      </c>
      <c r="AL85" s="89">
        <f t="shared" si="481"/>
        <v>200015.19</v>
      </c>
      <c r="AM85" s="201">
        <f t="shared" ref="AM85:AO86" si="482">SUM(AM51,AM61,AM71,AM78)</f>
        <v>213044.62000000002</v>
      </c>
      <c r="AN85" s="69">
        <f t="shared" si="482"/>
        <v>197322.55</v>
      </c>
      <c r="AO85" s="69">
        <f t="shared" si="482"/>
        <v>171432.75</v>
      </c>
      <c r="AP85" s="69">
        <f t="shared" ref="AP85:AR86" si="483">SUM(AP51,AP61,AP71,AP78)</f>
        <v>159589.13999999998</v>
      </c>
      <c r="AQ85" s="69">
        <f t="shared" si="483"/>
        <v>180229.13999999998</v>
      </c>
      <c r="AR85" s="69">
        <f t="shared" si="483"/>
        <v>253852.87999999998</v>
      </c>
      <c r="AS85" s="69">
        <f t="shared" ref="AS85:AU86" si="484">SUM(AS51,AS61,AS71,AS78)</f>
        <v>295084.07999999996</v>
      </c>
      <c r="AT85" s="69">
        <f t="shared" si="484"/>
        <v>284723</v>
      </c>
      <c r="AU85" s="69">
        <f t="shared" si="484"/>
        <v>276904.70999999996</v>
      </c>
      <c r="AV85" s="69">
        <f t="shared" ref="AV85:BG86" si="485">SUM(AV51,AV61,AV71,AV78)</f>
        <v>238456.19</v>
      </c>
      <c r="AW85" s="69">
        <f t="shared" si="485"/>
        <v>162541.82</v>
      </c>
      <c r="AX85" s="89">
        <f t="shared" si="485"/>
        <v>177026.25</v>
      </c>
      <c r="AY85" s="201">
        <f t="shared" si="485"/>
        <v>171886.71</v>
      </c>
      <c r="AZ85" s="69">
        <f t="shared" si="485"/>
        <v>156610.65</v>
      </c>
      <c r="BA85" s="69">
        <f t="shared" si="485"/>
        <v>163675.66</v>
      </c>
      <c r="BB85" s="69">
        <f t="shared" si="485"/>
        <v>162991.91000000003</v>
      </c>
      <c r="BC85" s="69">
        <f t="shared" si="485"/>
        <v>186853.76000000001</v>
      </c>
      <c r="BD85" s="69">
        <f t="shared" si="485"/>
        <v>238533.86999999997</v>
      </c>
      <c r="BE85" s="69">
        <f t="shared" si="485"/>
        <v>254175.8</v>
      </c>
      <c r="BF85" s="69">
        <f t="shared" si="485"/>
        <v>281194.34000000003</v>
      </c>
      <c r="BG85" s="69">
        <f t="shared" si="485"/>
        <v>247464.34999999998</v>
      </c>
      <c r="BH85" s="69">
        <f t="shared" ref="BH85:BJ86" si="486">SUM(BH51,BH61,BH71,BH78)</f>
        <v>192226.5</v>
      </c>
      <c r="BI85" s="69">
        <f t="shared" si="486"/>
        <v>145369.78</v>
      </c>
      <c r="BJ85" s="89">
        <f t="shared" si="486"/>
        <v>157409.57999999999</v>
      </c>
      <c r="BK85" s="201">
        <f t="shared" ref="BK85:BM86" si="487">SUM(BK51,BK61,BK71,BK78)</f>
        <v>172071.65000000002</v>
      </c>
      <c r="BL85" s="69">
        <f t="shared" si="487"/>
        <v>181385.68</v>
      </c>
      <c r="BM85" s="69">
        <f t="shared" si="487"/>
        <v>140708.45000000001</v>
      </c>
      <c r="BN85" s="69">
        <f t="shared" ref="BN85:BP86" si="488">SUM(BN51,BN61,BN71,BN78)</f>
        <v>127126.52</v>
      </c>
      <c r="BO85" s="69">
        <f t="shared" si="488"/>
        <v>150508.46</v>
      </c>
      <c r="BP85" s="69">
        <f t="shared" si="488"/>
        <v>180901.40000000002</v>
      </c>
      <c r="BQ85" s="69">
        <f t="shared" ref="BQ85:BS86" si="489">SUM(BQ51,BQ61,BQ71,BQ78)</f>
        <v>199682.71</v>
      </c>
      <c r="BR85" s="69">
        <f t="shared" si="489"/>
        <v>218554.43</v>
      </c>
      <c r="BS85" s="69">
        <f t="shared" si="489"/>
        <v>211730.7</v>
      </c>
      <c r="BT85" s="69">
        <f t="shared" ref="BT85:BV86" si="490">SUM(BT51,BT61,BT71,BT78)</f>
        <v>179168.02000000002</v>
      </c>
      <c r="BU85" s="69">
        <f t="shared" si="490"/>
        <v>126119.02</v>
      </c>
      <c r="BV85" s="89">
        <f t="shared" si="490"/>
        <v>129412.31</v>
      </c>
      <c r="BW85" s="201">
        <f t="shared" ref="BW85:BY86" si="491">SUM(BW51,BW61,BW71,BW78)</f>
        <v>150155.01</v>
      </c>
      <c r="BX85" s="69">
        <f t="shared" si="491"/>
        <v>135341</v>
      </c>
      <c r="BY85" s="69">
        <f t="shared" si="491"/>
        <v>118441.26999999999</v>
      </c>
      <c r="BZ85" s="69">
        <f t="shared" ref="BZ85:CH85" si="492">SUM(BZ51,BZ61,BZ71,BZ78)</f>
        <v>113514.22</v>
      </c>
      <c r="CA85" s="69">
        <f t="shared" si="492"/>
        <v>121063.84999999999</v>
      </c>
      <c r="CB85" s="69">
        <f t="shared" si="492"/>
        <v>168083.12</v>
      </c>
      <c r="CC85" s="69">
        <f t="shared" si="492"/>
        <v>186036.6</v>
      </c>
      <c r="CD85" s="69">
        <f t="shared" si="492"/>
        <v>182740.36</v>
      </c>
      <c r="CE85" s="69">
        <f t="shared" si="492"/>
        <v>138107.25</v>
      </c>
      <c r="CF85" s="69">
        <f t="shared" si="492"/>
        <v>103413.31</v>
      </c>
      <c r="CG85" s="69">
        <f t="shared" si="492"/>
        <v>76776.900000000009</v>
      </c>
      <c r="CH85" s="89">
        <f t="shared" si="492"/>
        <v>84840.24</v>
      </c>
      <c r="CI85" s="201">
        <f t="shared" ref="CI85:CK86" si="493">SUM(CI51,CI61,CI71,CI78)</f>
        <v>95546.550000000017</v>
      </c>
      <c r="CJ85" s="69">
        <f t="shared" si="493"/>
        <v>91336.59</v>
      </c>
      <c r="CK85" s="69">
        <f t="shared" si="493"/>
        <v>80624.47</v>
      </c>
      <c r="CL85" s="69">
        <f t="shared" ref="CL85:DO85" si="494">SUM(CL51,CL61,CL71,CL78)</f>
        <v>71907.33</v>
      </c>
      <c r="CM85" s="69">
        <f t="shared" si="494"/>
        <v>83588.490000000005</v>
      </c>
      <c r="CN85" s="69">
        <f t="shared" si="494"/>
        <v>104898.53</v>
      </c>
      <c r="CO85" s="69">
        <f t="shared" si="494"/>
        <v>134491.30000000002</v>
      </c>
      <c r="CP85" s="69">
        <f t="shared" si="494"/>
        <v>132544.09</v>
      </c>
      <c r="CQ85" s="69">
        <f t="shared" si="494"/>
        <v>114962.52</v>
      </c>
      <c r="CR85" s="69">
        <f t="shared" si="494"/>
        <v>87137.040000000008</v>
      </c>
      <c r="CS85" s="69">
        <f t="shared" si="494"/>
        <v>67709.650000000009</v>
      </c>
      <c r="CT85" s="89">
        <f t="shared" si="494"/>
        <v>76419.110000000015</v>
      </c>
      <c r="CU85" s="69">
        <f t="shared" si="494"/>
        <v>96894.29</v>
      </c>
      <c r="CV85" s="69">
        <f t="shared" si="494"/>
        <v>89389.449999999983</v>
      </c>
      <c r="CW85" s="69">
        <f t="shared" si="494"/>
        <v>79535.51999999999</v>
      </c>
      <c r="CX85" s="69">
        <f t="shared" si="494"/>
        <v>62456.25</v>
      </c>
      <c r="CY85" s="69">
        <f t="shared" si="494"/>
        <v>70531.700000000012</v>
      </c>
      <c r="CZ85" s="69">
        <f t="shared" si="494"/>
        <v>102957.31</v>
      </c>
      <c r="DA85" s="69">
        <f t="shared" si="494"/>
        <v>108098.40000000001</v>
      </c>
      <c r="DB85" s="69">
        <f t="shared" si="494"/>
        <v>117845.02</v>
      </c>
      <c r="DC85" s="69">
        <f t="shared" si="494"/>
        <v>107382.97</v>
      </c>
      <c r="DD85" s="69">
        <f t="shared" si="494"/>
        <v>75920.509999999995</v>
      </c>
      <c r="DE85" s="69">
        <f t="shared" si="494"/>
        <v>60652.74</v>
      </c>
      <c r="DF85" s="89">
        <f t="shared" si="494"/>
        <v>63071.77</v>
      </c>
      <c r="DG85" s="69">
        <f t="shared" si="494"/>
        <v>74211.390000000014</v>
      </c>
      <c r="DH85" s="69">
        <f t="shared" si="494"/>
        <v>81629.08</v>
      </c>
      <c r="DI85" s="69">
        <f t="shared" si="494"/>
        <v>60774.33</v>
      </c>
      <c r="DJ85" s="69">
        <f t="shared" si="494"/>
        <v>60050.799999999996</v>
      </c>
      <c r="DK85" s="69">
        <f t="shared" si="494"/>
        <v>67394.33</v>
      </c>
      <c r="DL85" s="69">
        <f t="shared" si="494"/>
        <v>91716.88</v>
      </c>
      <c r="DM85" s="69">
        <f t="shared" si="494"/>
        <v>110425.07</v>
      </c>
      <c r="DN85" s="69">
        <f t="shared" si="494"/>
        <v>116203.56999999999</v>
      </c>
      <c r="DO85" s="69">
        <f t="shared" si="494"/>
        <v>106123.8</v>
      </c>
      <c r="DP85" s="68">
        <v>72731.429999999993</v>
      </c>
      <c r="DQ85" s="68">
        <v>55718.65</v>
      </c>
      <c r="DR85" s="68">
        <v>59610.1</v>
      </c>
      <c r="DS85" s="68">
        <v>65108.97</v>
      </c>
      <c r="DT85" s="68">
        <v>59661.7</v>
      </c>
      <c r="DU85" s="68">
        <v>55367.35</v>
      </c>
      <c r="DV85" s="351">
        <v>56342.080000000002</v>
      </c>
      <c r="DW85" s="351">
        <v>61709.57</v>
      </c>
      <c r="DX85" s="351">
        <v>59182.71</v>
      </c>
      <c r="DY85" s="68">
        <v>65169.65</v>
      </c>
      <c r="DZ85" s="297">
        <v>74912.320000000007</v>
      </c>
      <c r="EA85" s="68">
        <v>61616.51</v>
      </c>
      <c r="EB85" s="297">
        <v>42023.49</v>
      </c>
      <c r="EC85" s="68">
        <v>34385.99</v>
      </c>
      <c r="ED85" s="68">
        <v>34628.99</v>
      </c>
      <c r="EE85" s="69">
        <f t="shared" ref="EE85:ET86" si="495">SUM(EE51,EE61,EE71,EE78)</f>
        <v>46310.21</v>
      </c>
      <c r="EF85" s="69">
        <f t="shared" si="495"/>
        <v>37193.129999999997</v>
      </c>
      <c r="EG85" s="69">
        <f t="shared" si="495"/>
        <v>32983.11</v>
      </c>
      <c r="EH85" s="69">
        <f t="shared" si="495"/>
        <v>30593.390000000003</v>
      </c>
      <c r="EI85" s="69">
        <f t="shared" si="495"/>
        <v>33836.19</v>
      </c>
      <c r="EJ85" s="69">
        <f t="shared" si="495"/>
        <v>49363.149999999994</v>
      </c>
      <c r="EK85" s="69">
        <f t="shared" si="495"/>
        <v>62398.41</v>
      </c>
      <c r="EL85" s="69">
        <f t="shared" si="495"/>
        <v>61927.31</v>
      </c>
      <c r="EM85" s="69">
        <f t="shared" si="495"/>
        <v>59165.51</v>
      </c>
      <c r="EN85" s="69">
        <f t="shared" si="495"/>
        <v>44288.6</v>
      </c>
      <c r="EO85" s="69">
        <f t="shared" si="495"/>
        <v>30412.690000000002</v>
      </c>
      <c r="EP85" s="69">
        <f t="shared" si="495"/>
        <v>42549.200000000004</v>
      </c>
      <c r="EQ85" s="69">
        <f t="shared" si="495"/>
        <v>48029.29</v>
      </c>
      <c r="ER85" s="69">
        <f t="shared" si="495"/>
        <v>46285.619999999995</v>
      </c>
      <c r="ES85" s="69">
        <f t="shared" si="495"/>
        <v>36055.440000000002</v>
      </c>
      <c r="ET85" s="69">
        <f t="shared" si="495"/>
        <v>28802.309999999998</v>
      </c>
      <c r="EU85" s="69">
        <f t="shared" ref="EU85:FJ86" si="496">SUM(EU51,EU61,EU71,EU78)</f>
        <v>32958.75</v>
      </c>
      <c r="EV85" s="69">
        <f t="shared" si="496"/>
        <v>44903.560000000005</v>
      </c>
      <c r="EW85" s="69">
        <f t="shared" si="496"/>
        <v>54744.299999999996</v>
      </c>
      <c r="EX85" s="69">
        <f t="shared" si="496"/>
        <v>56488.139999999992</v>
      </c>
      <c r="EY85" s="69">
        <f t="shared" si="496"/>
        <v>54106.07</v>
      </c>
      <c r="EZ85" s="69">
        <f t="shared" si="496"/>
        <v>39259.810000000005</v>
      </c>
      <c r="FA85" s="69">
        <f t="shared" si="496"/>
        <v>30748.55</v>
      </c>
      <c r="FB85" s="69">
        <f t="shared" si="496"/>
        <v>31905.229999999996</v>
      </c>
      <c r="FC85" s="69">
        <f t="shared" si="496"/>
        <v>42547.460000000006</v>
      </c>
      <c r="FD85" s="69">
        <f t="shared" si="496"/>
        <v>37784.339999999997</v>
      </c>
      <c r="FE85" s="69">
        <f t="shared" si="496"/>
        <v>38634.200000000004</v>
      </c>
      <c r="FF85" s="69">
        <f t="shared" si="496"/>
        <v>28229</v>
      </c>
      <c r="FG85" s="69">
        <f t="shared" si="496"/>
        <v>30022</v>
      </c>
      <c r="FH85" s="69">
        <f t="shared" si="496"/>
        <v>40910</v>
      </c>
      <c r="FI85" s="69">
        <f t="shared" si="496"/>
        <v>53058.77</v>
      </c>
      <c r="FJ85" s="69">
        <f t="shared" si="496"/>
        <v>58903.83</v>
      </c>
      <c r="FK85" s="69">
        <f t="shared" ref="FK85:FT85" si="497">SUM(FK51,FK61,FK71,FK78)</f>
        <v>49012.340000000004</v>
      </c>
      <c r="FL85" s="69">
        <f t="shared" si="497"/>
        <v>38206.249999999993</v>
      </c>
      <c r="FM85" s="69">
        <f t="shared" si="497"/>
        <v>27073.15</v>
      </c>
      <c r="FN85" s="69">
        <f t="shared" si="497"/>
        <v>28181.81</v>
      </c>
      <c r="FO85" s="69">
        <f t="shared" si="497"/>
        <v>35475.529999999992</v>
      </c>
      <c r="FP85" s="69">
        <f t="shared" si="497"/>
        <v>31625.480000000003</v>
      </c>
      <c r="FQ85" s="69">
        <f t="shared" si="497"/>
        <v>25392.530000000002</v>
      </c>
      <c r="FR85" s="69">
        <f t="shared" si="497"/>
        <v>24856.5</v>
      </c>
      <c r="FS85" s="69">
        <f t="shared" si="497"/>
        <v>29211.859999999997</v>
      </c>
      <c r="FT85" s="69">
        <f t="shared" si="497"/>
        <v>37270.870000000003</v>
      </c>
    </row>
    <row r="86" spans="1:176" s="68" customFormat="1" ht="13.8" thickBot="1" x14ac:dyDescent="0.3">
      <c r="B86" s="90" t="s">
        <v>8</v>
      </c>
      <c r="C86" s="210">
        <f>SUM(C52,C62,C72,C79)</f>
        <v>21924.648000000001</v>
      </c>
      <c r="D86" s="92">
        <f t="shared" si="475"/>
        <v>32768.758000000002</v>
      </c>
      <c r="E86" s="92">
        <f t="shared" si="475"/>
        <v>63511.862539999995</v>
      </c>
      <c r="F86" s="92">
        <f t="shared" si="475"/>
        <v>92248.331119999988</v>
      </c>
      <c r="G86" s="92">
        <f t="shared" si="475"/>
        <v>100181.64908</v>
      </c>
      <c r="H86" s="92">
        <f t="shared" si="475"/>
        <v>187951.49100000001</v>
      </c>
      <c r="I86" s="92">
        <f t="shared" si="475"/>
        <v>163299.37300000002</v>
      </c>
      <c r="J86" s="92">
        <f t="shared" si="475"/>
        <v>220151.86000000002</v>
      </c>
      <c r="K86" s="92">
        <f t="shared" si="475"/>
        <v>223412.1</v>
      </c>
      <c r="L86" s="92">
        <f t="shared" si="475"/>
        <v>217861.8634</v>
      </c>
      <c r="M86" s="92">
        <f t="shared" si="475"/>
        <v>160629.74000000002</v>
      </c>
      <c r="N86" s="93">
        <f t="shared" si="475"/>
        <v>111981.45399999998</v>
      </c>
      <c r="O86" s="210">
        <f t="shared" si="476"/>
        <v>120149</v>
      </c>
      <c r="P86" s="92">
        <f t="shared" si="476"/>
        <v>138488</v>
      </c>
      <c r="Q86" s="92">
        <f t="shared" si="476"/>
        <v>169941</v>
      </c>
      <c r="R86" s="92">
        <f t="shared" si="477"/>
        <v>299629.77</v>
      </c>
      <c r="S86" s="92">
        <f t="shared" si="477"/>
        <v>83894.449999999983</v>
      </c>
      <c r="T86" s="92">
        <f t="shared" si="477"/>
        <v>140352.47</v>
      </c>
      <c r="U86" s="92">
        <f t="shared" ref="U86:Z86" si="498">SUM(U52,U62,U72,U79)</f>
        <v>181300.84999999998</v>
      </c>
      <c r="V86" s="92">
        <f t="shared" si="498"/>
        <v>168885.74</v>
      </c>
      <c r="W86" s="92">
        <f t="shared" si="498"/>
        <v>174623.65</v>
      </c>
      <c r="X86" s="92">
        <f t="shared" si="498"/>
        <v>141874.42000000001</v>
      </c>
      <c r="Y86" s="92">
        <f t="shared" si="498"/>
        <v>115269.81000000001</v>
      </c>
      <c r="Z86" s="93">
        <f t="shared" si="498"/>
        <v>250208.13000000003</v>
      </c>
      <c r="AA86" s="210">
        <f t="shared" si="479"/>
        <v>192411.25</v>
      </c>
      <c r="AB86" s="92">
        <f t="shared" si="479"/>
        <v>172230.66</v>
      </c>
      <c r="AC86" s="92">
        <f t="shared" si="479"/>
        <v>178581.32</v>
      </c>
      <c r="AD86" s="92">
        <f t="shared" si="479"/>
        <v>208900.12999999998</v>
      </c>
      <c r="AE86" s="92">
        <f t="shared" si="479"/>
        <v>136635.16999999998</v>
      </c>
      <c r="AF86" s="92">
        <f t="shared" si="479"/>
        <v>295611.14</v>
      </c>
      <c r="AG86" s="92">
        <f t="shared" si="480"/>
        <v>247701.37</v>
      </c>
      <c r="AH86" s="92">
        <f t="shared" si="480"/>
        <v>282010.38</v>
      </c>
      <c r="AI86" s="92">
        <f t="shared" si="480"/>
        <v>278467.73000000004</v>
      </c>
      <c r="AJ86" s="92">
        <f t="shared" si="481"/>
        <v>257979.11</v>
      </c>
      <c r="AK86" s="92">
        <f t="shared" si="481"/>
        <v>291598.57999999996</v>
      </c>
      <c r="AL86" s="93">
        <f t="shared" si="481"/>
        <v>235123.36999999997</v>
      </c>
      <c r="AM86" s="210">
        <f t="shared" si="482"/>
        <v>226465.53000000003</v>
      </c>
      <c r="AN86" s="92">
        <f t="shared" si="482"/>
        <v>277024.05000000005</v>
      </c>
      <c r="AO86" s="92">
        <f t="shared" si="482"/>
        <v>245525.4</v>
      </c>
      <c r="AP86" s="92">
        <f t="shared" si="483"/>
        <v>224903.73</v>
      </c>
      <c r="AQ86" s="92">
        <f t="shared" si="483"/>
        <v>286297.13</v>
      </c>
      <c r="AR86" s="92">
        <f t="shared" si="483"/>
        <v>333859.86000000004</v>
      </c>
      <c r="AS86" s="92">
        <f t="shared" si="484"/>
        <v>361700.3</v>
      </c>
      <c r="AT86" s="92">
        <f t="shared" si="484"/>
        <v>382367.80999999994</v>
      </c>
      <c r="AU86" s="92">
        <f t="shared" si="484"/>
        <v>351743.76</v>
      </c>
      <c r="AV86" s="92">
        <f t="shared" si="485"/>
        <v>354804.60999999993</v>
      </c>
      <c r="AW86" s="92">
        <f t="shared" si="485"/>
        <v>320915.45</v>
      </c>
      <c r="AX86" s="93">
        <f t="shared" si="485"/>
        <v>306086.32999999996</v>
      </c>
      <c r="AY86" s="210">
        <f t="shared" si="485"/>
        <v>299331.04000000004</v>
      </c>
      <c r="AZ86" s="92">
        <f t="shared" si="485"/>
        <v>287911.49</v>
      </c>
      <c r="BA86" s="92">
        <f t="shared" si="485"/>
        <v>288586.29000000004</v>
      </c>
      <c r="BB86" s="92">
        <f t="shared" si="485"/>
        <v>262280.40999999997</v>
      </c>
      <c r="BC86" s="92">
        <f t="shared" si="485"/>
        <v>355483.89</v>
      </c>
      <c r="BD86" s="92">
        <f t="shared" si="485"/>
        <v>379703.11</v>
      </c>
      <c r="BE86" s="92">
        <f t="shared" si="485"/>
        <v>384358.78</v>
      </c>
      <c r="BF86" s="92">
        <f t="shared" si="485"/>
        <v>409542.72000000003</v>
      </c>
      <c r="BG86" s="92">
        <f t="shared" si="485"/>
        <v>399337.41</v>
      </c>
      <c r="BH86" s="92">
        <f t="shared" si="486"/>
        <v>362044.4</v>
      </c>
      <c r="BI86" s="92">
        <f t="shared" si="486"/>
        <v>368971.93000000005</v>
      </c>
      <c r="BJ86" s="93">
        <f t="shared" si="486"/>
        <v>316219.14999999997</v>
      </c>
      <c r="BK86" s="210">
        <f t="shared" si="487"/>
        <v>236800.72</v>
      </c>
      <c r="BL86" s="92">
        <f t="shared" si="487"/>
        <v>348408.77999999997</v>
      </c>
      <c r="BM86" s="92">
        <f t="shared" si="487"/>
        <v>295568.54000000004</v>
      </c>
      <c r="BN86" s="92">
        <f t="shared" si="488"/>
        <v>307779.48</v>
      </c>
      <c r="BO86" s="92">
        <f t="shared" si="488"/>
        <v>366670.18</v>
      </c>
      <c r="BP86" s="92">
        <f t="shared" si="488"/>
        <v>408503.61999999994</v>
      </c>
      <c r="BQ86" s="92">
        <f t="shared" si="489"/>
        <v>453075.71999999991</v>
      </c>
      <c r="BR86" s="92">
        <f t="shared" si="489"/>
        <v>451660.92999999993</v>
      </c>
      <c r="BS86" s="92">
        <f t="shared" si="489"/>
        <v>480632.71</v>
      </c>
      <c r="BT86" s="92">
        <f t="shared" si="490"/>
        <v>481710.89</v>
      </c>
      <c r="BU86" s="92">
        <f t="shared" si="490"/>
        <v>379066.52</v>
      </c>
      <c r="BV86" s="93">
        <f t="shared" si="490"/>
        <v>380113.99</v>
      </c>
      <c r="BW86" s="210">
        <f t="shared" si="491"/>
        <v>391044.41000000003</v>
      </c>
      <c r="BX86" s="92">
        <f t="shared" si="491"/>
        <v>411930.86</v>
      </c>
      <c r="BY86" s="92">
        <f t="shared" si="491"/>
        <v>364524.51999999996</v>
      </c>
      <c r="BZ86" s="92">
        <f t="shared" ref="BZ86:CH86" si="499">SUM(BZ52,BZ62,BZ72,BZ79)</f>
        <v>419160.84</v>
      </c>
      <c r="CA86" s="92">
        <f t="shared" si="499"/>
        <v>411748.47000000003</v>
      </c>
      <c r="CB86" s="92">
        <f t="shared" si="499"/>
        <v>477738.37</v>
      </c>
      <c r="CC86" s="92">
        <f t="shared" si="499"/>
        <v>524696.78999999992</v>
      </c>
      <c r="CD86" s="92">
        <f t="shared" si="499"/>
        <v>541205.13</v>
      </c>
      <c r="CE86" s="92">
        <f t="shared" si="499"/>
        <v>493896.33</v>
      </c>
      <c r="CF86" s="92">
        <f t="shared" si="499"/>
        <v>440468.52999999997</v>
      </c>
      <c r="CG86" s="92">
        <f t="shared" si="499"/>
        <v>392755.96</v>
      </c>
      <c r="CH86" s="93">
        <f t="shared" si="499"/>
        <v>479730.2</v>
      </c>
      <c r="CI86" s="210">
        <f t="shared" si="493"/>
        <v>458196.44999999995</v>
      </c>
      <c r="CJ86" s="92">
        <f t="shared" si="493"/>
        <v>403303.89</v>
      </c>
      <c r="CK86" s="92">
        <f t="shared" si="493"/>
        <v>352043.87</v>
      </c>
      <c r="CL86" s="92">
        <f t="shared" ref="CL86:DO86" si="500">SUM(CL52,CL62,CL72,CL79)</f>
        <v>396041.31000000006</v>
      </c>
      <c r="CM86" s="92">
        <f t="shared" si="500"/>
        <v>464974.13000000006</v>
      </c>
      <c r="CN86" s="92">
        <f t="shared" si="500"/>
        <v>557357.67999999993</v>
      </c>
      <c r="CO86" s="92">
        <f t="shared" si="500"/>
        <v>593001.71000000008</v>
      </c>
      <c r="CP86" s="92">
        <f t="shared" si="500"/>
        <v>594553.33000000007</v>
      </c>
      <c r="CQ86" s="92">
        <f t="shared" si="500"/>
        <v>576047.32999999996</v>
      </c>
      <c r="CR86" s="92">
        <f t="shared" si="500"/>
        <v>481120.64999999997</v>
      </c>
      <c r="CS86" s="92">
        <f t="shared" si="500"/>
        <v>405905.92000000004</v>
      </c>
      <c r="CT86" s="93">
        <f t="shared" si="500"/>
        <v>466016.05</v>
      </c>
      <c r="CU86" s="91">
        <f t="shared" si="500"/>
        <v>487335.05999999994</v>
      </c>
      <c r="CV86" s="92">
        <f t="shared" si="500"/>
        <v>458179.69999999995</v>
      </c>
      <c r="CW86" s="92">
        <f t="shared" si="500"/>
        <v>484761.06999999995</v>
      </c>
      <c r="CX86" s="92">
        <f t="shared" si="500"/>
        <v>446625.07</v>
      </c>
      <c r="CY86" s="92">
        <f t="shared" si="500"/>
        <v>445011.60000000003</v>
      </c>
      <c r="CZ86" s="92">
        <f t="shared" si="500"/>
        <v>634543.61</v>
      </c>
      <c r="DA86" s="92">
        <f t="shared" si="500"/>
        <v>584643.36</v>
      </c>
      <c r="DB86" s="92">
        <f t="shared" si="500"/>
        <v>694523.66999999993</v>
      </c>
      <c r="DC86" s="92">
        <f t="shared" si="500"/>
        <v>634140.79999999993</v>
      </c>
      <c r="DD86" s="92">
        <f t="shared" si="500"/>
        <v>479024.12</v>
      </c>
      <c r="DE86" s="92">
        <f t="shared" si="500"/>
        <v>467043.98</v>
      </c>
      <c r="DF86" s="93">
        <f t="shared" si="500"/>
        <v>505385.31</v>
      </c>
      <c r="DG86" s="92">
        <f t="shared" si="500"/>
        <v>502425.55999999994</v>
      </c>
      <c r="DH86" s="92">
        <f t="shared" si="500"/>
        <v>505623.25</v>
      </c>
      <c r="DI86" s="92">
        <f t="shared" si="500"/>
        <v>513568.33000000007</v>
      </c>
      <c r="DJ86" s="92">
        <f t="shared" si="500"/>
        <v>461973.86</v>
      </c>
      <c r="DK86" s="92">
        <f t="shared" si="500"/>
        <v>523518.37</v>
      </c>
      <c r="DL86" s="92">
        <f t="shared" si="500"/>
        <v>638154.48</v>
      </c>
      <c r="DM86" s="92">
        <f t="shared" si="500"/>
        <v>702638.70000000007</v>
      </c>
      <c r="DN86" s="92">
        <f t="shared" si="500"/>
        <v>768751.05999999994</v>
      </c>
      <c r="DO86" s="92">
        <f t="shared" si="500"/>
        <v>707562.37</v>
      </c>
      <c r="DP86" s="92">
        <v>542546.49</v>
      </c>
      <c r="DQ86" s="92">
        <v>501444.91</v>
      </c>
      <c r="DR86" s="92">
        <v>542053.76</v>
      </c>
      <c r="DS86" s="92">
        <v>494671.16</v>
      </c>
      <c r="DT86" s="92">
        <v>511612.42</v>
      </c>
      <c r="DU86" s="92">
        <v>479869.8</v>
      </c>
      <c r="DV86" s="352">
        <v>503015.16</v>
      </c>
      <c r="DW86" s="352">
        <v>573874.01</v>
      </c>
      <c r="DX86" s="352">
        <v>666873.76</v>
      </c>
      <c r="DY86" s="92">
        <v>718833.03</v>
      </c>
      <c r="DZ86" s="276">
        <v>812775.9</v>
      </c>
      <c r="EA86" s="92">
        <v>683120.09</v>
      </c>
      <c r="EB86" s="92">
        <v>599565.71</v>
      </c>
      <c r="EC86" s="92">
        <v>572234.30000000005</v>
      </c>
      <c r="ED86" s="92">
        <v>558012.63</v>
      </c>
      <c r="EE86" s="92">
        <f t="shared" si="495"/>
        <v>551437.05000000005</v>
      </c>
      <c r="EF86" s="92">
        <f t="shared" si="495"/>
        <v>532798.34000000008</v>
      </c>
      <c r="EG86" s="92">
        <f t="shared" si="495"/>
        <v>441477.63999999996</v>
      </c>
      <c r="EH86" s="92">
        <f t="shared" si="495"/>
        <v>563692.53</v>
      </c>
      <c r="EI86" s="92">
        <f t="shared" si="495"/>
        <v>597298.84</v>
      </c>
      <c r="EJ86" s="92">
        <f t="shared" si="495"/>
        <v>682773.09</v>
      </c>
      <c r="EK86" s="92">
        <f t="shared" si="495"/>
        <v>751901.04</v>
      </c>
      <c r="EL86" s="92">
        <f t="shared" si="495"/>
        <v>745014.93</v>
      </c>
      <c r="EM86" s="92">
        <f t="shared" si="495"/>
        <v>722304.9</v>
      </c>
      <c r="EN86" s="92">
        <f t="shared" si="495"/>
        <v>825212.88</v>
      </c>
      <c r="EO86" s="92">
        <f t="shared" si="495"/>
        <v>657911.89400000009</v>
      </c>
      <c r="EP86" s="92">
        <f t="shared" si="495"/>
        <v>754207.19000000006</v>
      </c>
      <c r="EQ86" s="92">
        <f t="shared" si="495"/>
        <v>755529.30999999994</v>
      </c>
      <c r="ER86" s="92">
        <f t="shared" si="495"/>
        <v>734907.75999999989</v>
      </c>
      <c r="ES86" s="92">
        <f t="shared" si="495"/>
        <v>658663.44999999995</v>
      </c>
      <c r="ET86" s="92">
        <f t="shared" si="495"/>
        <v>695425.37999999989</v>
      </c>
      <c r="EU86" s="92">
        <f t="shared" si="496"/>
        <v>627047.37</v>
      </c>
      <c r="EV86" s="92">
        <f t="shared" si="496"/>
        <v>835645.12</v>
      </c>
      <c r="EW86" s="92">
        <f t="shared" si="496"/>
        <v>914246.01</v>
      </c>
      <c r="EX86" s="92">
        <f t="shared" si="496"/>
        <v>941066.77</v>
      </c>
      <c r="EY86" s="92">
        <f t="shared" si="496"/>
        <v>932259.62</v>
      </c>
      <c r="EZ86" s="92">
        <f t="shared" si="496"/>
        <v>862635.92</v>
      </c>
      <c r="FA86" s="92">
        <f t="shared" si="496"/>
        <v>673600.49</v>
      </c>
      <c r="FB86" s="92">
        <f t="shared" si="496"/>
        <v>742456.46</v>
      </c>
      <c r="FC86" s="92">
        <f t="shared" si="496"/>
        <v>757527.41</v>
      </c>
      <c r="FD86" s="92">
        <f t="shared" si="496"/>
        <v>722097.4800000001</v>
      </c>
      <c r="FE86" s="92">
        <f t="shared" si="496"/>
        <v>718602.94</v>
      </c>
      <c r="FF86" s="92">
        <f t="shared" si="496"/>
        <v>683723.07000000007</v>
      </c>
      <c r="FG86" s="92">
        <f t="shared" si="496"/>
        <v>747138.5</v>
      </c>
      <c r="FH86" s="92">
        <f t="shared" si="496"/>
        <v>838427.57000000007</v>
      </c>
      <c r="FI86" s="92">
        <f t="shared" ref="FI86:FN86" si="501">SUM(FI52,FI62,FI72,FI79)</f>
        <v>768672.07</v>
      </c>
      <c r="FJ86" s="92">
        <f t="shared" si="501"/>
        <v>824297.2699999999</v>
      </c>
      <c r="FK86" s="92">
        <f t="shared" si="501"/>
        <v>751574.7</v>
      </c>
      <c r="FL86" s="92">
        <f t="shared" si="501"/>
        <v>680322.42</v>
      </c>
      <c r="FM86" s="92">
        <f t="shared" si="501"/>
        <v>636964.29</v>
      </c>
      <c r="FN86" s="92">
        <f t="shared" si="501"/>
        <v>613298.77</v>
      </c>
      <c r="FO86" s="92">
        <f t="shared" ref="FO86:FT86" si="502">SUM(FO52,FO62,FO72,FO79)</f>
        <v>635366.29</v>
      </c>
      <c r="FP86" s="92">
        <f t="shared" si="502"/>
        <v>567088.14</v>
      </c>
      <c r="FQ86" s="92">
        <f t="shared" si="502"/>
        <v>590393.01</v>
      </c>
      <c r="FR86" s="92">
        <f t="shared" si="502"/>
        <v>601085.98</v>
      </c>
      <c r="FS86" s="92">
        <f t="shared" si="502"/>
        <v>616064.53999999992</v>
      </c>
      <c r="FT86" s="92">
        <f t="shared" si="502"/>
        <v>716069.37</v>
      </c>
    </row>
    <row r="87" spans="1:176" ht="13.8" thickTop="1" x14ac:dyDescent="0.25">
      <c r="B87" s="3" t="s">
        <v>9</v>
      </c>
      <c r="C87" s="115">
        <f t="shared" ref="C87:Q87" si="503">SUM(C85:C86)</f>
        <v>506383.64839999995</v>
      </c>
      <c r="D87" s="94">
        <f t="shared" si="503"/>
        <v>471915.02039999992</v>
      </c>
      <c r="E87" s="94">
        <f t="shared" si="503"/>
        <v>351098.98397000006</v>
      </c>
      <c r="F87" s="94">
        <f t="shared" si="503"/>
        <v>392707.01100999996</v>
      </c>
      <c r="G87" s="94">
        <f t="shared" si="503"/>
        <v>568489.03416999988</v>
      </c>
      <c r="H87" s="94">
        <f t="shared" si="503"/>
        <v>574279.02618000016</v>
      </c>
      <c r="I87" s="94">
        <f t="shared" si="503"/>
        <v>542579.99488999986</v>
      </c>
      <c r="J87" s="94">
        <f t="shared" si="503"/>
        <v>573214.06000000006</v>
      </c>
      <c r="K87" s="94">
        <f t="shared" si="503"/>
        <v>654967.59</v>
      </c>
      <c r="L87" s="94">
        <f t="shared" si="503"/>
        <v>537864.14339999994</v>
      </c>
      <c r="M87" s="94">
        <f t="shared" si="503"/>
        <v>387567.48000000004</v>
      </c>
      <c r="N87" s="107">
        <f t="shared" si="503"/>
        <v>365896.58399999997</v>
      </c>
      <c r="O87" s="115">
        <f t="shared" si="503"/>
        <v>392726</v>
      </c>
      <c r="P87" s="94">
        <f t="shared" si="503"/>
        <v>420573</v>
      </c>
      <c r="Q87" s="94">
        <f t="shared" si="503"/>
        <v>425986</v>
      </c>
      <c r="R87" s="94">
        <f>SUM(R85:R86)</f>
        <v>519763.3</v>
      </c>
      <c r="S87" s="94">
        <f>SUM(S85:S86)</f>
        <v>363191.42000000004</v>
      </c>
      <c r="T87" s="94">
        <f>SUM(T85:T86)</f>
        <v>489793.28999999992</v>
      </c>
      <c r="U87" s="94">
        <f t="shared" ref="U87:Z87" si="504">SUM(U85:U86)</f>
        <v>568321.84</v>
      </c>
      <c r="V87" s="94">
        <f t="shared" si="504"/>
        <v>575373.70000000007</v>
      </c>
      <c r="W87" s="94">
        <f t="shared" si="504"/>
        <v>519375.74</v>
      </c>
      <c r="X87" s="94">
        <f t="shared" si="504"/>
        <v>423117.09000000008</v>
      </c>
      <c r="Y87" s="94">
        <f t="shared" si="504"/>
        <v>339878.5</v>
      </c>
      <c r="Z87" s="107">
        <f t="shared" si="504"/>
        <v>477992.06000000006</v>
      </c>
      <c r="AA87" s="115">
        <f t="shared" ref="AA87:AF87" si="505">SUM(AA85:AA86)</f>
        <v>434928.13</v>
      </c>
      <c r="AB87" s="94">
        <f t="shared" si="505"/>
        <v>410623.73</v>
      </c>
      <c r="AC87" s="94">
        <f t="shared" si="505"/>
        <v>385942</v>
      </c>
      <c r="AD87" s="94">
        <f t="shared" si="505"/>
        <v>402248.99</v>
      </c>
      <c r="AE87" s="94">
        <f t="shared" si="505"/>
        <v>352552.68</v>
      </c>
      <c r="AF87" s="94">
        <f t="shared" si="505"/>
        <v>583775.43000000005</v>
      </c>
      <c r="AG87" s="94">
        <f t="shared" ref="AG87:AL87" si="506">SUM(AG85:AG86)</f>
        <v>552007.43999999994</v>
      </c>
      <c r="AH87" s="94">
        <f t="shared" si="506"/>
        <v>603150.39999999991</v>
      </c>
      <c r="AI87" s="94">
        <f t="shared" si="506"/>
        <v>577216.44000000006</v>
      </c>
      <c r="AJ87" s="94">
        <f t="shared" si="506"/>
        <v>503541.06</v>
      </c>
      <c r="AK87" s="94">
        <f t="shared" si="506"/>
        <v>499794.08999999997</v>
      </c>
      <c r="AL87" s="107">
        <f t="shared" si="506"/>
        <v>435138.55999999994</v>
      </c>
      <c r="AM87" s="115">
        <f t="shared" ref="AM87:AR87" si="507">SUM(AM85:AM86)</f>
        <v>439510.15</v>
      </c>
      <c r="AN87" s="94">
        <f t="shared" si="507"/>
        <v>474346.60000000003</v>
      </c>
      <c r="AO87" s="94">
        <f t="shared" si="507"/>
        <v>416958.15</v>
      </c>
      <c r="AP87" s="94">
        <f t="shared" si="507"/>
        <v>384492.87</v>
      </c>
      <c r="AQ87" s="94">
        <f t="shared" si="507"/>
        <v>466526.27</v>
      </c>
      <c r="AR87" s="94">
        <f t="shared" si="507"/>
        <v>587712.74</v>
      </c>
      <c r="AS87" s="94">
        <f t="shared" ref="AS87:AX87" si="508">SUM(AS85:AS86)</f>
        <v>656784.37999999989</v>
      </c>
      <c r="AT87" s="94">
        <f t="shared" si="508"/>
        <v>667090.80999999994</v>
      </c>
      <c r="AU87" s="94">
        <f t="shared" si="508"/>
        <v>628648.47</v>
      </c>
      <c r="AV87" s="94">
        <f t="shared" si="508"/>
        <v>593260.79999999993</v>
      </c>
      <c r="AW87" s="94">
        <f t="shared" si="508"/>
        <v>483457.27</v>
      </c>
      <c r="AX87" s="107">
        <f t="shared" si="508"/>
        <v>483112.57999999996</v>
      </c>
      <c r="AY87" s="115">
        <f t="shared" ref="AY87:BJ87" si="509">SUM(AY85:AY86)</f>
        <v>471217.75</v>
      </c>
      <c r="AZ87" s="94">
        <f t="shared" si="509"/>
        <v>444522.14</v>
      </c>
      <c r="BA87" s="94">
        <f t="shared" si="509"/>
        <v>452261.95000000007</v>
      </c>
      <c r="BB87" s="94">
        <f t="shared" si="509"/>
        <v>425272.32000000001</v>
      </c>
      <c r="BC87" s="94">
        <f t="shared" si="509"/>
        <v>542337.65</v>
      </c>
      <c r="BD87" s="94">
        <f t="shared" si="509"/>
        <v>618236.98</v>
      </c>
      <c r="BE87" s="94">
        <f t="shared" si="509"/>
        <v>638534.58000000007</v>
      </c>
      <c r="BF87" s="94">
        <f t="shared" si="509"/>
        <v>690737.06</v>
      </c>
      <c r="BG87" s="94">
        <f t="shared" si="509"/>
        <v>646801.76</v>
      </c>
      <c r="BH87" s="94">
        <f t="shared" si="509"/>
        <v>554270.9</v>
      </c>
      <c r="BI87" s="94">
        <f t="shared" si="509"/>
        <v>514341.71000000008</v>
      </c>
      <c r="BJ87" s="107">
        <f t="shared" si="509"/>
        <v>473628.73</v>
      </c>
      <c r="BK87" s="115">
        <f t="shared" ref="BK87:BP87" si="510">SUM(BK85:BK86)</f>
        <v>408872.37</v>
      </c>
      <c r="BL87" s="94">
        <f t="shared" si="510"/>
        <v>529794.46</v>
      </c>
      <c r="BM87" s="94">
        <f t="shared" si="510"/>
        <v>436276.99000000005</v>
      </c>
      <c r="BN87" s="94">
        <f t="shared" si="510"/>
        <v>434906</v>
      </c>
      <c r="BO87" s="94">
        <f t="shared" si="510"/>
        <v>517178.64</v>
      </c>
      <c r="BP87" s="94">
        <f t="shared" si="510"/>
        <v>589405.02</v>
      </c>
      <c r="BQ87" s="94">
        <f t="shared" ref="BQ87:BV87" si="511">SUM(BQ85:BQ86)</f>
        <v>652758.42999999993</v>
      </c>
      <c r="BR87" s="94">
        <f t="shared" si="511"/>
        <v>670215.35999999987</v>
      </c>
      <c r="BS87" s="94">
        <f t="shared" si="511"/>
        <v>692363.41</v>
      </c>
      <c r="BT87" s="94">
        <f t="shared" si="511"/>
        <v>660878.91</v>
      </c>
      <c r="BU87" s="94">
        <f t="shared" si="511"/>
        <v>505185.54000000004</v>
      </c>
      <c r="BV87" s="107">
        <f t="shared" si="511"/>
        <v>509526.3</v>
      </c>
      <c r="BW87" s="115">
        <f t="shared" ref="BW87:CB87" si="512">SUM(BW85:BW86)</f>
        <v>541199.42000000004</v>
      </c>
      <c r="BX87" s="94">
        <f t="shared" si="512"/>
        <v>547271.86</v>
      </c>
      <c r="BY87" s="94">
        <f t="shared" si="512"/>
        <v>482965.78999999992</v>
      </c>
      <c r="BZ87" s="94">
        <f t="shared" si="512"/>
        <v>532675.06000000006</v>
      </c>
      <c r="CA87" s="94">
        <f t="shared" si="512"/>
        <v>532812.32000000007</v>
      </c>
      <c r="CB87" s="94">
        <f t="shared" si="512"/>
        <v>645821.49</v>
      </c>
      <c r="CC87" s="94">
        <f t="shared" ref="CC87:DK87" si="513">SUM(CC85:CC86)</f>
        <v>710733.3899999999</v>
      </c>
      <c r="CD87" s="94">
        <f t="shared" si="513"/>
        <v>723945.49</v>
      </c>
      <c r="CE87" s="94">
        <f t="shared" si="513"/>
        <v>632003.58000000007</v>
      </c>
      <c r="CF87" s="94">
        <f t="shared" si="513"/>
        <v>543881.84</v>
      </c>
      <c r="CG87" s="94">
        <f t="shared" si="513"/>
        <v>469532.86000000004</v>
      </c>
      <c r="CH87" s="107">
        <f t="shared" si="513"/>
        <v>564570.44000000006</v>
      </c>
      <c r="CI87" s="115">
        <f t="shared" si="513"/>
        <v>553743</v>
      </c>
      <c r="CJ87" s="94">
        <f t="shared" si="513"/>
        <v>494640.48</v>
      </c>
      <c r="CK87" s="94">
        <f t="shared" si="513"/>
        <v>432668.33999999997</v>
      </c>
      <c r="CL87" s="94">
        <f t="shared" si="513"/>
        <v>467948.64000000007</v>
      </c>
      <c r="CM87" s="94">
        <f t="shared" si="513"/>
        <v>548562.62000000011</v>
      </c>
      <c r="CN87" s="94">
        <f t="shared" si="513"/>
        <v>662256.21</v>
      </c>
      <c r="CO87" s="94">
        <f t="shared" si="513"/>
        <v>727493.01000000013</v>
      </c>
      <c r="CP87" s="94">
        <f t="shared" si="513"/>
        <v>727097.42</v>
      </c>
      <c r="CQ87" s="94">
        <f t="shared" si="513"/>
        <v>691009.85</v>
      </c>
      <c r="CR87" s="94">
        <f t="shared" si="513"/>
        <v>568257.68999999994</v>
      </c>
      <c r="CS87" s="94">
        <f t="shared" si="513"/>
        <v>473615.57000000007</v>
      </c>
      <c r="CT87" s="96">
        <f t="shared" si="513"/>
        <v>542435.16</v>
      </c>
      <c r="CU87" s="94">
        <f t="shared" si="513"/>
        <v>584229.35</v>
      </c>
      <c r="CV87" s="94">
        <f t="shared" si="513"/>
        <v>547569.14999999991</v>
      </c>
      <c r="CW87" s="94">
        <f t="shared" si="513"/>
        <v>564296.59</v>
      </c>
      <c r="CX87" s="94">
        <f t="shared" si="513"/>
        <v>509081.32</v>
      </c>
      <c r="CY87" s="94">
        <f t="shared" si="513"/>
        <v>515543.30000000005</v>
      </c>
      <c r="CZ87" s="94">
        <f t="shared" si="513"/>
        <v>737500.91999999993</v>
      </c>
      <c r="DA87" s="94">
        <f t="shared" si="513"/>
        <v>692741.76</v>
      </c>
      <c r="DB87" s="94">
        <f t="shared" si="513"/>
        <v>812368.69</v>
      </c>
      <c r="DC87" s="94">
        <f t="shared" si="513"/>
        <v>741523.7699999999</v>
      </c>
      <c r="DD87" s="94">
        <f t="shared" si="513"/>
        <v>554944.63</v>
      </c>
      <c r="DE87" s="94">
        <f t="shared" si="513"/>
        <v>527696.72</v>
      </c>
      <c r="DF87" s="96">
        <f t="shared" si="513"/>
        <v>568457.07999999996</v>
      </c>
      <c r="DG87" s="94">
        <f t="shared" si="513"/>
        <v>576636.94999999995</v>
      </c>
      <c r="DH87" s="94">
        <f t="shared" si="513"/>
        <v>587252.32999999996</v>
      </c>
      <c r="DI87" s="94">
        <f t="shared" si="513"/>
        <v>574342.66</v>
      </c>
      <c r="DJ87" s="94">
        <f t="shared" si="513"/>
        <v>522024.66</v>
      </c>
      <c r="DK87" s="94">
        <f t="shared" si="513"/>
        <v>590912.69999999995</v>
      </c>
      <c r="DL87" s="94">
        <f t="shared" ref="DL87:FH87" si="514">SUM(DL85:DL86)</f>
        <v>729871.35999999999</v>
      </c>
      <c r="DM87" s="94">
        <f t="shared" si="514"/>
        <v>813063.77</v>
      </c>
      <c r="DN87" s="94">
        <f t="shared" si="514"/>
        <v>884954.62999999989</v>
      </c>
      <c r="DO87" s="94">
        <f t="shared" si="514"/>
        <v>813686.17</v>
      </c>
      <c r="DP87" s="94">
        <f t="shared" si="514"/>
        <v>615277.91999999993</v>
      </c>
      <c r="DQ87" s="94">
        <f t="shared" si="514"/>
        <v>557163.55999999994</v>
      </c>
      <c r="DR87" s="94">
        <f t="shared" si="514"/>
        <v>601663.86</v>
      </c>
      <c r="DS87" s="94">
        <f t="shared" si="514"/>
        <v>559780.13</v>
      </c>
      <c r="DT87" s="94">
        <f t="shared" si="514"/>
        <v>571274.12</v>
      </c>
      <c r="DU87" s="94">
        <f t="shared" si="514"/>
        <v>535237.15</v>
      </c>
      <c r="DV87" s="358">
        <f t="shared" si="514"/>
        <v>559357.24</v>
      </c>
      <c r="DW87" s="358">
        <f t="shared" si="514"/>
        <v>635583.57999999996</v>
      </c>
      <c r="DX87" s="358">
        <f t="shared" si="514"/>
        <v>726056.47</v>
      </c>
      <c r="DY87" s="358">
        <f t="shared" si="514"/>
        <v>784002.68</v>
      </c>
      <c r="DZ87" s="358">
        <f t="shared" si="514"/>
        <v>887688.22</v>
      </c>
      <c r="EA87" s="358">
        <f t="shared" si="514"/>
        <v>744736.6</v>
      </c>
      <c r="EB87" s="358">
        <f t="shared" si="514"/>
        <v>641589.19999999995</v>
      </c>
      <c r="EC87" s="358">
        <f t="shared" si="514"/>
        <v>606620.29</v>
      </c>
      <c r="ED87" s="358">
        <f t="shared" si="514"/>
        <v>592641.62</v>
      </c>
      <c r="EE87" s="358">
        <f t="shared" si="514"/>
        <v>597747.26</v>
      </c>
      <c r="EF87" s="358">
        <f t="shared" si="514"/>
        <v>569991.47000000009</v>
      </c>
      <c r="EG87" s="358">
        <f t="shared" si="514"/>
        <v>474460.74999999994</v>
      </c>
      <c r="EH87" s="358">
        <f t="shared" si="514"/>
        <v>594285.92000000004</v>
      </c>
      <c r="EI87" s="358">
        <f t="shared" si="514"/>
        <v>631135.03</v>
      </c>
      <c r="EJ87" s="358">
        <f t="shared" si="514"/>
        <v>732136.24</v>
      </c>
      <c r="EK87" s="358">
        <f t="shared" si="514"/>
        <v>814299.45000000007</v>
      </c>
      <c r="EL87" s="358">
        <f t="shared" si="514"/>
        <v>806942.24</v>
      </c>
      <c r="EM87" s="358">
        <f t="shared" si="514"/>
        <v>781470.41</v>
      </c>
      <c r="EN87" s="358">
        <f t="shared" si="514"/>
        <v>869501.48</v>
      </c>
      <c r="EO87" s="358">
        <f t="shared" si="514"/>
        <v>688324.58400000003</v>
      </c>
      <c r="EP87" s="358">
        <f t="shared" si="514"/>
        <v>796756.39</v>
      </c>
      <c r="EQ87" s="358">
        <f t="shared" si="514"/>
        <v>803558.6</v>
      </c>
      <c r="ER87" s="358">
        <f t="shared" si="514"/>
        <v>781193.37999999989</v>
      </c>
      <c r="ES87" s="358">
        <f t="shared" si="514"/>
        <v>694718.8899999999</v>
      </c>
      <c r="ET87" s="358">
        <f t="shared" si="514"/>
        <v>724227.69</v>
      </c>
      <c r="EU87" s="358">
        <f t="shared" si="514"/>
        <v>660006.12</v>
      </c>
      <c r="EV87" s="358">
        <f t="shared" si="514"/>
        <v>880548.68</v>
      </c>
      <c r="EW87" s="358">
        <f t="shared" si="514"/>
        <v>968990.31</v>
      </c>
      <c r="EX87" s="358">
        <f t="shared" si="514"/>
        <v>997554.91</v>
      </c>
      <c r="EY87" s="358">
        <f t="shared" si="514"/>
        <v>986365.69</v>
      </c>
      <c r="EZ87" s="358">
        <f t="shared" si="514"/>
        <v>901895.7300000001</v>
      </c>
      <c r="FA87" s="358">
        <f t="shared" si="514"/>
        <v>704349.04</v>
      </c>
      <c r="FB87" s="358">
        <f t="shared" si="514"/>
        <v>774361.69</v>
      </c>
      <c r="FC87" s="358">
        <f t="shared" si="514"/>
        <v>800074.87</v>
      </c>
      <c r="FD87" s="358">
        <f t="shared" si="514"/>
        <v>759881.82000000007</v>
      </c>
      <c r="FE87" s="358">
        <f t="shared" si="514"/>
        <v>757237.1399999999</v>
      </c>
      <c r="FF87" s="358">
        <f t="shared" si="514"/>
        <v>711952.07000000007</v>
      </c>
      <c r="FG87" s="358">
        <f t="shared" si="514"/>
        <v>777160.5</v>
      </c>
      <c r="FH87" s="358">
        <f t="shared" si="514"/>
        <v>879337.57000000007</v>
      </c>
      <c r="FI87" s="358">
        <f t="shared" ref="FI87:FN87" si="515">SUM(FI85:FI86)</f>
        <v>821730.84</v>
      </c>
      <c r="FJ87" s="358">
        <f t="shared" si="515"/>
        <v>883201.09999999986</v>
      </c>
      <c r="FK87" s="358">
        <f t="shared" si="515"/>
        <v>800587.03999999992</v>
      </c>
      <c r="FL87" s="358">
        <f t="shared" si="515"/>
        <v>718528.67</v>
      </c>
      <c r="FM87" s="358">
        <f t="shared" si="515"/>
        <v>664037.44000000006</v>
      </c>
      <c r="FN87" s="358">
        <f t="shared" si="515"/>
        <v>641480.58000000007</v>
      </c>
      <c r="FO87" s="358">
        <f t="shared" ref="FO87:FT87" si="516">SUM(FO85:FO86)</f>
        <v>670841.82000000007</v>
      </c>
      <c r="FP87" s="358">
        <f t="shared" si="516"/>
        <v>598713.62</v>
      </c>
      <c r="FQ87" s="358">
        <f t="shared" si="516"/>
        <v>615785.54</v>
      </c>
      <c r="FR87" s="358">
        <f t="shared" si="516"/>
        <v>625942.48</v>
      </c>
      <c r="FS87" s="358">
        <f t="shared" si="516"/>
        <v>645276.39999999991</v>
      </c>
      <c r="FT87" s="358">
        <f t="shared" si="516"/>
        <v>753340.24</v>
      </c>
    </row>
    <row r="88" spans="1:176" x14ac:dyDescent="0.25">
      <c r="B88" s="3" t="s">
        <v>10</v>
      </c>
      <c r="C88" s="177">
        <f t="shared" ref="C88:Q88" si="517">SUM(C85)/C87</f>
        <v>0.95670348347685708</v>
      </c>
      <c r="D88" s="14">
        <f t="shared" si="517"/>
        <v>0.93056216356024257</v>
      </c>
      <c r="E88" s="14">
        <f t="shared" si="517"/>
        <v>0.81910553593220647</v>
      </c>
      <c r="F88" s="14">
        <f t="shared" si="517"/>
        <v>0.76509629689893421</v>
      </c>
      <c r="G88" s="14">
        <f t="shared" si="517"/>
        <v>0.82377558218644209</v>
      </c>
      <c r="H88" s="14">
        <f t="shared" si="517"/>
        <v>0.67271747281070104</v>
      </c>
      <c r="I88" s="14">
        <f t="shared" si="517"/>
        <v>0.69903171046122592</v>
      </c>
      <c r="J88" s="14">
        <f t="shared" si="517"/>
        <v>0.61593429861088889</v>
      </c>
      <c r="K88" s="14">
        <f t="shared" si="517"/>
        <v>0.65889594628644144</v>
      </c>
      <c r="L88" s="14">
        <f t="shared" si="517"/>
        <v>0.59495001465829267</v>
      </c>
      <c r="M88" s="14">
        <f t="shared" si="517"/>
        <v>0.58554381291227009</v>
      </c>
      <c r="N88" s="23">
        <f t="shared" si="517"/>
        <v>0.69395326740738317</v>
      </c>
      <c r="O88" s="177">
        <f t="shared" si="517"/>
        <v>0.69406405483721478</v>
      </c>
      <c r="P88" s="14">
        <f t="shared" si="517"/>
        <v>0.67071590425443384</v>
      </c>
      <c r="Q88" s="14">
        <f t="shared" si="517"/>
        <v>0.60106435422760374</v>
      </c>
      <c r="R88" s="14">
        <f>SUM(R85)/R87</f>
        <v>0.42352649754224658</v>
      </c>
      <c r="S88" s="14">
        <f>SUM(S85)/S87</f>
        <v>0.76900762138048306</v>
      </c>
      <c r="T88" s="14">
        <f>SUM(T85)/T87</f>
        <v>0.71344550269359552</v>
      </c>
      <c r="U88" s="14">
        <f t="shared" ref="U88:Z88" si="518">SUM(U85)/U87</f>
        <v>0.68098912053071903</v>
      </c>
      <c r="V88" s="14">
        <f t="shared" si="518"/>
        <v>0.70647643435909568</v>
      </c>
      <c r="W88" s="14">
        <f t="shared" si="518"/>
        <v>0.66378165834237857</v>
      </c>
      <c r="X88" s="14">
        <f t="shared" si="518"/>
        <v>0.66469229593160606</v>
      </c>
      <c r="Y88" s="14">
        <f t="shared" si="518"/>
        <v>0.66084995079123854</v>
      </c>
      <c r="Z88" s="23">
        <f t="shared" si="518"/>
        <v>0.47654333421354317</v>
      </c>
      <c r="AA88" s="177">
        <f t="shared" ref="AA88:AF88" si="519">SUM(AA85)/AA87</f>
        <v>0.55760219510290121</v>
      </c>
      <c r="AB88" s="14">
        <f t="shared" si="519"/>
        <v>0.58056330548650958</v>
      </c>
      <c r="AC88" s="14">
        <f t="shared" si="519"/>
        <v>0.5372845660746951</v>
      </c>
      <c r="AD88" s="14">
        <f t="shared" si="519"/>
        <v>0.48066959720644664</v>
      </c>
      <c r="AE88" s="14">
        <f t="shared" si="519"/>
        <v>0.61244041599683774</v>
      </c>
      <c r="AF88" s="14">
        <f t="shared" si="519"/>
        <v>0.49362181960963997</v>
      </c>
      <c r="AG88" s="14">
        <f t="shared" ref="AG88:AL88" si="520">SUM(AG85)/AG87</f>
        <v>0.55127168213529876</v>
      </c>
      <c r="AH88" s="14">
        <f t="shared" si="520"/>
        <v>0.53243771371120696</v>
      </c>
      <c r="AI88" s="14">
        <f t="shared" si="520"/>
        <v>0.51756791611825881</v>
      </c>
      <c r="AJ88" s="14">
        <f t="shared" si="520"/>
        <v>0.48767016139657016</v>
      </c>
      <c r="AK88" s="14">
        <f t="shared" si="520"/>
        <v>0.41656256879708198</v>
      </c>
      <c r="AL88" s="23">
        <f t="shared" si="520"/>
        <v>0.4596586200037065</v>
      </c>
      <c r="AM88" s="177">
        <f t="shared" ref="AM88:AR88" si="521">SUM(AM85)/AM87</f>
        <v>0.48473196807855295</v>
      </c>
      <c r="AN88" s="14">
        <f t="shared" si="521"/>
        <v>0.41598811923601853</v>
      </c>
      <c r="AO88" s="14">
        <f t="shared" si="521"/>
        <v>0.41115097522377242</v>
      </c>
      <c r="AP88" s="14">
        <f t="shared" si="521"/>
        <v>0.41506397764931241</v>
      </c>
      <c r="AQ88" s="14">
        <f t="shared" si="521"/>
        <v>0.38632152483074528</v>
      </c>
      <c r="AR88" s="14">
        <f t="shared" si="521"/>
        <v>0.43193360075876519</v>
      </c>
      <c r="AS88" s="14">
        <f t="shared" ref="AS88:AX88" si="522">SUM(AS85)/AS87</f>
        <v>0.44928608076824239</v>
      </c>
      <c r="AT88" s="14">
        <f t="shared" si="522"/>
        <v>0.42681295519571022</v>
      </c>
      <c r="AU88" s="14">
        <f t="shared" si="522"/>
        <v>0.44047623308460448</v>
      </c>
      <c r="AV88" s="14">
        <f t="shared" si="522"/>
        <v>0.40194159128666523</v>
      </c>
      <c r="AW88" s="14">
        <f t="shared" si="522"/>
        <v>0.33620721020494737</v>
      </c>
      <c r="AX88" s="23">
        <f t="shared" si="522"/>
        <v>0.36642856619465386</v>
      </c>
      <c r="AY88" s="177">
        <f t="shared" ref="AY88:BJ88" si="523">SUM(AY85)/AY87</f>
        <v>0.36477129734607833</v>
      </c>
      <c r="AZ88" s="14">
        <f t="shared" si="523"/>
        <v>0.35231237301251178</v>
      </c>
      <c r="BA88" s="14">
        <f t="shared" si="523"/>
        <v>0.36190455553468509</v>
      </c>
      <c r="BB88" s="14">
        <f t="shared" si="523"/>
        <v>0.38326479842374889</v>
      </c>
      <c r="BC88" s="14">
        <f t="shared" si="523"/>
        <v>0.34453400017498326</v>
      </c>
      <c r="BD88" s="14">
        <f t="shared" si="523"/>
        <v>0.38582918478930195</v>
      </c>
      <c r="BE88" s="14">
        <f t="shared" si="523"/>
        <v>0.39806113554570521</v>
      </c>
      <c r="BF88" s="14">
        <f t="shared" si="523"/>
        <v>0.4070931708803926</v>
      </c>
      <c r="BG88" s="14">
        <f t="shared" si="523"/>
        <v>0.3825969026429365</v>
      </c>
      <c r="BH88" s="14">
        <f t="shared" si="523"/>
        <v>0.34680965571167455</v>
      </c>
      <c r="BI88" s="14">
        <f t="shared" si="523"/>
        <v>0.28263268790703361</v>
      </c>
      <c r="BJ88" s="23">
        <f t="shared" si="523"/>
        <v>0.33234803978213062</v>
      </c>
      <c r="BK88" s="177">
        <f t="shared" ref="BK88:BP88" si="524">SUM(BK85)/BK87</f>
        <v>0.42084440677661838</v>
      </c>
      <c r="BL88" s="14">
        <f t="shared" si="524"/>
        <v>0.34236990700129255</v>
      </c>
      <c r="BM88" s="14">
        <f t="shared" si="524"/>
        <v>0.32252090581261228</v>
      </c>
      <c r="BN88" s="14">
        <f t="shared" si="524"/>
        <v>0.29230803897853791</v>
      </c>
      <c r="BO88" s="14">
        <f t="shared" si="524"/>
        <v>0.29101832202505501</v>
      </c>
      <c r="BP88" s="14">
        <f t="shared" si="524"/>
        <v>0.306922055058167</v>
      </c>
      <c r="BQ88" s="14">
        <f t="shared" ref="BQ88:BV88" si="525">SUM(BQ85)/BQ87</f>
        <v>0.30590598423983589</v>
      </c>
      <c r="BR88" s="14">
        <f t="shared" si="525"/>
        <v>0.32609582388562391</v>
      </c>
      <c r="BS88" s="14">
        <f t="shared" si="525"/>
        <v>0.30580862151568639</v>
      </c>
      <c r="BT88" s="14">
        <f t="shared" si="525"/>
        <v>0.2711056704775161</v>
      </c>
      <c r="BU88" s="14">
        <f t="shared" si="525"/>
        <v>0.24964891117033949</v>
      </c>
      <c r="BV88" s="23">
        <f t="shared" si="525"/>
        <v>0.25398553519219713</v>
      </c>
      <c r="BW88" s="177">
        <f t="shared" ref="BW88:CB88" si="526">SUM(BW85)/BW87</f>
        <v>0.27744857893602326</v>
      </c>
      <c r="BX88" s="14">
        <f t="shared" si="526"/>
        <v>0.24730122246738578</v>
      </c>
      <c r="BY88" s="14">
        <f t="shared" si="526"/>
        <v>0.24523739041641027</v>
      </c>
      <c r="BZ88" s="14">
        <f t="shared" si="526"/>
        <v>0.21310218653751123</v>
      </c>
      <c r="CA88" s="14">
        <f t="shared" si="526"/>
        <v>0.22721668673126774</v>
      </c>
      <c r="CB88" s="14">
        <f t="shared" si="526"/>
        <v>0.26026250690419112</v>
      </c>
      <c r="CC88" s="14">
        <f t="shared" ref="CC88:DK88" si="527">SUM(CC85)/CC87</f>
        <v>0.26175300417502551</v>
      </c>
      <c r="CD88" s="14">
        <f t="shared" si="527"/>
        <v>0.25242281708254027</v>
      </c>
      <c r="CE88" s="14">
        <f t="shared" si="527"/>
        <v>0.21852289191146668</v>
      </c>
      <c r="CF88" s="14">
        <f t="shared" si="527"/>
        <v>0.19013929569702126</v>
      </c>
      <c r="CG88" s="14">
        <f t="shared" si="527"/>
        <v>0.16351762898980063</v>
      </c>
      <c r="CH88" s="23">
        <f t="shared" si="527"/>
        <v>0.15027396758498371</v>
      </c>
      <c r="CI88" s="177">
        <f t="shared" si="527"/>
        <v>0.17254674099717743</v>
      </c>
      <c r="CJ88" s="14">
        <f t="shared" si="527"/>
        <v>0.18465247729017245</v>
      </c>
      <c r="CK88" s="14">
        <f t="shared" si="527"/>
        <v>0.186342430324345</v>
      </c>
      <c r="CL88" s="14">
        <f t="shared" si="527"/>
        <v>0.15366500477488296</v>
      </c>
      <c r="CM88" s="14">
        <f t="shared" si="527"/>
        <v>0.15237729832922262</v>
      </c>
      <c r="CN88" s="14">
        <f t="shared" si="527"/>
        <v>0.15839569099699344</v>
      </c>
      <c r="CO88" s="14">
        <f t="shared" si="527"/>
        <v>0.18486954259533023</v>
      </c>
      <c r="CP88" s="14">
        <f t="shared" si="527"/>
        <v>0.18229206479648902</v>
      </c>
      <c r="CQ88" s="14">
        <f t="shared" si="527"/>
        <v>0.16636885856258055</v>
      </c>
      <c r="CR88" s="14">
        <f t="shared" si="527"/>
        <v>0.15334071413974182</v>
      </c>
      <c r="CS88" s="14">
        <f t="shared" si="527"/>
        <v>0.14296331094013653</v>
      </c>
      <c r="CT88" s="23">
        <f t="shared" si="527"/>
        <v>0.140881557161597</v>
      </c>
      <c r="CU88" s="14">
        <f t="shared" si="527"/>
        <v>0.16584974719260509</v>
      </c>
      <c r="CV88" s="14">
        <f t="shared" si="527"/>
        <v>0.16324778340781251</v>
      </c>
      <c r="CW88" s="14">
        <f t="shared" si="527"/>
        <v>0.1409463062677731</v>
      </c>
      <c r="CX88" s="14">
        <f t="shared" si="527"/>
        <v>0.12268423048796998</v>
      </c>
      <c r="CY88" s="14">
        <f t="shared" si="527"/>
        <v>0.13681042892032541</v>
      </c>
      <c r="CZ88" s="14">
        <f t="shared" si="527"/>
        <v>0.13960295805461506</v>
      </c>
      <c r="DA88" s="14">
        <f t="shared" si="527"/>
        <v>0.15604429564055733</v>
      </c>
      <c r="DB88" s="14">
        <f t="shared" si="527"/>
        <v>0.1450634686573162</v>
      </c>
      <c r="DC88" s="14">
        <f t="shared" si="527"/>
        <v>0.14481392821702804</v>
      </c>
      <c r="DD88" s="14">
        <f t="shared" si="527"/>
        <v>0.13680736040278468</v>
      </c>
      <c r="DE88" s="14">
        <f t="shared" si="527"/>
        <v>0.11493863369095794</v>
      </c>
      <c r="DF88" s="23">
        <f t="shared" si="527"/>
        <v>0.1109525630325512</v>
      </c>
      <c r="DG88" s="14">
        <f t="shared" si="527"/>
        <v>0.12869690365835906</v>
      </c>
      <c r="DH88" s="14">
        <f t="shared" si="527"/>
        <v>0.13900171328396432</v>
      </c>
      <c r="DI88" s="14">
        <f t="shared" si="527"/>
        <v>0.10581545518488911</v>
      </c>
      <c r="DJ88" s="14">
        <f t="shared" si="527"/>
        <v>0.11503441235898702</v>
      </c>
      <c r="DK88" s="14">
        <f t="shared" si="527"/>
        <v>0.11405124648700224</v>
      </c>
      <c r="DL88" s="14">
        <f t="shared" ref="DL88:FH88" si="528">SUM(DL85)/DL87</f>
        <v>0.12566170564632104</v>
      </c>
      <c r="DM88" s="14">
        <f t="shared" si="528"/>
        <v>0.13581354141508484</v>
      </c>
      <c r="DN88" s="14">
        <f t="shared" si="528"/>
        <v>0.13131020061446541</v>
      </c>
      <c r="DO88" s="14">
        <f t="shared" si="528"/>
        <v>0.13042350222076404</v>
      </c>
      <c r="DP88" s="14">
        <f t="shared" si="528"/>
        <v>0.11820906883835519</v>
      </c>
      <c r="DQ88" s="14">
        <f t="shared" si="528"/>
        <v>0.10000411728290344</v>
      </c>
      <c r="DR88" s="14">
        <f t="shared" si="528"/>
        <v>9.9075420617751583E-2</v>
      </c>
      <c r="DS88" s="14">
        <f t="shared" si="528"/>
        <v>0.11631168473236091</v>
      </c>
      <c r="DT88" s="14">
        <f t="shared" si="528"/>
        <v>0.10443620306132544</v>
      </c>
      <c r="DU88" s="14">
        <f t="shared" si="528"/>
        <v>0.10344451987310671</v>
      </c>
      <c r="DV88" s="280">
        <f t="shared" si="528"/>
        <v>0.10072646954565208</v>
      </c>
      <c r="DW88" s="280">
        <f t="shared" si="528"/>
        <v>9.7091196094147056E-2</v>
      </c>
      <c r="DX88" s="280">
        <f t="shared" si="528"/>
        <v>8.1512544058728653E-2</v>
      </c>
      <c r="DY88" s="280">
        <f t="shared" si="528"/>
        <v>8.312426942214024E-2</v>
      </c>
      <c r="DZ88" s="280">
        <f t="shared" si="528"/>
        <v>8.4390350476882536E-2</v>
      </c>
      <c r="EA88" s="280">
        <f t="shared" si="528"/>
        <v>8.2735976719822829E-2</v>
      </c>
      <c r="EB88" s="280">
        <f t="shared" si="528"/>
        <v>6.549906076972617E-2</v>
      </c>
      <c r="EC88" s="280">
        <f t="shared" si="528"/>
        <v>5.6684536549214327E-2</v>
      </c>
      <c r="ED88" s="280">
        <f t="shared" si="528"/>
        <v>5.8431586360741923E-2</v>
      </c>
      <c r="EE88" s="280">
        <f t="shared" si="528"/>
        <v>7.7474566759201877E-2</v>
      </c>
      <c r="EF88" s="280">
        <f t="shared" si="528"/>
        <v>6.5252081754837474E-2</v>
      </c>
      <c r="EG88" s="280">
        <f t="shared" si="528"/>
        <v>6.9517046457478318E-2</v>
      </c>
      <c r="EH88" s="280">
        <f t="shared" si="528"/>
        <v>5.1479244199492395E-2</v>
      </c>
      <c r="EI88" s="280">
        <f t="shared" si="528"/>
        <v>5.3611649475390391E-2</v>
      </c>
      <c r="EJ88" s="280">
        <f t="shared" si="528"/>
        <v>6.742344840080583E-2</v>
      </c>
      <c r="EK88" s="280">
        <f t="shared" si="528"/>
        <v>7.6628333716791772E-2</v>
      </c>
      <c r="EL88" s="280">
        <f t="shared" si="528"/>
        <v>7.674317557102972E-2</v>
      </c>
      <c r="EM88" s="280">
        <f t="shared" si="528"/>
        <v>7.5710492992306644E-2</v>
      </c>
      <c r="EN88" s="280">
        <f t="shared" si="528"/>
        <v>5.093562347932979E-2</v>
      </c>
      <c r="EO88" s="280">
        <f t="shared" si="528"/>
        <v>4.4183646359491353E-2</v>
      </c>
      <c r="EP88" s="282">
        <f t="shared" si="528"/>
        <v>5.3403023225204384E-2</v>
      </c>
      <c r="EQ88" s="282">
        <f t="shared" si="528"/>
        <v>5.9770737317726426E-2</v>
      </c>
      <c r="ER88" s="282">
        <f t="shared" si="528"/>
        <v>5.9249887652657783E-2</v>
      </c>
      <c r="ES88" s="282">
        <f t="shared" si="528"/>
        <v>5.1899322904549218E-2</v>
      </c>
      <c r="ET88" s="282">
        <f t="shared" si="528"/>
        <v>3.9769689004848736E-2</v>
      </c>
      <c r="EU88" s="282">
        <f t="shared" si="528"/>
        <v>4.9937036947475581E-2</v>
      </c>
      <c r="EV88" s="282">
        <f t="shared" si="528"/>
        <v>5.0994977358889464E-2</v>
      </c>
      <c r="EW88" s="282">
        <f t="shared" si="528"/>
        <v>5.6496230596980883E-2</v>
      </c>
      <c r="EX88" s="282">
        <f t="shared" si="528"/>
        <v>5.6626597126367702E-2</v>
      </c>
      <c r="EY88" s="282">
        <f t="shared" si="528"/>
        <v>5.4853965976857939E-2</v>
      </c>
      <c r="EZ88" s="282">
        <f t="shared" si="528"/>
        <v>4.3530320295451452E-2</v>
      </c>
      <c r="FA88" s="282">
        <f t="shared" si="528"/>
        <v>4.3655273527454512E-2</v>
      </c>
      <c r="FB88" s="282">
        <f t="shared" si="528"/>
        <v>4.1201973718508721E-2</v>
      </c>
      <c r="FC88" s="282">
        <f t="shared" si="528"/>
        <v>5.3179348077761777E-2</v>
      </c>
      <c r="FD88" s="282">
        <f t="shared" si="528"/>
        <v>4.97239689192722E-2</v>
      </c>
      <c r="FE88" s="282">
        <f t="shared" si="528"/>
        <v>5.101994865175262E-2</v>
      </c>
      <c r="FF88" s="282">
        <f t="shared" si="528"/>
        <v>3.965014105514153E-2</v>
      </c>
      <c r="FG88" s="282">
        <f t="shared" si="528"/>
        <v>3.863037300531872E-2</v>
      </c>
      <c r="FH88" s="282">
        <f t="shared" si="528"/>
        <v>4.6523657575554288E-2</v>
      </c>
      <c r="FI88" s="282">
        <f t="shared" ref="FI88:FN88" si="529">SUM(FI85)/FI87</f>
        <v>6.456952497973667E-2</v>
      </c>
      <c r="FJ88" s="282">
        <f t="shared" si="529"/>
        <v>6.6693565032923993E-2</v>
      </c>
      <c r="FK88" s="282">
        <f t="shared" si="529"/>
        <v>6.1220501396075572E-2</v>
      </c>
      <c r="FL88" s="282">
        <f t="shared" si="529"/>
        <v>5.3172895661908651E-2</v>
      </c>
      <c r="FM88" s="282">
        <f t="shared" si="529"/>
        <v>4.0770517397332291E-2</v>
      </c>
      <c r="FN88" s="282">
        <f t="shared" si="529"/>
        <v>4.3932444533239023E-2</v>
      </c>
      <c r="FO88" s="282">
        <f t="shared" ref="FO88:FT88" si="530">SUM(FO85)/FO87</f>
        <v>5.2882108631808297E-2</v>
      </c>
      <c r="FP88" s="282">
        <f t="shared" si="530"/>
        <v>5.2822382761227318E-2</v>
      </c>
      <c r="FQ88" s="282">
        <f t="shared" si="530"/>
        <v>4.1235995895584042E-2</v>
      </c>
      <c r="FR88" s="282">
        <f t="shared" si="530"/>
        <v>3.9710517809879275E-2</v>
      </c>
      <c r="FS88" s="282">
        <f t="shared" si="530"/>
        <v>4.5270305872026316E-2</v>
      </c>
      <c r="FT88" s="282">
        <f t="shared" si="530"/>
        <v>4.9474152608653961E-2</v>
      </c>
    </row>
    <row r="89" spans="1:176" ht="13.8" thickBot="1" x14ac:dyDescent="0.3">
      <c r="B89" s="4" t="s">
        <v>11</v>
      </c>
      <c r="C89" s="178">
        <f t="shared" ref="C89:Q89" si="531">SUM(C86/C87)</f>
        <v>4.3296516523142939E-2</v>
      </c>
      <c r="D89" s="15">
        <f t="shared" si="531"/>
        <v>6.9437836439757469E-2</v>
      </c>
      <c r="E89" s="15">
        <f t="shared" si="531"/>
        <v>0.18089446406779353</v>
      </c>
      <c r="F89" s="15">
        <f t="shared" si="531"/>
        <v>0.23490370310106576</v>
      </c>
      <c r="G89" s="15">
        <f t="shared" si="531"/>
        <v>0.1762244178135578</v>
      </c>
      <c r="H89" s="15">
        <f t="shared" si="531"/>
        <v>0.3272825271892989</v>
      </c>
      <c r="I89" s="15">
        <f t="shared" si="531"/>
        <v>0.30096828953877403</v>
      </c>
      <c r="J89" s="15">
        <f t="shared" si="531"/>
        <v>0.38406570138911106</v>
      </c>
      <c r="K89" s="15">
        <f t="shared" si="531"/>
        <v>0.34110405371355856</v>
      </c>
      <c r="L89" s="15">
        <f t="shared" si="531"/>
        <v>0.40504998534170744</v>
      </c>
      <c r="M89" s="15">
        <f t="shared" si="531"/>
        <v>0.41445618708772985</v>
      </c>
      <c r="N89" s="24">
        <f t="shared" si="531"/>
        <v>0.30604673259261689</v>
      </c>
      <c r="O89" s="178">
        <f t="shared" si="531"/>
        <v>0.30593594516278527</v>
      </c>
      <c r="P89" s="15">
        <f t="shared" si="531"/>
        <v>0.32928409574556616</v>
      </c>
      <c r="Q89" s="15">
        <f t="shared" si="531"/>
        <v>0.39893564577239626</v>
      </c>
      <c r="R89" s="15">
        <f>SUM(R86/R87)</f>
        <v>0.57647350245775342</v>
      </c>
      <c r="S89" s="15">
        <f>SUM(S86/S87)</f>
        <v>0.23099237861951688</v>
      </c>
      <c r="T89" s="15">
        <f>SUM(T86/T87)</f>
        <v>0.28655449730640453</v>
      </c>
      <c r="U89" s="15">
        <f t="shared" ref="U89:Z89" si="532">SUM(U86/U87)</f>
        <v>0.31901087946928097</v>
      </c>
      <c r="V89" s="15">
        <f t="shared" si="532"/>
        <v>0.29352356564090426</v>
      </c>
      <c r="W89" s="15">
        <f t="shared" si="532"/>
        <v>0.33621834165762149</v>
      </c>
      <c r="X89" s="15">
        <f t="shared" si="532"/>
        <v>0.33530770406839389</v>
      </c>
      <c r="Y89" s="15">
        <f t="shared" si="532"/>
        <v>0.33915004920876141</v>
      </c>
      <c r="Z89" s="24">
        <f t="shared" si="532"/>
        <v>0.52345666578645678</v>
      </c>
      <c r="AA89" s="178">
        <f t="shared" ref="AA89:AF89" si="533">SUM(AA86/AA87)</f>
        <v>0.44239780489709873</v>
      </c>
      <c r="AB89" s="15">
        <f t="shared" si="533"/>
        <v>0.41943669451349053</v>
      </c>
      <c r="AC89" s="15">
        <f t="shared" si="533"/>
        <v>0.46271543392530484</v>
      </c>
      <c r="AD89" s="15">
        <f t="shared" si="533"/>
        <v>0.51933040279355325</v>
      </c>
      <c r="AE89" s="15">
        <f t="shared" si="533"/>
        <v>0.38755958400316226</v>
      </c>
      <c r="AF89" s="15">
        <f t="shared" si="533"/>
        <v>0.50637818039035998</v>
      </c>
      <c r="AG89" s="15">
        <f t="shared" ref="AG89:AL89" si="534">SUM(AG86/AG87)</f>
        <v>0.4487283178647013</v>
      </c>
      <c r="AH89" s="15">
        <f t="shared" si="534"/>
        <v>0.46756228628879304</v>
      </c>
      <c r="AI89" s="15">
        <f t="shared" si="534"/>
        <v>0.48243208388174114</v>
      </c>
      <c r="AJ89" s="15">
        <f t="shared" si="534"/>
        <v>0.51232983860342984</v>
      </c>
      <c r="AK89" s="15">
        <f t="shared" si="534"/>
        <v>0.58343743120291791</v>
      </c>
      <c r="AL89" s="24">
        <f t="shared" si="534"/>
        <v>0.54034137999629361</v>
      </c>
      <c r="AM89" s="178">
        <f t="shared" ref="AM89:AR89" si="535">SUM(AM86/AM87)</f>
        <v>0.5152680319214471</v>
      </c>
      <c r="AN89" s="15">
        <f t="shared" si="535"/>
        <v>0.58401188076398147</v>
      </c>
      <c r="AO89" s="15">
        <f t="shared" si="535"/>
        <v>0.58884902477622747</v>
      </c>
      <c r="AP89" s="15">
        <f t="shared" si="535"/>
        <v>0.58493602235068753</v>
      </c>
      <c r="AQ89" s="15">
        <f t="shared" si="535"/>
        <v>0.61367847516925467</v>
      </c>
      <c r="AR89" s="15">
        <f t="shared" si="535"/>
        <v>0.56806639924123481</v>
      </c>
      <c r="AS89" s="15">
        <f t="shared" ref="AS89:BD89" si="536">SUM(AS86/AS87)</f>
        <v>0.55071391923175772</v>
      </c>
      <c r="AT89" s="15">
        <f t="shared" si="536"/>
        <v>0.57318704480428984</v>
      </c>
      <c r="AU89" s="15">
        <f t="shared" si="536"/>
        <v>0.55952376691539552</v>
      </c>
      <c r="AV89" s="15">
        <f t="shared" si="536"/>
        <v>0.59805840871333482</v>
      </c>
      <c r="AW89" s="15">
        <f t="shared" si="536"/>
        <v>0.66379278979505263</v>
      </c>
      <c r="AX89" s="24">
        <f t="shared" si="536"/>
        <v>0.63357143380534608</v>
      </c>
      <c r="AY89" s="178">
        <f t="shared" si="536"/>
        <v>0.63522870265392173</v>
      </c>
      <c r="AZ89" s="15">
        <f t="shared" si="536"/>
        <v>0.64768762698748816</v>
      </c>
      <c r="BA89" s="15">
        <f t="shared" si="536"/>
        <v>0.63809544446531485</v>
      </c>
      <c r="BB89" s="15">
        <f t="shared" si="536"/>
        <v>0.61673520157625117</v>
      </c>
      <c r="BC89" s="15">
        <f t="shared" si="536"/>
        <v>0.65546599982501674</v>
      </c>
      <c r="BD89" s="15">
        <f t="shared" si="536"/>
        <v>0.61417081521069805</v>
      </c>
      <c r="BE89" s="15">
        <f t="shared" ref="BE89:BJ89" si="537">SUM(BE86/BE87)</f>
        <v>0.60193886445429468</v>
      </c>
      <c r="BF89" s="15">
        <f t="shared" si="537"/>
        <v>0.59290682911960735</v>
      </c>
      <c r="BG89" s="15">
        <f t="shared" si="537"/>
        <v>0.61740309735706345</v>
      </c>
      <c r="BH89" s="15">
        <f t="shared" si="537"/>
        <v>0.65319034428832545</v>
      </c>
      <c r="BI89" s="15">
        <f t="shared" si="537"/>
        <v>0.71736731209296634</v>
      </c>
      <c r="BJ89" s="24">
        <f t="shared" si="537"/>
        <v>0.66765196021786932</v>
      </c>
      <c r="BK89" s="178">
        <f t="shared" ref="BK89:BP89" si="538">SUM(BK86/BK87)</f>
        <v>0.57915559322338173</v>
      </c>
      <c r="BL89" s="15">
        <f t="shared" si="538"/>
        <v>0.65763009299870745</v>
      </c>
      <c r="BM89" s="15">
        <f t="shared" si="538"/>
        <v>0.67747909418738772</v>
      </c>
      <c r="BN89" s="15">
        <f t="shared" si="538"/>
        <v>0.70769196102146203</v>
      </c>
      <c r="BO89" s="15">
        <f t="shared" si="538"/>
        <v>0.70898167797494493</v>
      </c>
      <c r="BP89" s="15">
        <f t="shared" si="538"/>
        <v>0.69307794494183295</v>
      </c>
      <c r="BQ89" s="15">
        <f t="shared" ref="BQ89:BV89" si="539">SUM(BQ86/BQ87)</f>
        <v>0.69409401576016405</v>
      </c>
      <c r="BR89" s="15">
        <f t="shared" si="539"/>
        <v>0.67390417611437614</v>
      </c>
      <c r="BS89" s="15">
        <f t="shared" si="539"/>
        <v>0.69419137848431356</v>
      </c>
      <c r="BT89" s="15">
        <f t="shared" si="539"/>
        <v>0.7288943295224839</v>
      </c>
      <c r="BU89" s="15">
        <f t="shared" si="539"/>
        <v>0.75035108882966051</v>
      </c>
      <c r="BV89" s="24">
        <f t="shared" si="539"/>
        <v>0.74601446480780287</v>
      </c>
      <c r="BW89" s="178">
        <f t="shared" ref="BW89:CB89" si="540">SUM(BW86/BW87)</f>
        <v>0.72255142106397674</v>
      </c>
      <c r="BX89" s="15">
        <f t="shared" si="540"/>
        <v>0.75269877753261427</v>
      </c>
      <c r="BY89" s="15">
        <f t="shared" si="540"/>
        <v>0.75476260958358976</v>
      </c>
      <c r="BZ89" s="15">
        <f t="shared" si="540"/>
        <v>0.78689781346248866</v>
      </c>
      <c r="CA89" s="15">
        <f t="shared" si="540"/>
        <v>0.77278331326873217</v>
      </c>
      <c r="CB89" s="15">
        <f t="shared" si="540"/>
        <v>0.73973749309580883</v>
      </c>
      <c r="CC89" s="15">
        <f t="shared" ref="CC89:DK89" si="541">SUM(CC86/CC87)</f>
        <v>0.73824699582497455</v>
      </c>
      <c r="CD89" s="15">
        <f t="shared" si="541"/>
        <v>0.74757718291745978</v>
      </c>
      <c r="CE89" s="15">
        <f t="shared" si="541"/>
        <v>0.78147710808853321</v>
      </c>
      <c r="CF89" s="15">
        <f t="shared" si="541"/>
        <v>0.80986070430297874</v>
      </c>
      <c r="CG89" s="15">
        <f t="shared" si="541"/>
        <v>0.83648237101019929</v>
      </c>
      <c r="CH89" s="24">
        <f t="shared" si="541"/>
        <v>0.84972603241501621</v>
      </c>
      <c r="CI89" s="178">
        <f t="shared" si="541"/>
        <v>0.82745325900282252</v>
      </c>
      <c r="CJ89" s="15">
        <f t="shared" si="541"/>
        <v>0.81534752270982758</v>
      </c>
      <c r="CK89" s="15">
        <f t="shared" si="541"/>
        <v>0.81365756967565506</v>
      </c>
      <c r="CL89" s="15">
        <f t="shared" si="541"/>
        <v>0.84633499522511701</v>
      </c>
      <c r="CM89" s="15">
        <f t="shared" si="541"/>
        <v>0.84762270167077725</v>
      </c>
      <c r="CN89" s="15">
        <f t="shared" si="541"/>
        <v>0.84160430900300653</v>
      </c>
      <c r="CO89" s="15">
        <f t="shared" si="541"/>
        <v>0.81513045740466972</v>
      </c>
      <c r="CP89" s="15">
        <f t="shared" si="541"/>
        <v>0.81770793520351104</v>
      </c>
      <c r="CQ89" s="15">
        <f t="shared" si="541"/>
        <v>0.83363114143741945</v>
      </c>
      <c r="CR89" s="15">
        <f t="shared" si="541"/>
        <v>0.84665928586025829</v>
      </c>
      <c r="CS89" s="15">
        <f t="shared" si="541"/>
        <v>0.85703668905986341</v>
      </c>
      <c r="CT89" s="24">
        <f t="shared" si="541"/>
        <v>0.859118442838403</v>
      </c>
      <c r="CU89" s="79">
        <f t="shared" si="541"/>
        <v>0.83415025280739485</v>
      </c>
      <c r="CV89" s="15">
        <f t="shared" si="541"/>
        <v>0.83675221659218757</v>
      </c>
      <c r="CW89" s="15">
        <f t="shared" si="541"/>
        <v>0.85905369373222684</v>
      </c>
      <c r="CX89" s="15">
        <f t="shared" si="541"/>
        <v>0.87731576951203005</v>
      </c>
      <c r="CY89" s="15">
        <f t="shared" si="541"/>
        <v>0.86318957107967453</v>
      </c>
      <c r="CZ89" s="15">
        <f t="shared" si="541"/>
        <v>0.86039704194538502</v>
      </c>
      <c r="DA89" s="15">
        <f t="shared" si="541"/>
        <v>0.84395570435944267</v>
      </c>
      <c r="DB89" s="15">
        <f t="shared" si="541"/>
        <v>0.85493653134268377</v>
      </c>
      <c r="DC89" s="15">
        <f t="shared" si="541"/>
        <v>0.85518607178297201</v>
      </c>
      <c r="DD89" s="15">
        <f t="shared" si="541"/>
        <v>0.86319263959721526</v>
      </c>
      <c r="DE89" s="15">
        <f t="shared" si="541"/>
        <v>0.88506136630904209</v>
      </c>
      <c r="DF89" s="24">
        <f t="shared" si="541"/>
        <v>0.88904743696744881</v>
      </c>
      <c r="DG89" s="15">
        <f t="shared" si="541"/>
        <v>0.87130309634164094</v>
      </c>
      <c r="DH89" s="15">
        <f t="shared" si="541"/>
        <v>0.86099828671603573</v>
      </c>
      <c r="DI89" s="15">
        <f t="shared" si="541"/>
        <v>0.894184544815111</v>
      </c>
      <c r="DJ89" s="15">
        <f t="shared" si="541"/>
        <v>0.88496558764101296</v>
      </c>
      <c r="DK89" s="15">
        <f t="shared" si="541"/>
        <v>0.88594875351299784</v>
      </c>
      <c r="DL89" s="15">
        <f t="shared" ref="DL89:FH89" si="542">SUM(DL86/DL87)</f>
        <v>0.87433829435367894</v>
      </c>
      <c r="DM89" s="15">
        <f t="shared" si="542"/>
        <v>0.86418645858491527</v>
      </c>
      <c r="DN89" s="15">
        <f t="shared" si="542"/>
        <v>0.86868979938553459</v>
      </c>
      <c r="DO89" s="15">
        <f t="shared" si="542"/>
        <v>0.86957649777923585</v>
      </c>
      <c r="DP89" s="15">
        <f t="shared" si="542"/>
        <v>0.88179093116164486</v>
      </c>
      <c r="DQ89" s="15">
        <f t="shared" si="542"/>
        <v>0.89999588271709663</v>
      </c>
      <c r="DR89" s="15">
        <f t="shared" si="542"/>
        <v>0.90092457938224846</v>
      </c>
      <c r="DS89" s="15">
        <f t="shared" si="542"/>
        <v>0.88368831526763902</v>
      </c>
      <c r="DT89" s="15">
        <f t="shared" si="542"/>
        <v>0.89556379693867449</v>
      </c>
      <c r="DU89" s="15">
        <f t="shared" si="542"/>
        <v>0.89655548012689323</v>
      </c>
      <c r="DV89" s="361">
        <f t="shared" si="542"/>
        <v>0.89927353045434788</v>
      </c>
      <c r="DW89" s="361">
        <f t="shared" si="542"/>
        <v>0.90290880390585304</v>
      </c>
      <c r="DX89" s="361">
        <f t="shared" si="542"/>
        <v>0.91848745594127135</v>
      </c>
      <c r="DY89" s="361">
        <f t="shared" si="542"/>
        <v>0.91687573057785976</v>
      </c>
      <c r="DZ89" s="361">
        <f t="shared" si="542"/>
        <v>0.91560964952311752</v>
      </c>
      <c r="EA89" s="361">
        <f t="shared" si="542"/>
        <v>0.9172640232801772</v>
      </c>
      <c r="EB89" s="361">
        <f t="shared" si="542"/>
        <v>0.93450093923027389</v>
      </c>
      <c r="EC89" s="361">
        <f t="shared" si="542"/>
        <v>0.94331546345078565</v>
      </c>
      <c r="ED89" s="361">
        <f t="shared" si="542"/>
        <v>0.94156841363925814</v>
      </c>
      <c r="EE89" s="361">
        <f t="shared" si="542"/>
        <v>0.92252543324079817</v>
      </c>
      <c r="EF89" s="361">
        <f t="shared" si="542"/>
        <v>0.93474791824516257</v>
      </c>
      <c r="EG89" s="361">
        <f t="shared" si="542"/>
        <v>0.93048295354252175</v>
      </c>
      <c r="EH89" s="361">
        <f t="shared" si="542"/>
        <v>0.94852075580050754</v>
      </c>
      <c r="EI89" s="361">
        <f t="shared" si="542"/>
        <v>0.94638835052460957</v>
      </c>
      <c r="EJ89" s="361">
        <f t="shared" si="542"/>
        <v>0.93257655159919417</v>
      </c>
      <c r="EK89" s="361">
        <f t="shared" si="542"/>
        <v>0.92337166628320821</v>
      </c>
      <c r="EL89" s="361">
        <f t="shared" si="542"/>
        <v>0.92325682442897039</v>
      </c>
      <c r="EM89" s="361">
        <f t="shared" si="542"/>
        <v>0.9242895070076933</v>
      </c>
      <c r="EN89" s="361">
        <f t="shared" si="542"/>
        <v>0.94906437652067022</v>
      </c>
      <c r="EO89" s="361">
        <f t="shared" si="542"/>
        <v>0.95581635364050876</v>
      </c>
      <c r="EP89" s="354">
        <f t="shared" si="542"/>
        <v>0.94659697677479571</v>
      </c>
      <c r="EQ89" s="354">
        <f t="shared" si="542"/>
        <v>0.94022926268227358</v>
      </c>
      <c r="ER89" s="354">
        <f t="shared" si="542"/>
        <v>0.94075011234734218</v>
      </c>
      <c r="ES89" s="354">
        <f t="shared" si="542"/>
        <v>0.94810067709545087</v>
      </c>
      <c r="ET89" s="354">
        <f t="shared" si="542"/>
        <v>0.96023031099515122</v>
      </c>
      <c r="EU89" s="354">
        <f t="shared" si="542"/>
        <v>0.95006296305252447</v>
      </c>
      <c r="EV89" s="354">
        <f t="shared" si="542"/>
        <v>0.94900502264111053</v>
      </c>
      <c r="EW89" s="354">
        <f t="shared" si="542"/>
        <v>0.94350376940301905</v>
      </c>
      <c r="EX89" s="354">
        <f t="shared" si="542"/>
        <v>0.94337340287363225</v>
      </c>
      <c r="EY89" s="354">
        <f t="shared" si="542"/>
        <v>0.94514603402314212</v>
      </c>
      <c r="EZ89" s="354">
        <f t="shared" si="542"/>
        <v>0.95646967970454855</v>
      </c>
      <c r="FA89" s="354">
        <f t="shared" si="542"/>
        <v>0.95634472647254543</v>
      </c>
      <c r="FB89" s="354">
        <f t="shared" si="542"/>
        <v>0.95879802628149124</v>
      </c>
      <c r="FC89" s="354">
        <f t="shared" si="542"/>
        <v>0.9468206519222383</v>
      </c>
      <c r="FD89" s="354">
        <f t="shared" si="542"/>
        <v>0.95027603108072789</v>
      </c>
      <c r="FE89" s="354">
        <f t="shared" si="542"/>
        <v>0.94898005134824748</v>
      </c>
      <c r="FF89" s="354">
        <f t="shared" si="542"/>
        <v>0.96034985894485847</v>
      </c>
      <c r="FG89" s="354">
        <f t="shared" si="542"/>
        <v>0.96136962699468131</v>
      </c>
      <c r="FH89" s="354">
        <f t="shared" si="542"/>
        <v>0.95347634242444568</v>
      </c>
      <c r="FI89" s="354">
        <f t="shared" ref="FI89:FN89" si="543">SUM(FI86/FI87)</f>
        <v>0.93543047502026333</v>
      </c>
      <c r="FJ89" s="354">
        <f t="shared" si="543"/>
        <v>0.9333064349670761</v>
      </c>
      <c r="FK89" s="354">
        <f t="shared" si="543"/>
        <v>0.93877949860392451</v>
      </c>
      <c r="FL89" s="354">
        <f t="shared" si="543"/>
        <v>0.94682710433809136</v>
      </c>
      <c r="FM89" s="354">
        <f t="shared" si="543"/>
        <v>0.95922948260266772</v>
      </c>
      <c r="FN89" s="354">
        <f t="shared" si="543"/>
        <v>0.95606755546676092</v>
      </c>
      <c r="FO89" s="354">
        <f t="shared" ref="FO89:FT89" si="544">SUM(FO86/FO87)</f>
        <v>0.94711789136819169</v>
      </c>
      <c r="FP89" s="354">
        <f t="shared" si="544"/>
        <v>0.9471776172387727</v>
      </c>
      <c r="FQ89" s="354">
        <f t="shared" si="544"/>
        <v>0.95876400410441587</v>
      </c>
      <c r="FR89" s="354">
        <f t="shared" si="544"/>
        <v>0.96028948219012078</v>
      </c>
      <c r="FS89" s="354">
        <f t="shared" si="544"/>
        <v>0.9547296941279737</v>
      </c>
      <c r="FT89" s="354">
        <f t="shared" si="544"/>
        <v>0.95052584739134605</v>
      </c>
    </row>
    <row r="90" spans="1:176" x14ac:dyDescent="0.25">
      <c r="C90" s="38"/>
      <c r="O90" s="38"/>
    </row>
    <row r="91" spans="1:176" x14ac:dyDescent="0.25">
      <c r="C91" s="38"/>
      <c r="O91" s="38"/>
    </row>
    <row r="99" spans="115:115" x14ac:dyDescent="0.25">
      <c r="DK99" s="302" t="s">
        <v>93</v>
      </c>
    </row>
  </sheetData>
  <sheetProtection algorithmName="SHA-512" hashValue="pkPxm0PZU+XFX1tuiqE5p0DxJd4WKunQk6Bgzzc1t5mZVbzoD71mx4ipFLB5IFBk9kppr+vc4sd/Jso0JJJWOQ==" saltValue="nDFHuz1BgE+mffuTa3L+oQ==" spinCount="100000" sheet="1" objects="1" scenarios="1"/>
  <mergeCells count="90">
    <mergeCell ref="EQ2:FB2"/>
    <mergeCell ref="EQ4:FB4"/>
    <mergeCell ref="EQ47:FB47"/>
    <mergeCell ref="EQ45:FB45"/>
    <mergeCell ref="EQ46:FB46"/>
    <mergeCell ref="EQ3:FB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AY47:BJ47"/>
    <mergeCell ref="C47:N47"/>
    <mergeCell ref="O47:Z47"/>
    <mergeCell ref="AA47:AL47"/>
    <mergeCell ref="AM47:AX47"/>
    <mergeCell ref="O4:Z4"/>
    <mergeCell ref="AA4:AL4"/>
    <mergeCell ref="AM4:AX4"/>
    <mergeCell ref="C45:N45"/>
    <mergeCell ref="O45:Z45"/>
    <mergeCell ref="AA45:AL45"/>
    <mergeCell ref="AM45:AX45"/>
    <mergeCell ref="BW47:CH47"/>
    <mergeCell ref="BK4:BV4"/>
    <mergeCell ref="BK47:BV47"/>
    <mergeCell ref="C2:N2"/>
    <mergeCell ref="O2:Z2"/>
    <mergeCell ref="AA2:AL2"/>
    <mergeCell ref="AM2:AX2"/>
    <mergeCell ref="C3:N3"/>
    <mergeCell ref="O3:Z3"/>
    <mergeCell ref="AA3:AL3"/>
    <mergeCell ref="AM3:AX3"/>
    <mergeCell ref="C46:N46"/>
    <mergeCell ref="O46:Z46"/>
    <mergeCell ref="AA46:AL46"/>
    <mergeCell ref="AM46:AX46"/>
    <mergeCell ref="C4:N4"/>
    <mergeCell ref="BK45:BV45"/>
    <mergeCell ref="BK46:BV46"/>
    <mergeCell ref="BW45:CH45"/>
    <mergeCell ref="BW46:CH46"/>
    <mergeCell ref="BK2:BV2"/>
    <mergeCell ref="BK3:BV3"/>
    <mergeCell ref="BW2:CH2"/>
    <mergeCell ref="BW3:CH3"/>
    <mergeCell ref="BW4:CH4"/>
    <mergeCell ref="CU4:DF4"/>
    <mergeCell ref="CU2:DF2"/>
    <mergeCell ref="CU3:DF3"/>
    <mergeCell ref="CU47:DF47"/>
    <mergeCell ref="CU45:DF45"/>
    <mergeCell ref="CU46:DF46"/>
    <mergeCell ref="DS4:ED4"/>
    <mergeCell ref="DG4:DR4"/>
    <mergeCell ref="DG3:DR3"/>
    <mergeCell ref="DG2:DR2"/>
    <mergeCell ref="DG47:DR47"/>
    <mergeCell ref="DG46:DR46"/>
    <mergeCell ref="DG45:DR45"/>
    <mergeCell ref="DS2:ED2"/>
    <mergeCell ref="DS3:ED3"/>
    <mergeCell ref="DS45:ED45"/>
    <mergeCell ref="DS46:ED46"/>
    <mergeCell ref="DS47:ED47"/>
    <mergeCell ref="EE47:EP47"/>
    <mergeCell ref="EE45:EP45"/>
    <mergeCell ref="EE4:EP4"/>
    <mergeCell ref="EE2:EP2"/>
    <mergeCell ref="EE46:EP46"/>
    <mergeCell ref="EE3:EP3"/>
    <mergeCell ref="FC2:FN2"/>
    <mergeCell ref="FC4:FN4"/>
    <mergeCell ref="FC45:FN45"/>
    <mergeCell ref="FC46:FN46"/>
    <mergeCell ref="FC47:FN47"/>
    <mergeCell ref="FC3:FN3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32" fitToWidth="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G2:FZ89"/>
  <sheetViews>
    <sheetView topLeftCell="FF60" workbookViewId="0">
      <selection activeCell="FF69" sqref="A69:XFD75"/>
    </sheetView>
  </sheetViews>
  <sheetFormatPr defaultRowHeight="13.2" x14ac:dyDescent="0.25"/>
  <cols>
    <col min="162" max="162" width="0.6640625" customWidth="1"/>
    <col min="163" max="163" width="1.33203125" customWidth="1"/>
    <col min="164" max="166" width="8.88671875" hidden="1" customWidth="1"/>
    <col min="167" max="167" width="24.88671875" customWidth="1"/>
    <col min="168" max="168" width="9" customWidth="1"/>
    <col min="169" max="169" width="9.5546875" customWidth="1"/>
    <col min="170" max="170" width="10.21875" customWidth="1"/>
  </cols>
  <sheetData>
    <row r="2" spans="163:182" x14ac:dyDescent="0.25">
      <c r="FK2" s="48" t="s">
        <v>77</v>
      </c>
      <c r="FL2" s="558"/>
      <c r="FM2" s="558"/>
      <c r="FN2" s="567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163:182" ht="13.8" thickBot="1" x14ac:dyDescent="0.3">
      <c r="FK3" s="48" t="s">
        <v>96</v>
      </c>
      <c r="FL3" s="566"/>
      <c r="FM3" s="566"/>
      <c r="FN3" s="566"/>
      <c r="FO3" s="576" t="s">
        <v>100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163:182" ht="13.8" thickBot="1" x14ac:dyDescent="0.3">
      <c r="FG4" s="568"/>
      <c r="FH4" s="569"/>
      <c r="FI4" s="569"/>
      <c r="FJ4" s="569"/>
      <c r="FK4" s="573">
        <v>2015</v>
      </c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163:182" ht="13.8" thickBot="1" x14ac:dyDescent="0.3"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163:182" x14ac:dyDescent="0.25">
      <c r="FK6" s="222" t="s">
        <v>12</v>
      </c>
    </row>
    <row r="7" spans="163:182" x14ac:dyDescent="0.25">
      <c r="FK7" s="108"/>
    </row>
    <row r="8" spans="163:182" x14ac:dyDescent="0.25">
      <c r="FK8" s="87" t="s">
        <v>1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</row>
    <row r="9" spans="163:182" ht="13.8" thickBot="1" x14ac:dyDescent="0.3">
      <c r="FK9" s="90" t="s">
        <v>8</v>
      </c>
      <c r="FL9" s="553">
        <v>23141</v>
      </c>
      <c r="FM9" s="553">
        <v>21065</v>
      </c>
      <c r="FN9" s="553">
        <v>23616</v>
      </c>
      <c r="FO9" s="553">
        <v>19794</v>
      </c>
      <c r="FP9" s="553">
        <v>22773</v>
      </c>
      <c r="FQ9" s="553">
        <v>24221</v>
      </c>
      <c r="FR9" s="553">
        <v>22757</v>
      </c>
      <c r="FS9" s="553">
        <v>24481</v>
      </c>
      <c r="FT9" s="553">
        <v>24544</v>
      </c>
    </row>
    <row r="10" spans="163:182" ht="13.8" thickTop="1" x14ac:dyDescent="0.25">
      <c r="FK10" s="87" t="s">
        <v>9</v>
      </c>
      <c r="FL10" s="353">
        <f t="shared" ref="FL10:FT10" si="0">SUM(FL8:FL9)</f>
        <v>23141</v>
      </c>
      <c r="FM10" s="353">
        <f t="shared" si="0"/>
        <v>21065</v>
      </c>
      <c r="FN10" s="353">
        <f t="shared" si="0"/>
        <v>23616</v>
      </c>
      <c r="FO10" s="353">
        <f t="shared" si="0"/>
        <v>19794</v>
      </c>
      <c r="FP10" s="353">
        <f t="shared" si="0"/>
        <v>22773</v>
      </c>
      <c r="FQ10" s="353">
        <f t="shared" si="0"/>
        <v>24221</v>
      </c>
      <c r="FR10" s="353">
        <f t="shared" si="0"/>
        <v>22757</v>
      </c>
      <c r="FS10" s="353">
        <f t="shared" si="0"/>
        <v>24481</v>
      </c>
      <c r="FT10" s="353">
        <f t="shared" si="0"/>
        <v>24544</v>
      </c>
    </row>
    <row r="11" spans="163:182" x14ac:dyDescent="0.25">
      <c r="FK11" s="264" t="s">
        <v>10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</row>
    <row r="12" spans="163:182" ht="13.8" thickBot="1" x14ac:dyDescent="0.3">
      <c r="FK12" s="266" t="s">
        <v>11</v>
      </c>
      <c r="FL12" s="354">
        <f t="shared" ref="FL12:FT12" si="1">SUM(FL9/FL10)</f>
        <v>1</v>
      </c>
      <c r="FM12" s="354">
        <f t="shared" si="1"/>
        <v>1</v>
      </c>
      <c r="FN12" s="354">
        <f t="shared" si="1"/>
        <v>1</v>
      </c>
      <c r="FO12" s="354">
        <f t="shared" si="1"/>
        <v>1</v>
      </c>
      <c r="FP12" s="354">
        <f t="shared" si="1"/>
        <v>1</v>
      </c>
      <c r="FQ12" s="354">
        <f t="shared" si="1"/>
        <v>1</v>
      </c>
      <c r="FR12" s="354">
        <f t="shared" si="1"/>
        <v>1</v>
      </c>
      <c r="FS12" s="354">
        <f t="shared" si="1"/>
        <v>1</v>
      </c>
      <c r="FT12" s="354">
        <f t="shared" si="1"/>
        <v>1</v>
      </c>
    </row>
    <row r="13" spans="163:182" x14ac:dyDescent="0.25">
      <c r="FK13" s="87"/>
    </row>
    <row r="14" spans="163:182" x14ac:dyDescent="0.25">
      <c r="FK14" s="108" t="s">
        <v>51</v>
      </c>
    </row>
    <row r="15" spans="163:182" x14ac:dyDescent="0.25">
      <c r="FK15" s="108" t="s">
        <v>52</v>
      </c>
    </row>
    <row r="16" spans="163:182" x14ac:dyDescent="0.25">
      <c r="FK16" s="87" t="s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</row>
    <row r="17" spans="167:176" ht="13.8" thickBot="1" x14ac:dyDescent="0.3">
      <c r="FK17" s="90" t="s">
        <v>8</v>
      </c>
      <c r="FL17" s="553">
        <f>12344+10160</f>
        <v>22504</v>
      </c>
      <c r="FM17" s="553">
        <f>11797+9710</f>
        <v>21507</v>
      </c>
      <c r="FN17" s="553">
        <f>12724+10375</f>
        <v>23099</v>
      </c>
      <c r="FO17" s="553">
        <f>11512+9187</f>
        <v>20699</v>
      </c>
      <c r="FP17" s="553">
        <f>12279+9940</f>
        <v>22219</v>
      </c>
      <c r="FQ17" s="553">
        <f>12775+10296</f>
        <v>23071</v>
      </c>
      <c r="FR17" s="553">
        <f>12111+9554</f>
        <v>21665</v>
      </c>
      <c r="FS17" s="553">
        <f>12706+10226</f>
        <v>22932</v>
      </c>
      <c r="FT17" s="553">
        <f>12647+10351</f>
        <v>22998</v>
      </c>
    </row>
    <row r="18" spans="167:176" ht="13.8" thickTop="1" x14ac:dyDescent="0.25">
      <c r="FK18" s="87" t="s">
        <v>9</v>
      </c>
      <c r="FL18" s="355">
        <f t="shared" ref="FL18:FQ18" si="2">SUM(FL16:FL17)</f>
        <v>22504</v>
      </c>
      <c r="FM18" s="355">
        <f t="shared" si="2"/>
        <v>21507</v>
      </c>
      <c r="FN18" s="355">
        <f t="shared" si="2"/>
        <v>23099</v>
      </c>
      <c r="FO18" s="355">
        <f t="shared" si="2"/>
        <v>20699</v>
      </c>
      <c r="FP18" s="355">
        <f t="shared" si="2"/>
        <v>22219</v>
      </c>
      <c r="FQ18" s="355">
        <f t="shared" si="2"/>
        <v>23071</v>
      </c>
      <c r="FR18" s="355">
        <f t="shared" ref="FR18:FT18" si="3">SUM(FR16:FR17)</f>
        <v>21665</v>
      </c>
      <c r="FS18" s="355">
        <f t="shared" si="3"/>
        <v>22932</v>
      </c>
      <c r="FT18" s="355">
        <f t="shared" si="3"/>
        <v>22998</v>
      </c>
    </row>
    <row r="19" spans="167:176" x14ac:dyDescent="0.25">
      <c r="FK19" s="264" t="s">
        <v>10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</row>
    <row r="20" spans="167:176" ht="13.8" thickBot="1" x14ac:dyDescent="0.3">
      <c r="FK20" s="266" t="s">
        <v>11</v>
      </c>
      <c r="FL20" s="354">
        <f t="shared" ref="FL20:FQ20" si="4">SUM(FL17/FL18)</f>
        <v>1</v>
      </c>
      <c r="FM20" s="354">
        <f t="shared" si="4"/>
        <v>1</v>
      </c>
      <c r="FN20" s="354">
        <f t="shared" si="4"/>
        <v>1</v>
      </c>
      <c r="FO20" s="354">
        <f t="shared" si="4"/>
        <v>1</v>
      </c>
      <c r="FP20" s="354">
        <f t="shared" si="4"/>
        <v>1</v>
      </c>
      <c r="FQ20" s="354">
        <f t="shared" si="4"/>
        <v>1</v>
      </c>
      <c r="FR20" s="354">
        <f t="shared" ref="FR20:FT20" si="5">SUM(FR17/FR18)</f>
        <v>1</v>
      </c>
      <c r="FS20" s="354">
        <f t="shared" si="5"/>
        <v>1</v>
      </c>
      <c r="FT20" s="354">
        <f t="shared" si="5"/>
        <v>1</v>
      </c>
    </row>
    <row r="21" spans="167:176" x14ac:dyDescent="0.25">
      <c r="FK21" s="87"/>
    </row>
    <row r="22" spans="167:176" hidden="1" x14ac:dyDescent="0.25">
      <c r="FK22" s="384" t="s">
        <v>49</v>
      </c>
    </row>
    <row r="23" spans="167:176" hidden="1" x14ac:dyDescent="0.25">
      <c r="FK23" s="384" t="s">
        <v>50</v>
      </c>
    </row>
    <row r="24" spans="167:176" hidden="1" x14ac:dyDescent="0.25">
      <c r="FK24" s="390" t="s">
        <v>1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</row>
    <row r="25" spans="167:176" ht="13.8" hidden="1" thickBot="1" x14ac:dyDescent="0.3">
      <c r="FK25" s="391" t="s">
        <v>8</v>
      </c>
      <c r="FL25" s="554">
        <v>897</v>
      </c>
      <c r="FM25" s="487">
        <f>899+15</f>
        <v>914</v>
      </c>
      <c r="FN25" s="554">
        <v>962</v>
      </c>
      <c r="FO25" s="554">
        <f>928+15</f>
        <v>943</v>
      </c>
      <c r="FP25" s="554">
        <f>966+15</f>
        <v>981</v>
      </c>
      <c r="FQ25" s="554">
        <f>1034+15</f>
        <v>1049</v>
      </c>
      <c r="FR25" s="554">
        <f>976+15</f>
        <v>991</v>
      </c>
      <c r="FS25" s="554">
        <f>1050+16</f>
        <v>1066</v>
      </c>
      <c r="FT25" s="554">
        <f>1088+16</f>
        <v>1104</v>
      </c>
    </row>
    <row r="26" spans="167:176" ht="13.8" hidden="1" thickTop="1" x14ac:dyDescent="0.25">
      <c r="FK26" s="390" t="s">
        <v>9</v>
      </c>
      <c r="FL26" s="503">
        <f t="shared" ref="FL26:FQ26" si="6">SUM(FL24:FL25)</f>
        <v>897</v>
      </c>
      <c r="FM26" s="503">
        <f t="shared" si="6"/>
        <v>914</v>
      </c>
      <c r="FN26" s="503">
        <f t="shared" si="6"/>
        <v>962</v>
      </c>
      <c r="FO26" s="503">
        <f t="shared" si="6"/>
        <v>943</v>
      </c>
      <c r="FP26" s="503">
        <f t="shared" si="6"/>
        <v>981</v>
      </c>
      <c r="FQ26" s="503">
        <f t="shared" si="6"/>
        <v>1049</v>
      </c>
      <c r="FR26" s="503">
        <f t="shared" ref="FR26:FT26" si="7">SUM(FR24:FR25)</f>
        <v>991</v>
      </c>
      <c r="FS26" s="503">
        <f t="shared" si="7"/>
        <v>1066</v>
      </c>
      <c r="FT26" s="503">
        <f t="shared" si="7"/>
        <v>1104</v>
      </c>
    </row>
    <row r="27" spans="167:176" hidden="1" x14ac:dyDescent="0.25">
      <c r="FK27" s="403" t="s">
        <v>10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</row>
    <row r="28" spans="167:176" ht="13.8" hidden="1" thickBot="1" x14ac:dyDescent="0.3">
      <c r="FK28" s="410" t="s">
        <v>11</v>
      </c>
      <c r="FL28" s="415">
        <f t="shared" ref="FL28:FQ28" si="8">SUM(FL25/FL26)</f>
        <v>1</v>
      </c>
      <c r="FM28" s="415">
        <f t="shared" si="8"/>
        <v>1</v>
      </c>
      <c r="FN28" s="415">
        <f t="shared" si="8"/>
        <v>1</v>
      </c>
      <c r="FO28" s="415">
        <f t="shared" si="8"/>
        <v>1</v>
      </c>
      <c r="FP28" s="415">
        <f t="shared" si="8"/>
        <v>1</v>
      </c>
      <c r="FQ28" s="415">
        <f t="shared" si="8"/>
        <v>1</v>
      </c>
      <c r="FR28" s="415">
        <f t="shared" ref="FR28:FT28" si="9">SUM(FR25/FR26)</f>
        <v>1</v>
      </c>
      <c r="FS28" s="415">
        <f t="shared" si="9"/>
        <v>1</v>
      </c>
      <c r="FT28" s="415">
        <f t="shared" si="9"/>
        <v>1</v>
      </c>
    </row>
    <row r="29" spans="167:176" hidden="1" x14ac:dyDescent="0.25">
      <c r="FK29" s="390"/>
    </row>
    <row r="30" spans="167:176" x14ac:dyDescent="0.25">
      <c r="FK30" s="384" t="s">
        <v>53</v>
      </c>
    </row>
    <row r="31" spans="167:176" x14ac:dyDescent="0.25">
      <c r="FK31" s="390" t="s">
        <v>1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</row>
    <row r="32" spans="167:176" ht="13.8" thickBot="1" x14ac:dyDescent="0.3">
      <c r="FK32" s="391" t="s">
        <v>8</v>
      </c>
      <c r="FL32" s="553">
        <v>2828</v>
      </c>
      <c r="FM32" s="553">
        <v>2720</v>
      </c>
      <c r="FN32" s="554">
        <v>3042</v>
      </c>
      <c r="FO32" s="554">
        <v>3011</v>
      </c>
      <c r="FP32" s="554">
        <v>3011</v>
      </c>
      <c r="FQ32" s="554">
        <v>3011</v>
      </c>
      <c r="FR32" s="554">
        <v>2705</v>
      </c>
      <c r="FS32" s="554">
        <v>2931</v>
      </c>
      <c r="FT32" s="554">
        <v>2929</v>
      </c>
    </row>
    <row r="33" spans="167:176" ht="13.8" thickTop="1" x14ac:dyDescent="0.25">
      <c r="FK33" s="390" t="s">
        <v>9</v>
      </c>
      <c r="FL33" s="503">
        <f t="shared" ref="FL33:FQ33" si="10">SUM(FL31:FL32)</f>
        <v>2828</v>
      </c>
      <c r="FM33" s="503">
        <f t="shared" si="10"/>
        <v>2720</v>
      </c>
      <c r="FN33" s="503">
        <f t="shared" si="10"/>
        <v>3042</v>
      </c>
      <c r="FO33" s="503">
        <f t="shared" si="10"/>
        <v>3011</v>
      </c>
      <c r="FP33" s="503">
        <f t="shared" si="10"/>
        <v>3011</v>
      </c>
      <c r="FQ33" s="503">
        <f t="shared" si="10"/>
        <v>3011</v>
      </c>
      <c r="FR33" s="503">
        <f t="shared" ref="FR33:FT33" si="11">SUM(FR31:FR32)</f>
        <v>2705</v>
      </c>
      <c r="FS33" s="503">
        <f t="shared" si="11"/>
        <v>2931</v>
      </c>
      <c r="FT33" s="503">
        <f t="shared" si="11"/>
        <v>2929</v>
      </c>
    </row>
    <row r="34" spans="167:176" x14ac:dyDescent="0.25">
      <c r="FK34" s="403" t="s">
        <v>10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</row>
    <row r="35" spans="167:176" ht="13.8" thickBot="1" x14ac:dyDescent="0.3">
      <c r="FK35" s="504" t="s">
        <v>11</v>
      </c>
      <c r="FL35" s="415">
        <f t="shared" ref="FL35:FQ35" si="12">SUM(FL32/FL33)</f>
        <v>1</v>
      </c>
      <c r="FM35" s="415">
        <f t="shared" si="12"/>
        <v>1</v>
      </c>
      <c r="FN35" s="415">
        <f t="shared" si="12"/>
        <v>1</v>
      </c>
      <c r="FO35" s="415">
        <f t="shared" si="12"/>
        <v>1</v>
      </c>
      <c r="FP35" s="415">
        <f t="shared" si="12"/>
        <v>1</v>
      </c>
      <c r="FQ35" s="415">
        <f t="shared" si="12"/>
        <v>1</v>
      </c>
      <c r="FR35" s="415">
        <f t="shared" ref="FR35:FT35" si="13">SUM(FR32/FR33)</f>
        <v>1</v>
      </c>
      <c r="FS35" s="415">
        <f t="shared" si="13"/>
        <v>1</v>
      </c>
      <c r="FT35" s="415">
        <f t="shared" si="13"/>
        <v>1</v>
      </c>
    </row>
    <row r="36" spans="167:176" x14ac:dyDescent="0.25">
      <c r="FK36" s="502"/>
    </row>
    <row r="37" spans="167:176" x14ac:dyDescent="0.25">
      <c r="FK37" s="108" t="s">
        <v>57</v>
      </c>
    </row>
    <row r="38" spans="167:176" x14ac:dyDescent="0.25">
      <c r="FK38" s="87" t="s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</row>
    <row r="39" spans="167:176" ht="13.8" thickBot="1" x14ac:dyDescent="0.3">
      <c r="FK39" s="90" t="s">
        <v>8</v>
      </c>
      <c r="FL39" s="352">
        <f>SUM(FL9,FL17,FL25,FL32)</f>
        <v>49370</v>
      </c>
      <c r="FM39" s="352">
        <f>SUM(FM9,FM17,FM25,FM32)</f>
        <v>46206</v>
      </c>
      <c r="FN39" s="352">
        <f>SUM(FN9,FN17,FN25,FN32)</f>
        <v>50719</v>
      </c>
      <c r="FO39" s="352">
        <f t="shared" ref="FO39:FT39" si="14">SUM(FO9,FO17,FO25,FO32)</f>
        <v>44447</v>
      </c>
      <c r="FP39" s="352">
        <f t="shared" si="14"/>
        <v>48984</v>
      </c>
      <c r="FQ39" s="352">
        <f t="shared" si="14"/>
        <v>51352</v>
      </c>
      <c r="FR39" s="352">
        <f t="shared" si="14"/>
        <v>48118</v>
      </c>
      <c r="FS39" s="352">
        <f t="shared" si="14"/>
        <v>51410</v>
      </c>
      <c r="FT39" s="352">
        <f t="shared" si="14"/>
        <v>51575</v>
      </c>
    </row>
    <row r="40" spans="167:176" ht="13.8" thickTop="1" x14ac:dyDescent="0.25">
      <c r="FK40" s="87" t="s">
        <v>9</v>
      </c>
      <c r="FL40" s="358">
        <f t="shared" ref="FL40:FT40" si="15">SUM(FL38:FL39)</f>
        <v>49370</v>
      </c>
      <c r="FM40" s="358">
        <f t="shared" si="15"/>
        <v>46206</v>
      </c>
      <c r="FN40" s="358">
        <f t="shared" si="15"/>
        <v>50719</v>
      </c>
      <c r="FO40" s="358">
        <f t="shared" si="15"/>
        <v>44447</v>
      </c>
      <c r="FP40" s="358">
        <f t="shared" si="15"/>
        <v>48984</v>
      </c>
      <c r="FQ40" s="358">
        <f t="shared" si="15"/>
        <v>51352</v>
      </c>
      <c r="FR40" s="358">
        <f t="shared" si="15"/>
        <v>48118</v>
      </c>
      <c r="FS40" s="358">
        <f t="shared" si="15"/>
        <v>51410</v>
      </c>
      <c r="FT40" s="358">
        <f t="shared" si="15"/>
        <v>51575</v>
      </c>
    </row>
    <row r="41" spans="167:176" x14ac:dyDescent="0.25">
      <c r="FK41" s="238" t="s">
        <v>10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</row>
    <row r="42" spans="167:176" ht="13.8" thickBot="1" x14ac:dyDescent="0.3">
      <c r="FK42" s="243" t="s">
        <v>11</v>
      </c>
      <c r="FL42" s="354">
        <f t="shared" ref="FL42:FT42" si="16">SUM(FL39/FL40)</f>
        <v>1</v>
      </c>
      <c r="FM42" s="354">
        <f t="shared" si="16"/>
        <v>1</v>
      </c>
      <c r="FN42" s="354">
        <f t="shared" si="16"/>
        <v>1</v>
      </c>
      <c r="FO42" s="354">
        <f t="shared" si="16"/>
        <v>1</v>
      </c>
      <c r="FP42" s="354">
        <f t="shared" si="16"/>
        <v>1</v>
      </c>
      <c r="FQ42" s="354">
        <f t="shared" si="16"/>
        <v>1</v>
      </c>
      <c r="FR42" s="354">
        <f t="shared" si="16"/>
        <v>1</v>
      </c>
      <c r="FS42" s="354">
        <f t="shared" si="16"/>
        <v>1</v>
      </c>
      <c r="FT42" s="354">
        <f t="shared" si="16"/>
        <v>1</v>
      </c>
    </row>
    <row r="45" spans="167:176" x14ac:dyDescent="0.25">
      <c r="FK45" s="1" t="s">
        <v>79</v>
      </c>
      <c r="FL45" s="1"/>
      <c r="FM45" s="1"/>
      <c r="FO45" s="1" t="s">
        <v>79</v>
      </c>
    </row>
    <row r="46" spans="167:176" ht="13.8" thickBot="1" x14ac:dyDescent="0.3"/>
    <row r="47" spans="167:176" ht="13.8" thickBot="1" x14ac:dyDescent="0.3">
      <c r="FK47" s="568"/>
      <c r="FL47" s="571">
        <v>2015</v>
      </c>
      <c r="FM47" s="569"/>
      <c r="FN47" s="570"/>
      <c r="FO47" s="568"/>
      <c r="FP47" s="569"/>
      <c r="FQ47" s="571">
        <v>2016</v>
      </c>
      <c r="FR47" s="569"/>
      <c r="FS47" s="569"/>
      <c r="FT47" s="570"/>
    </row>
    <row r="48" spans="167:176" ht="13.8" thickBot="1" x14ac:dyDescent="0.3">
      <c r="FL48" s="304" t="s">
        <v>69</v>
      </c>
      <c r="FM48" s="304" t="s">
        <v>70</v>
      </c>
      <c r="FN48" s="304" t="s">
        <v>71</v>
      </c>
      <c r="FO48" s="304" t="s">
        <v>72</v>
      </c>
      <c r="FP48" s="304" t="s">
        <v>73</v>
      </c>
      <c r="FQ48" s="304" t="s">
        <v>2</v>
      </c>
      <c r="FR48" s="304" t="s">
        <v>3</v>
      </c>
      <c r="FS48" s="304" t="s">
        <v>4</v>
      </c>
      <c r="FT48" s="304" t="s">
        <v>5</v>
      </c>
    </row>
    <row r="49" spans="167:176" x14ac:dyDescent="0.25">
      <c r="FK49" s="108" t="s">
        <v>31</v>
      </c>
    </row>
    <row r="50" spans="167:176" x14ac:dyDescent="0.25">
      <c r="FK50" s="115"/>
    </row>
    <row r="51" spans="167:176" x14ac:dyDescent="0.25">
      <c r="FK51" s="87" t="s">
        <v>1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</row>
    <row r="52" spans="167:176" ht="13.8" thickBot="1" x14ac:dyDescent="0.3">
      <c r="FK52" s="90" t="s">
        <v>8</v>
      </c>
      <c r="FL52" s="553">
        <v>35750</v>
      </c>
      <c r="FM52" s="553">
        <v>19425</v>
      </c>
      <c r="FN52" s="553">
        <v>32764</v>
      </c>
      <c r="FO52" s="553">
        <v>30949.3</v>
      </c>
      <c r="FP52" s="276">
        <v>33975.459000000003</v>
      </c>
      <c r="FQ52" s="553">
        <v>26618.971000000001</v>
      </c>
      <c r="FR52" s="553">
        <v>19539.2</v>
      </c>
      <c r="FS52" s="553">
        <v>20891.099999999999</v>
      </c>
      <c r="FT52" s="553">
        <v>26692.2</v>
      </c>
    </row>
    <row r="53" spans="167:176" ht="13.8" thickTop="1" x14ac:dyDescent="0.25">
      <c r="FK53" s="87" t="s">
        <v>9</v>
      </c>
      <c r="FL53" s="358">
        <f t="shared" ref="FL53:FN53" si="17">SUM(FL51:FL52)</f>
        <v>35750</v>
      </c>
      <c r="FM53" s="358">
        <f t="shared" si="17"/>
        <v>19425</v>
      </c>
      <c r="FN53" s="358">
        <f t="shared" si="17"/>
        <v>32764</v>
      </c>
      <c r="FO53" s="358">
        <f t="shared" ref="FO53:FQ53" si="18">SUM(FO51:FO52)</f>
        <v>30949.3</v>
      </c>
      <c r="FP53" s="358">
        <f t="shared" si="18"/>
        <v>33975.459000000003</v>
      </c>
      <c r="FQ53" s="358">
        <f t="shared" si="18"/>
        <v>26618.971000000001</v>
      </c>
      <c r="FR53" s="358">
        <f t="shared" ref="FR53:FT53" si="19">SUM(FR51:FR52)</f>
        <v>19539.2</v>
      </c>
      <c r="FS53" s="358">
        <f t="shared" si="19"/>
        <v>20891.099999999999</v>
      </c>
      <c r="FT53" s="358">
        <f t="shared" si="19"/>
        <v>26692.2</v>
      </c>
    </row>
    <row r="54" spans="167:176" x14ac:dyDescent="0.25">
      <c r="FK54" s="238" t="s">
        <v>10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</row>
    <row r="55" spans="167:176" ht="13.8" thickBot="1" x14ac:dyDescent="0.3">
      <c r="FK55" s="243" t="s">
        <v>11</v>
      </c>
      <c r="FL55" s="354">
        <f t="shared" ref="FL55:FN55" si="20">SUM(FL52/FL53)</f>
        <v>1</v>
      </c>
      <c r="FM55" s="354">
        <f t="shared" si="20"/>
        <v>1</v>
      </c>
      <c r="FN55" s="354">
        <f t="shared" si="20"/>
        <v>1</v>
      </c>
      <c r="FO55" s="354">
        <f t="shared" ref="FO55:FT55" si="21">SUM(FO52/FO53)</f>
        <v>1</v>
      </c>
      <c r="FP55" s="354">
        <f t="shared" si="21"/>
        <v>1</v>
      </c>
      <c r="FQ55" s="354">
        <f t="shared" si="21"/>
        <v>1</v>
      </c>
      <c r="FR55" s="354">
        <f t="shared" si="21"/>
        <v>1</v>
      </c>
      <c r="FS55" s="354">
        <f t="shared" si="21"/>
        <v>1</v>
      </c>
      <c r="FT55" s="354">
        <f t="shared" si="21"/>
        <v>1</v>
      </c>
    </row>
    <row r="56" spans="167:176" x14ac:dyDescent="0.25">
      <c r="FK56" s="87"/>
    </row>
    <row r="57" spans="167:176" x14ac:dyDescent="0.25">
      <c r="FK57" s="87" t="s">
        <v>21</v>
      </c>
      <c r="FL57" s="359">
        <f>SUM(1000*(FL53))/FL10</f>
        <v>1544.8770580355213</v>
      </c>
      <c r="FM57" s="359">
        <f>SUM(1000*(FM53))/FM10</f>
        <v>922.14573937811531</v>
      </c>
      <c r="FN57" s="359">
        <f>SUM(1000*(FN53))/FN10</f>
        <v>1387.3644986449865</v>
      </c>
      <c r="FO57" s="359">
        <f t="shared" ref="FO57:FT57" si="22">SUM(1000*(FO53))/FO10</f>
        <v>1563.5697686167525</v>
      </c>
      <c r="FP57" s="359">
        <f t="shared" si="22"/>
        <v>1491.9184560663944</v>
      </c>
      <c r="FQ57" s="359">
        <f t="shared" si="22"/>
        <v>1099.0037983567979</v>
      </c>
      <c r="FR57" s="359">
        <f t="shared" si="22"/>
        <v>858.60174891242252</v>
      </c>
      <c r="FS57" s="359">
        <f t="shared" si="22"/>
        <v>853.3597483762918</v>
      </c>
      <c r="FT57" s="359">
        <f t="shared" si="22"/>
        <v>1087.5244458930899</v>
      </c>
    </row>
    <row r="58" spans="167:176" x14ac:dyDescent="0.25">
      <c r="FK58" s="228"/>
      <c r="FL58" s="556"/>
      <c r="FM58" s="556"/>
      <c r="FN58" s="556"/>
      <c r="FO58" s="556"/>
      <c r="FP58" s="556"/>
      <c r="FQ58" s="556"/>
      <c r="FR58" s="556"/>
      <c r="FS58" s="556"/>
      <c r="FT58" s="556"/>
    </row>
    <row r="59" spans="167:176" x14ac:dyDescent="0.25">
      <c r="FK59" s="233" t="s">
        <v>32</v>
      </c>
    </row>
    <row r="60" spans="167:176" x14ac:dyDescent="0.25">
      <c r="FK60" s="87"/>
    </row>
    <row r="61" spans="167:176" x14ac:dyDescent="0.25">
      <c r="FK61" s="87" t="s">
        <v>1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</row>
    <row r="62" spans="167:176" ht="13.8" thickBot="1" x14ac:dyDescent="0.3">
      <c r="FK62" s="116" t="s">
        <v>8</v>
      </c>
      <c r="FL62" s="92">
        <f>9986+56719</f>
        <v>66705</v>
      </c>
      <c r="FM62" s="92">
        <f>7360+73146</f>
        <v>80506</v>
      </c>
      <c r="FN62" s="92">
        <f>8576+51915</f>
        <v>60491</v>
      </c>
      <c r="FO62" s="92">
        <f>7668.941+45270</f>
        <v>52938.940999999999</v>
      </c>
      <c r="FP62" s="92">
        <f>7861.229+46650.594</f>
        <v>54511.822999999997</v>
      </c>
      <c r="FQ62" s="92">
        <f>8652.803+47429</f>
        <v>56081.803</v>
      </c>
      <c r="FR62" s="92">
        <f>7952.8+42460.5</f>
        <v>50413.3</v>
      </c>
      <c r="FS62" s="92">
        <f>8566.9+44924</f>
        <v>53490.9</v>
      </c>
      <c r="FT62" s="92">
        <f>8347+43661.5</f>
        <v>52008.5</v>
      </c>
    </row>
    <row r="63" spans="167:176" ht="13.8" thickTop="1" x14ac:dyDescent="0.25">
      <c r="FK63" s="87" t="s">
        <v>9</v>
      </c>
      <c r="FL63" s="358">
        <f t="shared" ref="FL63:FN63" si="23">SUM(FL61:FL62)</f>
        <v>66705</v>
      </c>
      <c r="FM63" s="358">
        <f t="shared" si="23"/>
        <v>80506</v>
      </c>
      <c r="FN63" s="358">
        <f t="shared" si="23"/>
        <v>60491</v>
      </c>
      <c r="FO63" s="358">
        <f t="shared" ref="FO63:FT63" si="24">SUM(FO61:FO62)</f>
        <v>52938.940999999999</v>
      </c>
      <c r="FP63" s="358">
        <f t="shared" si="24"/>
        <v>54511.822999999997</v>
      </c>
      <c r="FQ63" s="358">
        <f t="shared" si="24"/>
        <v>56081.803</v>
      </c>
      <c r="FR63" s="358">
        <f t="shared" si="24"/>
        <v>50413.3</v>
      </c>
      <c r="FS63" s="358">
        <f t="shared" si="24"/>
        <v>53490.9</v>
      </c>
      <c r="FT63" s="358">
        <f t="shared" si="24"/>
        <v>52008.5</v>
      </c>
    </row>
    <row r="64" spans="167:176" x14ac:dyDescent="0.25">
      <c r="FK64" s="238" t="s">
        <v>10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</row>
    <row r="65" spans="167:176" ht="13.8" thickBot="1" x14ac:dyDescent="0.3">
      <c r="FK65" s="243" t="s">
        <v>11</v>
      </c>
      <c r="FL65" s="357">
        <f t="shared" ref="FL65:FN65" si="25">SUM(FL62/FL63)</f>
        <v>1</v>
      </c>
      <c r="FM65" s="357">
        <f t="shared" si="25"/>
        <v>1</v>
      </c>
      <c r="FN65" s="357">
        <f t="shared" si="25"/>
        <v>1</v>
      </c>
      <c r="FO65" s="357">
        <f t="shared" ref="FO65:FT65" si="26">SUM(FO62/FO63)</f>
        <v>1</v>
      </c>
      <c r="FP65" s="357">
        <f t="shared" si="26"/>
        <v>1</v>
      </c>
      <c r="FQ65" s="357">
        <f t="shared" si="26"/>
        <v>1</v>
      </c>
      <c r="FR65" s="357">
        <f t="shared" si="26"/>
        <v>1</v>
      </c>
      <c r="FS65" s="357">
        <f t="shared" si="26"/>
        <v>1</v>
      </c>
      <c r="FT65" s="357">
        <f t="shared" si="26"/>
        <v>1</v>
      </c>
    </row>
    <row r="66" spans="167:176" x14ac:dyDescent="0.25">
      <c r="FK66" s="87"/>
    </row>
    <row r="67" spans="167:176" x14ac:dyDescent="0.25">
      <c r="FK67" s="228" t="s">
        <v>22</v>
      </c>
      <c r="FL67" s="360">
        <f>SUM(1000*(FL63))/FL18</f>
        <v>2964.1397084962673</v>
      </c>
      <c r="FM67" s="360">
        <f>SUM(1000*(FM63))/FM18</f>
        <v>3743.2463848979401</v>
      </c>
      <c r="FN67" s="360">
        <f>SUM(1000*(FN63))/FN18</f>
        <v>2618.7713753842158</v>
      </c>
      <c r="FO67" s="360">
        <f t="shared" ref="FO67:FT67" si="27">SUM(1000*(FO63))/FO18</f>
        <v>2557.5603169235228</v>
      </c>
      <c r="FP67" s="360">
        <f t="shared" si="27"/>
        <v>2453.3877762275529</v>
      </c>
      <c r="FQ67" s="360">
        <f t="shared" si="27"/>
        <v>2430.8353777469551</v>
      </c>
      <c r="FR67" s="360">
        <f t="shared" si="27"/>
        <v>2326.946688206785</v>
      </c>
      <c r="FS67" s="360">
        <f t="shared" si="27"/>
        <v>2332.5876504447933</v>
      </c>
      <c r="FT67" s="360">
        <f t="shared" si="27"/>
        <v>2261.435777024089</v>
      </c>
    </row>
    <row r="68" spans="167:176" ht="13.8" customHeight="1" x14ac:dyDescent="0.25">
      <c r="FK68" s="87"/>
    </row>
    <row r="69" spans="167:176" hidden="1" x14ac:dyDescent="0.25">
      <c r="FK69" s="384" t="s">
        <v>54</v>
      </c>
    </row>
    <row r="70" spans="167:176" hidden="1" x14ac:dyDescent="0.25">
      <c r="FK70" s="384" t="s">
        <v>50</v>
      </c>
    </row>
    <row r="71" spans="167:176" hidden="1" x14ac:dyDescent="0.25">
      <c r="FK71" s="390" t="s">
        <v>1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</row>
    <row r="72" spans="167:176" ht="13.8" hidden="1" thickBot="1" x14ac:dyDescent="0.3">
      <c r="FK72" s="391" t="s">
        <v>8</v>
      </c>
      <c r="FL72" s="552">
        <v>149549</v>
      </c>
      <c r="FM72" s="487">
        <f>81973+1783</f>
        <v>83756</v>
      </c>
      <c r="FN72" s="487">
        <f>126102+1524</f>
        <v>127626</v>
      </c>
      <c r="FO72" s="487">
        <f>129016.733+1660.915</f>
        <v>130677.64799999999</v>
      </c>
      <c r="FP72" s="487">
        <f>110215.798+651.76</f>
        <v>110867.55799999999</v>
      </c>
      <c r="FQ72" s="487">
        <f>112922.819+635.387</f>
        <v>113558.20600000001</v>
      </c>
      <c r="FR72" s="487">
        <f>104239.7+598.6</f>
        <v>104838.3</v>
      </c>
      <c r="FS72" s="487">
        <f>112417.5+476.2</f>
        <v>112893.7</v>
      </c>
      <c r="FT72" s="487">
        <f>125518.7+679.1</f>
        <v>126197.8</v>
      </c>
    </row>
    <row r="73" spans="167:176" ht="13.8" hidden="1" thickTop="1" x14ac:dyDescent="0.25">
      <c r="FK73" s="390" t="s">
        <v>9</v>
      </c>
      <c r="FL73" s="489">
        <f t="shared" ref="FL73:FT73" si="28">SUM(FL71:FL72)</f>
        <v>149549</v>
      </c>
      <c r="FM73" s="489">
        <f t="shared" si="28"/>
        <v>83756</v>
      </c>
      <c r="FN73" s="489">
        <f t="shared" si="28"/>
        <v>127626</v>
      </c>
      <c r="FO73" s="489">
        <f t="shared" si="28"/>
        <v>130677.64799999999</v>
      </c>
      <c r="FP73" s="489">
        <f t="shared" si="28"/>
        <v>110867.55799999999</v>
      </c>
      <c r="FQ73" s="489">
        <f t="shared" si="28"/>
        <v>113558.20600000001</v>
      </c>
      <c r="FR73" s="489">
        <f t="shared" si="28"/>
        <v>104838.3</v>
      </c>
      <c r="FS73" s="489">
        <f t="shared" si="28"/>
        <v>112893.7</v>
      </c>
      <c r="FT73" s="489">
        <f t="shared" si="28"/>
        <v>126197.8</v>
      </c>
    </row>
    <row r="74" spans="167:176" hidden="1" x14ac:dyDescent="0.25">
      <c r="FK74" s="403" t="s">
        <v>10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</row>
    <row r="75" spans="167:176" ht="13.8" hidden="1" thickBot="1" x14ac:dyDescent="0.3">
      <c r="FK75" s="410" t="s">
        <v>11</v>
      </c>
      <c r="FL75" s="493">
        <f t="shared" ref="FL75:FT75" si="29">SUM(FL72/FL73)</f>
        <v>1</v>
      </c>
      <c r="FM75" s="493">
        <f t="shared" si="29"/>
        <v>1</v>
      </c>
      <c r="FN75" s="493">
        <f t="shared" si="29"/>
        <v>1</v>
      </c>
      <c r="FO75" s="493">
        <f t="shared" si="29"/>
        <v>1</v>
      </c>
      <c r="FP75" s="493">
        <f t="shared" si="29"/>
        <v>1</v>
      </c>
      <c r="FQ75" s="493">
        <f t="shared" si="29"/>
        <v>1</v>
      </c>
      <c r="FR75" s="493">
        <f t="shared" si="29"/>
        <v>1</v>
      </c>
      <c r="FS75" s="493">
        <f t="shared" si="29"/>
        <v>1</v>
      </c>
      <c r="FT75" s="493">
        <f t="shared" si="29"/>
        <v>1</v>
      </c>
    </row>
    <row r="76" spans="167:176" x14ac:dyDescent="0.25">
      <c r="FK76" s="390"/>
    </row>
    <row r="77" spans="167:176" x14ac:dyDescent="0.25">
      <c r="FK77" s="384" t="s">
        <v>55</v>
      </c>
    </row>
    <row r="78" spans="167:176" x14ac:dyDescent="0.25">
      <c r="FK78" s="390" t="s">
        <v>1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</row>
    <row r="79" spans="167:176" ht="13.8" thickBot="1" x14ac:dyDescent="0.3">
      <c r="FK79" s="391" t="s">
        <v>8</v>
      </c>
      <c r="FL79">
        <v>181</v>
      </c>
      <c r="FM79" s="554">
        <v>175</v>
      </c>
      <c r="FN79" s="554">
        <v>195</v>
      </c>
      <c r="FO79" s="387">
        <v>164.38</v>
      </c>
      <c r="FP79" s="387">
        <v>179.48</v>
      </c>
      <c r="FQ79" s="387">
        <v>211.05</v>
      </c>
      <c r="FR79" s="387">
        <v>177.6</v>
      </c>
      <c r="FS79" s="387">
        <v>192.6</v>
      </c>
      <c r="FT79" s="387">
        <v>192.5</v>
      </c>
    </row>
    <row r="80" spans="167:176" ht="13.8" thickTop="1" x14ac:dyDescent="0.25">
      <c r="FK80" s="390" t="s">
        <v>9</v>
      </c>
      <c r="FL80" s="489">
        <f t="shared" ref="FL80:FN80" si="30">SUM(FL78:FL79)</f>
        <v>181</v>
      </c>
      <c r="FM80" s="489">
        <f t="shared" si="30"/>
        <v>175</v>
      </c>
      <c r="FN80" s="489">
        <f t="shared" si="30"/>
        <v>195</v>
      </c>
      <c r="FO80" s="489">
        <f t="shared" ref="FO80:FT80" si="31">SUM(FO78:FO79)</f>
        <v>164.38</v>
      </c>
      <c r="FP80" s="489">
        <f t="shared" si="31"/>
        <v>179.48</v>
      </c>
      <c r="FQ80" s="489">
        <f t="shared" si="31"/>
        <v>211.05</v>
      </c>
      <c r="FR80" s="489">
        <f t="shared" si="31"/>
        <v>177.6</v>
      </c>
      <c r="FS80" s="489">
        <f t="shared" si="31"/>
        <v>192.6</v>
      </c>
      <c r="FT80" s="489">
        <f t="shared" si="31"/>
        <v>192.5</v>
      </c>
    </row>
    <row r="81" spans="167:176" x14ac:dyDescent="0.25">
      <c r="FK81" s="403" t="s">
        <v>10</v>
      </c>
      <c r="FL81" s="491">
        <f t="shared" ref="FL81:FN81" si="32">SUM(FL78)/FL80</f>
        <v>0</v>
      </c>
      <c r="FM81" s="491">
        <f t="shared" si="32"/>
        <v>0</v>
      </c>
      <c r="FN81" s="491">
        <f t="shared" si="32"/>
        <v>0</v>
      </c>
      <c r="FO81" s="491">
        <f t="shared" ref="FO81:FT81" si="33">SUM(FO78)/FO80</f>
        <v>0</v>
      </c>
      <c r="FP81" s="491">
        <f t="shared" si="33"/>
        <v>0</v>
      </c>
      <c r="FQ81" s="491">
        <f t="shared" si="33"/>
        <v>0</v>
      </c>
      <c r="FR81" s="491">
        <f t="shared" si="33"/>
        <v>0</v>
      </c>
      <c r="FS81" s="491">
        <f t="shared" si="33"/>
        <v>0</v>
      </c>
      <c r="FT81" s="491">
        <f t="shared" si="33"/>
        <v>0</v>
      </c>
    </row>
    <row r="82" spans="167:176" ht="13.8" thickBot="1" x14ac:dyDescent="0.3">
      <c r="FK82" s="410" t="s">
        <v>11</v>
      </c>
      <c r="FL82" s="493">
        <f t="shared" ref="FL82:FN82" si="34">SUM(FL79/FL80)</f>
        <v>1</v>
      </c>
      <c r="FM82" s="493">
        <f t="shared" si="34"/>
        <v>1</v>
      </c>
      <c r="FN82" s="493">
        <f t="shared" si="34"/>
        <v>1</v>
      </c>
      <c r="FO82" s="493">
        <f t="shared" ref="FO82:FT82" si="35">SUM(FO79/FO80)</f>
        <v>1</v>
      </c>
      <c r="FP82" s="493">
        <f t="shared" si="35"/>
        <v>1</v>
      </c>
      <c r="FQ82" s="493">
        <f t="shared" si="35"/>
        <v>1</v>
      </c>
      <c r="FR82" s="493">
        <f t="shared" si="35"/>
        <v>1</v>
      </c>
      <c r="FS82" s="493">
        <f t="shared" si="35"/>
        <v>1</v>
      </c>
      <c r="FT82" s="493">
        <f t="shared" si="35"/>
        <v>1</v>
      </c>
    </row>
    <row r="83" spans="167:176" x14ac:dyDescent="0.25">
      <c r="FK83" s="381"/>
    </row>
    <row r="84" spans="167:176" x14ac:dyDescent="0.25">
      <c r="FK84" s="108" t="s">
        <v>56</v>
      </c>
    </row>
    <row r="85" spans="167:176" x14ac:dyDescent="0.25">
      <c r="FK85" s="87" t="s">
        <v>1</v>
      </c>
      <c r="FL85" s="359">
        <f>SUM(FL51,FL61,FL71,FL78)</f>
        <v>0</v>
      </c>
      <c r="FM85" s="359">
        <f t="shared" ref="FM85:FT85" si="36">SUM(FM51,FM61,FM71,FM78)</f>
        <v>0</v>
      </c>
      <c r="FN85" s="359">
        <f t="shared" si="36"/>
        <v>0</v>
      </c>
      <c r="FO85" s="359">
        <f t="shared" si="36"/>
        <v>0</v>
      </c>
      <c r="FP85" s="359">
        <f t="shared" si="36"/>
        <v>0</v>
      </c>
      <c r="FQ85" s="359">
        <f t="shared" si="36"/>
        <v>0</v>
      </c>
      <c r="FR85" s="359">
        <f t="shared" si="36"/>
        <v>0</v>
      </c>
      <c r="FS85" s="359">
        <f t="shared" si="36"/>
        <v>0</v>
      </c>
      <c r="FT85" s="359">
        <f t="shared" si="36"/>
        <v>0</v>
      </c>
    </row>
    <row r="86" spans="167:176" ht="13.8" thickBot="1" x14ac:dyDescent="0.3">
      <c r="FK86" s="90" t="s">
        <v>8</v>
      </c>
      <c r="FL86" s="365">
        <f>SUM(FL52,FL62,FL72,FL79)</f>
        <v>252185</v>
      </c>
      <c r="FM86" s="365">
        <f>SUM(FM52,FM62,FM72,FM79)</f>
        <v>183862</v>
      </c>
      <c r="FN86" s="365">
        <f>SUM(FN52,FN62,FN72,FN79)</f>
        <v>221076</v>
      </c>
      <c r="FO86" s="365">
        <f t="shared" ref="FO86:FT86" si="37">SUM(FO52,FO62,FO72,FO79)</f>
        <v>214730.26899999997</v>
      </c>
      <c r="FP86" s="365">
        <f t="shared" si="37"/>
        <v>199534.32</v>
      </c>
      <c r="FQ86" s="365">
        <f t="shared" si="37"/>
        <v>196470.03</v>
      </c>
      <c r="FR86" s="365">
        <f t="shared" si="37"/>
        <v>174968.4</v>
      </c>
      <c r="FS86" s="365">
        <f t="shared" si="37"/>
        <v>187468.30000000002</v>
      </c>
      <c r="FT86" s="365">
        <f t="shared" si="37"/>
        <v>205091</v>
      </c>
    </row>
    <row r="87" spans="167:176" ht="13.8" thickTop="1" x14ac:dyDescent="0.25">
      <c r="FK87" s="87" t="s">
        <v>9</v>
      </c>
      <c r="FL87" s="358">
        <f t="shared" ref="FL87:FT87" si="38">SUM(FL85:FL86)</f>
        <v>252185</v>
      </c>
      <c r="FM87" s="358">
        <f t="shared" si="38"/>
        <v>183862</v>
      </c>
      <c r="FN87" s="358">
        <f t="shared" si="38"/>
        <v>221076</v>
      </c>
      <c r="FO87" s="358">
        <f t="shared" si="38"/>
        <v>214730.26899999997</v>
      </c>
      <c r="FP87" s="358">
        <f t="shared" si="38"/>
        <v>199534.32</v>
      </c>
      <c r="FQ87" s="358">
        <f t="shared" si="38"/>
        <v>196470.03</v>
      </c>
      <c r="FR87" s="358">
        <f t="shared" si="38"/>
        <v>174968.4</v>
      </c>
      <c r="FS87" s="358">
        <f t="shared" si="38"/>
        <v>187468.30000000002</v>
      </c>
      <c r="FT87" s="358">
        <f t="shared" si="38"/>
        <v>205091</v>
      </c>
    </row>
    <row r="88" spans="167:176" x14ac:dyDescent="0.25">
      <c r="FK88" s="3" t="s">
        <v>10</v>
      </c>
      <c r="FL88" s="280">
        <f t="shared" ref="FL88:FT88" si="39">SUM(FL85)/FL87</f>
        <v>0</v>
      </c>
      <c r="FM88" s="280">
        <f t="shared" si="39"/>
        <v>0</v>
      </c>
      <c r="FN88" s="280">
        <f t="shared" si="39"/>
        <v>0</v>
      </c>
      <c r="FO88" s="280">
        <f t="shared" si="39"/>
        <v>0</v>
      </c>
      <c r="FP88" s="280">
        <f t="shared" si="39"/>
        <v>0</v>
      </c>
      <c r="FQ88" s="280">
        <f t="shared" si="39"/>
        <v>0</v>
      </c>
      <c r="FR88" s="280">
        <f t="shared" si="39"/>
        <v>0</v>
      </c>
      <c r="FS88" s="280">
        <f t="shared" si="39"/>
        <v>0</v>
      </c>
      <c r="FT88" s="280">
        <f t="shared" si="39"/>
        <v>0</v>
      </c>
    </row>
    <row r="89" spans="167:176" ht="13.8" thickBot="1" x14ac:dyDescent="0.3">
      <c r="FK89" s="4" t="s">
        <v>11</v>
      </c>
      <c r="FL89" s="361">
        <f t="shared" ref="FL89:FT89" si="40">SUM(FL86/FL87)</f>
        <v>1</v>
      </c>
      <c r="FM89" s="361">
        <f t="shared" si="40"/>
        <v>1</v>
      </c>
      <c r="FN89" s="361">
        <f t="shared" si="40"/>
        <v>1</v>
      </c>
      <c r="FO89" s="361">
        <f t="shared" si="40"/>
        <v>1</v>
      </c>
      <c r="FP89" s="361">
        <f t="shared" si="40"/>
        <v>1</v>
      </c>
      <c r="FQ89" s="361">
        <f t="shared" si="40"/>
        <v>1</v>
      </c>
      <c r="FR89" s="361">
        <f t="shared" si="40"/>
        <v>1</v>
      </c>
      <c r="FS89" s="361">
        <f t="shared" si="40"/>
        <v>1</v>
      </c>
      <c r="FT89" s="361">
        <f t="shared" si="40"/>
        <v>1</v>
      </c>
    </row>
  </sheetData>
  <sheetProtection algorithmName="SHA-512" hashValue="7M/MDLwOxLBLTzQELx+6gzufoul0BYrxvjZuRwKfZY2Py3BCx0YEKrjOinIUU118T98Dua0/4yg/VK3KQy7Qzg==" saltValue="herPv8KTLbtvFW4NnINKYQ==" spinCount="100000" sheet="1" objects="1" scenarios="1"/>
  <mergeCells count="4">
    <mergeCell ref="FO2:FZ2"/>
    <mergeCell ref="FO3:FZ3"/>
    <mergeCell ref="FO4:FZ4"/>
    <mergeCell ref="FK4:FN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K2:FZ89"/>
  <sheetViews>
    <sheetView topLeftCell="FM18" workbookViewId="0">
      <selection activeCell="GC44" sqref="GC44"/>
    </sheetView>
  </sheetViews>
  <sheetFormatPr defaultRowHeight="13.2" x14ac:dyDescent="0.25"/>
  <cols>
    <col min="167" max="167" width="14.6640625" customWidth="1"/>
    <col min="168" max="168" width="17.44140625" customWidth="1"/>
    <col min="169" max="170" width="12.33203125" customWidth="1"/>
  </cols>
  <sheetData>
    <row r="2" spans="167:182" x14ac:dyDescent="0.25">
      <c r="FL2" s="48" t="s">
        <v>77</v>
      </c>
      <c r="FM2" s="558"/>
      <c r="FN2" s="558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167:182" ht="13.8" thickBot="1" x14ac:dyDescent="0.3">
      <c r="FL3" s="560" t="s">
        <v>97</v>
      </c>
      <c r="FM3" s="555"/>
      <c r="FO3" s="576" t="s">
        <v>97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167:182" ht="13.8" thickBot="1" x14ac:dyDescent="0.3">
      <c r="FK4" s="605">
        <v>2015</v>
      </c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167:182" ht="13.8" thickBot="1" x14ac:dyDescent="0.3">
      <c r="FK5" s="563"/>
      <c r="FL5" s="212" t="s">
        <v>69</v>
      </c>
      <c r="FM5" s="212" t="s">
        <v>70</v>
      </c>
      <c r="FN5" s="212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221"/>
      <c r="FV5" s="221"/>
      <c r="FW5" s="221"/>
      <c r="FX5" s="221"/>
      <c r="FY5" s="221"/>
      <c r="FZ5" s="221"/>
    </row>
    <row r="6" spans="167:182" x14ac:dyDescent="0.25">
      <c r="FK6" s="222" t="s">
        <v>12</v>
      </c>
      <c r="FL6" s="562"/>
      <c r="FM6" s="562"/>
      <c r="FN6" s="562"/>
    </row>
    <row r="7" spans="167:182" x14ac:dyDescent="0.25">
      <c r="FK7" s="557"/>
    </row>
    <row r="8" spans="167:182" x14ac:dyDescent="0.25">
      <c r="FK8" s="87" t="s">
        <v>1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</row>
    <row r="9" spans="167:182" ht="13.8" thickBot="1" x14ac:dyDescent="0.3">
      <c r="FK9" s="90" t="s">
        <v>8</v>
      </c>
      <c r="FL9" s="553">
        <v>2582</v>
      </c>
      <c r="FM9" s="553">
        <v>2597</v>
      </c>
      <c r="FN9" s="554">
        <v>2647</v>
      </c>
      <c r="FO9" s="554">
        <v>2740</v>
      </c>
      <c r="FP9" s="554">
        <v>2756</v>
      </c>
      <c r="FQ9" s="554">
        <v>2741</v>
      </c>
      <c r="FR9" s="554">
        <v>2771</v>
      </c>
      <c r="FS9" s="554">
        <v>2734</v>
      </c>
      <c r="FT9" s="554">
        <v>2768</v>
      </c>
    </row>
    <row r="10" spans="167:182" ht="13.8" thickTop="1" x14ac:dyDescent="0.25">
      <c r="FK10" s="87" t="s">
        <v>9</v>
      </c>
      <c r="FL10" s="353">
        <f t="shared" ref="FL10:FN10" si="0">SUM(FL8:FL9)</f>
        <v>2582</v>
      </c>
      <c r="FM10" s="353">
        <f t="shared" si="0"/>
        <v>2597</v>
      </c>
      <c r="FN10" s="353">
        <f t="shared" si="0"/>
        <v>2647</v>
      </c>
      <c r="FO10" s="353">
        <f t="shared" ref="FO10:FQ10" si="1">SUM(FO8:FO9)</f>
        <v>2740</v>
      </c>
      <c r="FP10" s="353">
        <f t="shared" si="1"/>
        <v>2756</v>
      </c>
      <c r="FQ10" s="353">
        <f t="shared" si="1"/>
        <v>2741</v>
      </c>
      <c r="FR10" s="353">
        <f t="shared" ref="FR10:FT10" si="2">SUM(FR8:FR9)</f>
        <v>2771</v>
      </c>
      <c r="FS10" s="353">
        <f t="shared" si="2"/>
        <v>2734</v>
      </c>
      <c r="FT10" s="353">
        <f t="shared" si="2"/>
        <v>2768</v>
      </c>
    </row>
    <row r="11" spans="167:182" x14ac:dyDescent="0.25">
      <c r="FK11" s="264" t="s">
        <v>10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</row>
    <row r="12" spans="167:182" ht="13.8" thickBot="1" x14ac:dyDescent="0.3">
      <c r="FK12" s="266" t="s">
        <v>11</v>
      </c>
      <c r="FL12" s="354">
        <f t="shared" ref="FL12:FN12" si="3">SUM(FL9/FL10)</f>
        <v>1</v>
      </c>
      <c r="FM12" s="354">
        <f t="shared" si="3"/>
        <v>1</v>
      </c>
      <c r="FN12" s="354">
        <f t="shared" si="3"/>
        <v>1</v>
      </c>
      <c r="FO12" s="354">
        <f t="shared" ref="FO12:FQ12" si="4">SUM(FO9/FO10)</f>
        <v>1</v>
      </c>
      <c r="FP12" s="354">
        <f t="shared" si="4"/>
        <v>1</v>
      </c>
      <c r="FQ12" s="354">
        <f t="shared" si="4"/>
        <v>1</v>
      </c>
      <c r="FR12" s="354">
        <f t="shared" ref="FR12:FT12" si="5">SUM(FR9/FR10)</f>
        <v>1</v>
      </c>
      <c r="FS12" s="354">
        <f t="shared" si="5"/>
        <v>1</v>
      </c>
      <c r="FT12" s="354">
        <f t="shared" si="5"/>
        <v>1</v>
      </c>
    </row>
    <row r="13" spans="167:182" x14ac:dyDescent="0.25">
      <c r="FK13" s="87"/>
    </row>
    <row r="14" spans="167:182" x14ac:dyDescent="0.25">
      <c r="FK14" s="108" t="s">
        <v>51</v>
      </c>
    </row>
    <row r="15" spans="167:182" x14ac:dyDescent="0.25">
      <c r="FK15" s="108" t="s">
        <v>52</v>
      </c>
    </row>
    <row r="16" spans="167:182" x14ac:dyDescent="0.25">
      <c r="FK16" s="87" t="s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</row>
    <row r="17" spans="167:176" ht="13.8" thickBot="1" x14ac:dyDescent="0.3">
      <c r="FK17" s="90" t="s">
        <v>8</v>
      </c>
      <c r="FL17" s="553">
        <v>263</v>
      </c>
      <c r="FM17" s="553">
        <v>273</v>
      </c>
      <c r="FN17" s="553">
        <v>293</v>
      </c>
      <c r="FO17" s="553">
        <v>294</v>
      </c>
      <c r="FP17" s="553">
        <v>294</v>
      </c>
      <c r="FQ17" s="553">
        <v>309</v>
      </c>
      <c r="FR17" s="553">
        <v>310</v>
      </c>
      <c r="FS17" s="553">
        <v>307</v>
      </c>
      <c r="FT17" s="553">
        <v>308</v>
      </c>
    </row>
    <row r="18" spans="167:176" ht="13.8" thickTop="1" x14ac:dyDescent="0.25">
      <c r="FK18" s="87" t="s">
        <v>9</v>
      </c>
      <c r="FL18" s="355">
        <f t="shared" ref="FL18:FN18" si="6">SUM(FL16:FL17)</f>
        <v>263</v>
      </c>
      <c r="FM18" s="355">
        <f t="shared" si="6"/>
        <v>273</v>
      </c>
      <c r="FN18" s="355">
        <f t="shared" si="6"/>
        <v>293</v>
      </c>
      <c r="FO18" s="355">
        <f t="shared" ref="FO18:FT18" si="7">SUM(FO16:FO17)</f>
        <v>294</v>
      </c>
      <c r="FP18" s="355">
        <f t="shared" si="7"/>
        <v>294</v>
      </c>
      <c r="FQ18" s="355">
        <f t="shared" si="7"/>
        <v>309</v>
      </c>
      <c r="FR18" s="355">
        <f t="shared" si="7"/>
        <v>310</v>
      </c>
      <c r="FS18" s="355">
        <f t="shared" si="7"/>
        <v>307</v>
      </c>
      <c r="FT18" s="355">
        <f t="shared" si="7"/>
        <v>308</v>
      </c>
    </row>
    <row r="19" spans="167:176" x14ac:dyDescent="0.25">
      <c r="FK19" s="264" t="s">
        <v>10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</row>
    <row r="20" spans="167:176" ht="13.8" thickBot="1" x14ac:dyDescent="0.3">
      <c r="FK20" s="266" t="s">
        <v>11</v>
      </c>
      <c r="FL20" s="354">
        <f t="shared" ref="FL20:FN20" si="8">SUM(FL17/FL18)</f>
        <v>1</v>
      </c>
      <c r="FM20" s="354">
        <f t="shared" si="8"/>
        <v>1</v>
      </c>
      <c r="FN20" s="354">
        <f t="shared" si="8"/>
        <v>1</v>
      </c>
      <c r="FO20" s="354">
        <f t="shared" ref="FO20:FT20" si="9">SUM(FO17/FO18)</f>
        <v>1</v>
      </c>
      <c r="FP20" s="354">
        <f t="shared" si="9"/>
        <v>1</v>
      </c>
      <c r="FQ20" s="354">
        <f t="shared" si="9"/>
        <v>1</v>
      </c>
      <c r="FR20" s="354">
        <f t="shared" si="9"/>
        <v>1</v>
      </c>
      <c r="FS20" s="354">
        <f t="shared" si="9"/>
        <v>1</v>
      </c>
      <c r="FT20" s="354">
        <f t="shared" si="9"/>
        <v>1</v>
      </c>
    </row>
    <row r="21" spans="167:176" x14ac:dyDescent="0.25">
      <c r="FK21" s="87"/>
    </row>
    <row r="22" spans="167:176" hidden="1" x14ac:dyDescent="0.25">
      <c r="FK22" s="384" t="s">
        <v>49</v>
      </c>
    </row>
    <row r="23" spans="167:176" hidden="1" x14ac:dyDescent="0.25">
      <c r="FK23" s="384" t="s">
        <v>50</v>
      </c>
    </row>
    <row r="24" spans="167:176" hidden="1" x14ac:dyDescent="0.25">
      <c r="FK24" s="390" t="s">
        <v>1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</row>
    <row r="25" spans="167:176" ht="13.8" hidden="1" thickBot="1" x14ac:dyDescent="0.3">
      <c r="FK25" s="391" t="s">
        <v>8</v>
      </c>
      <c r="FL25" s="554">
        <v>0</v>
      </c>
      <c r="FM25" s="554">
        <v>0</v>
      </c>
      <c r="FN25" s="554">
        <v>0</v>
      </c>
      <c r="FO25" s="554">
        <v>0</v>
      </c>
      <c r="FP25" s="554">
        <v>0</v>
      </c>
      <c r="FQ25" s="554">
        <v>0</v>
      </c>
      <c r="FR25" s="554">
        <v>0</v>
      </c>
      <c r="FS25" s="554">
        <v>0</v>
      </c>
      <c r="FT25" s="554">
        <v>0</v>
      </c>
    </row>
    <row r="26" spans="167:176" ht="13.8" hidden="1" thickTop="1" x14ac:dyDescent="0.25">
      <c r="FK26" s="390" t="s">
        <v>9</v>
      </c>
      <c r="FL26" s="558">
        <v>0</v>
      </c>
      <c r="FM26" s="558">
        <v>0</v>
      </c>
      <c r="FN26" s="558">
        <v>0</v>
      </c>
      <c r="FO26" s="558">
        <v>0</v>
      </c>
      <c r="FP26" s="558">
        <v>0</v>
      </c>
      <c r="FQ26" s="558">
        <v>0</v>
      </c>
      <c r="FR26" s="558">
        <v>0</v>
      </c>
      <c r="FS26" s="558">
        <v>0</v>
      </c>
      <c r="FT26" s="558">
        <v>0</v>
      </c>
    </row>
    <row r="27" spans="167:176" hidden="1" x14ac:dyDescent="0.25">
      <c r="FK27" s="403" t="s">
        <v>10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</row>
    <row r="28" spans="167:176" ht="13.8" hidden="1" thickBot="1" x14ac:dyDescent="0.3">
      <c r="FK28" s="410" t="s">
        <v>11</v>
      </c>
      <c r="FL28" s="554">
        <v>0</v>
      </c>
      <c r="FM28" s="554">
        <v>0</v>
      </c>
      <c r="FN28" s="554">
        <v>0</v>
      </c>
      <c r="FO28" s="554">
        <v>0</v>
      </c>
      <c r="FP28" s="554">
        <v>0</v>
      </c>
      <c r="FQ28" s="554">
        <v>0</v>
      </c>
      <c r="FR28" s="554">
        <v>0</v>
      </c>
      <c r="FS28" s="554">
        <v>0</v>
      </c>
      <c r="FT28" s="554">
        <v>0</v>
      </c>
    </row>
    <row r="29" spans="167:176" hidden="1" x14ac:dyDescent="0.25">
      <c r="FK29" s="390"/>
    </row>
    <row r="30" spans="167:176" x14ac:dyDescent="0.25">
      <c r="FK30" s="384" t="s">
        <v>53</v>
      </c>
    </row>
    <row r="31" spans="167:176" x14ac:dyDescent="0.25">
      <c r="FK31" s="390" t="s">
        <v>1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</row>
    <row r="32" spans="167:176" ht="13.8" thickBot="1" x14ac:dyDescent="0.3">
      <c r="FK32" s="391" t="s">
        <v>8</v>
      </c>
      <c r="FL32" s="553">
        <v>4</v>
      </c>
      <c r="FM32" s="553">
        <v>4</v>
      </c>
      <c r="FN32" s="554">
        <v>4</v>
      </c>
      <c r="FO32" s="554">
        <v>7</v>
      </c>
      <c r="FP32" s="554">
        <v>7</v>
      </c>
      <c r="FQ32" s="554">
        <v>7</v>
      </c>
      <c r="FR32" s="554">
        <v>7</v>
      </c>
      <c r="FS32" s="554">
        <v>7</v>
      </c>
      <c r="FT32" s="554">
        <v>7</v>
      </c>
    </row>
    <row r="33" spans="167:182" ht="13.8" thickTop="1" x14ac:dyDescent="0.25">
      <c r="FK33" s="390" t="s">
        <v>9</v>
      </c>
      <c r="FL33" s="503">
        <f t="shared" ref="FL33:FN33" si="10">SUM(FL31:FL32)</f>
        <v>4</v>
      </c>
      <c r="FM33" s="503">
        <f t="shared" si="10"/>
        <v>4</v>
      </c>
      <c r="FN33" s="503">
        <f t="shared" si="10"/>
        <v>4</v>
      </c>
      <c r="FO33" s="503">
        <f t="shared" ref="FO33:FT33" si="11">SUM(FO31:FO32)</f>
        <v>7</v>
      </c>
      <c r="FP33" s="503">
        <f t="shared" si="11"/>
        <v>7</v>
      </c>
      <c r="FQ33" s="503">
        <f t="shared" si="11"/>
        <v>7</v>
      </c>
      <c r="FR33" s="503">
        <f t="shared" si="11"/>
        <v>7</v>
      </c>
      <c r="FS33" s="503">
        <f t="shared" si="11"/>
        <v>7</v>
      </c>
      <c r="FT33" s="503">
        <f t="shared" si="11"/>
        <v>7</v>
      </c>
    </row>
    <row r="34" spans="167:182" x14ac:dyDescent="0.25">
      <c r="FK34" s="403" t="s">
        <v>10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</row>
    <row r="35" spans="167:182" ht="13.8" thickBot="1" x14ac:dyDescent="0.3">
      <c r="FK35" s="504" t="s">
        <v>11</v>
      </c>
      <c r="FL35" s="415">
        <f t="shared" ref="FL35:FN35" si="12">SUM(FL32/FL33)</f>
        <v>1</v>
      </c>
      <c r="FM35" s="415">
        <f t="shared" si="12"/>
        <v>1</v>
      </c>
      <c r="FN35" s="415">
        <f t="shared" si="12"/>
        <v>1</v>
      </c>
      <c r="FO35" s="415">
        <f t="shared" ref="FO35:FT35" si="13">SUM(FO32/FO33)</f>
        <v>1</v>
      </c>
      <c r="FP35" s="415">
        <f t="shared" si="13"/>
        <v>1</v>
      </c>
      <c r="FQ35" s="415">
        <f t="shared" si="13"/>
        <v>1</v>
      </c>
      <c r="FR35" s="415">
        <f t="shared" si="13"/>
        <v>1</v>
      </c>
      <c r="FS35" s="415">
        <f t="shared" si="13"/>
        <v>1</v>
      </c>
      <c r="FT35" s="415">
        <f t="shared" si="13"/>
        <v>1</v>
      </c>
    </row>
    <row r="36" spans="167:182" x14ac:dyDescent="0.25">
      <c r="FK36" s="502"/>
    </row>
    <row r="37" spans="167:182" x14ac:dyDescent="0.25">
      <c r="FK37" s="108" t="s">
        <v>57</v>
      </c>
    </row>
    <row r="38" spans="167:182" x14ac:dyDescent="0.25">
      <c r="FK38" s="87" t="s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</row>
    <row r="39" spans="167:182" ht="13.8" thickBot="1" x14ac:dyDescent="0.3">
      <c r="FK39" s="90" t="s">
        <v>8</v>
      </c>
      <c r="FL39" s="352">
        <f>SUM(FL9,FL17,FL25,FL32)</f>
        <v>2849</v>
      </c>
      <c r="FM39" s="352">
        <f>SUM(FM9,FM17,FM25,FM32)</f>
        <v>2874</v>
      </c>
      <c r="FN39" s="352">
        <f>SUM(FN9,FN17,FN25,FN32)</f>
        <v>2944</v>
      </c>
      <c r="FO39" s="352">
        <f t="shared" ref="FO39:FT39" si="14">SUM(FO9,FO17,FO25,FO32)</f>
        <v>3041</v>
      </c>
      <c r="FP39" s="352">
        <f t="shared" si="14"/>
        <v>3057</v>
      </c>
      <c r="FQ39" s="352">
        <f t="shared" si="14"/>
        <v>3057</v>
      </c>
      <c r="FR39" s="352">
        <f t="shared" si="14"/>
        <v>3088</v>
      </c>
      <c r="FS39" s="352">
        <f t="shared" si="14"/>
        <v>3048</v>
      </c>
      <c r="FT39" s="352">
        <f t="shared" si="14"/>
        <v>3083</v>
      </c>
    </row>
    <row r="40" spans="167:182" ht="13.8" thickTop="1" x14ac:dyDescent="0.25">
      <c r="FK40" s="87" t="s">
        <v>9</v>
      </c>
      <c r="FL40" s="358">
        <f t="shared" ref="FL40:FT40" si="15">SUM(FL38:FL39)</f>
        <v>2849</v>
      </c>
      <c r="FM40" s="358">
        <f t="shared" si="15"/>
        <v>2874</v>
      </c>
      <c r="FN40" s="358">
        <f t="shared" si="15"/>
        <v>2944</v>
      </c>
      <c r="FO40" s="358">
        <f t="shared" si="15"/>
        <v>3041</v>
      </c>
      <c r="FP40" s="358">
        <f t="shared" si="15"/>
        <v>3057</v>
      </c>
      <c r="FQ40" s="358">
        <f t="shared" si="15"/>
        <v>3057</v>
      </c>
      <c r="FR40" s="358">
        <f t="shared" si="15"/>
        <v>3088</v>
      </c>
      <c r="FS40" s="358">
        <f t="shared" si="15"/>
        <v>3048</v>
      </c>
      <c r="FT40" s="358">
        <f t="shared" si="15"/>
        <v>3083</v>
      </c>
    </row>
    <row r="41" spans="167:182" x14ac:dyDescent="0.25">
      <c r="FK41" s="238" t="s">
        <v>10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</row>
    <row r="42" spans="167:182" ht="13.8" thickBot="1" x14ac:dyDescent="0.3">
      <c r="FK42" s="243" t="s">
        <v>11</v>
      </c>
      <c r="FL42" s="354">
        <f t="shared" ref="FL42:FT42" si="16">SUM(FL39/FL40)</f>
        <v>1</v>
      </c>
      <c r="FM42" s="354">
        <f t="shared" si="16"/>
        <v>1</v>
      </c>
      <c r="FN42" s="354">
        <f t="shared" si="16"/>
        <v>1</v>
      </c>
      <c r="FO42" s="354">
        <f t="shared" si="16"/>
        <v>1</v>
      </c>
      <c r="FP42" s="354">
        <f t="shared" si="16"/>
        <v>1</v>
      </c>
      <c r="FQ42" s="354">
        <f t="shared" si="16"/>
        <v>1</v>
      </c>
      <c r="FR42" s="354">
        <f t="shared" si="16"/>
        <v>1</v>
      </c>
      <c r="FS42" s="354">
        <f t="shared" si="16"/>
        <v>1</v>
      </c>
      <c r="FT42" s="354">
        <f t="shared" si="16"/>
        <v>1</v>
      </c>
      <c r="FU42" s="354"/>
    </row>
    <row r="45" spans="167:182" x14ac:dyDescent="0.25">
      <c r="FK45" s="1"/>
      <c r="FL45" s="1" t="s">
        <v>79</v>
      </c>
      <c r="FM45" s="1"/>
      <c r="FO45" s="575" t="s">
        <v>77</v>
      </c>
      <c r="FP45" s="575"/>
      <c r="FQ45" s="575"/>
      <c r="FR45" s="575"/>
      <c r="FS45" s="575"/>
      <c r="FT45" s="575"/>
      <c r="FU45" s="575"/>
      <c r="FV45" s="575"/>
      <c r="FW45" s="575"/>
      <c r="FX45" s="575"/>
      <c r="FY45" s="575"/>
      <c r="FZ45" s="575"/>
    </row>
    <row r="46" spans="167:182" ht="13.8" thickBot="1" x14ac:dyDescent="0.3">
      <c r="FK46" s="106"/>
      <c r="FL46" s="1" t="s">
        <v>97</v>
      </c>
      <c r="FM46" s="1"/>
      <c r="FN46" s="1"/>
      <c r="FO46" s="576" t="s">
        <v>97</v>
      </c>
      <c r="FP46" s="576"/>
      <c r="FQ46" s="576"/>
      <c r="FR46" s="576"/>
      <c r="FS46" s="576"/>
      <c r="FT46" s="576"/>
      <c r="FU46" s="576"/>
      <c r="FV46" s="576"/>
      <c r="FW46" s="576"/>
      <c r="FX46" s="576"/>
      <c r="FY46" s="576"/>
      <c r="FZ46" s="576"/>
    </row>
    <row r="47" spans="167:182" ht="13.8" thickBot="1" x14ac:dyDescent="0.3">
      <c r="FK47" s="106"/>
      <c r="FL47" s="1"/>
      <c r="FM47" s="1">
        <v>2015</v>
      </c>
      <c r="FN47" s="1"/>
      <c r="FO47" s="572">
        <v>2016</v>
      </c>
      <c r="FP47" s="573"/>
      <c r="FQ47" s="573"/>
      <c r="FR47" s="573"/>
      <c r="FS47" s="573"/>
      <c r="FT47" s="573"/>
      <c r="FU47" s="573"/>
      <c r="FV47" s="573"/>
      <c r="FW47" s="573"/>
      <c r="FX47" s="573"/>
      <c r="FY47" s="573"/>
      <c r="FZ47" s="574"/>
    </row>
    <row r="48" spans="167:182" ht="13.8" thickBot="1" x14ac:dyDescent="0.3">
      <c r="FL48" s="212" t="s">
        <v>69</v>
      </c>
      <c r="FM48" s="212" t="s">
        <v>70</v>
      </c>
      <c r="FN48" s="212" t="s">
        <v>71</v>
      </c>
      <c r="FO48" s="212" t="s">
        <v>72</v>
      </c>
      <c r="FP48" s="212" t="s">
        <v>73</v>
      </c>
      <c r="FQ48" s="212" t="s">
        <v>2</v>
      </c>
      <c r="FR48" s="212" t="s">
        <v>3</v>
      </c>
      <c r="FS48" s="212" t="s">
        <v>4</v>
      </c>
      <c r="FT48" s="212" t="s">
        <v>5</v>
      </c>
    </row>
    <row r="49" spans="167:176" x14ac:dyDescent="0.25">
      <c r="FK49" s="108" t="s">
        <v>31</v>
      </c>
    </row>
    <row r="50" spans="167:176" x14ac:dyDescent="0.25">
      <c r="FK50" s="108"/>
    </row>
    <row r="51" spans="167:176" x14ac:dyDescent="0.25">
      <c r="FK51" s="87" t="s">
        <v>1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</row>
    <row r="52" spans="167:176" ht="13.8" thickBot="1" x14ac:dyDescent="0.3">
      <c r="FK52" s="90" t="s">
        <v>8</v>
      </c>
      <c r="FL52" s="553">
        <v>4316</v>
      </c>
      <c r="FM52" s="553">
        <v>3811</v>
      </c>
      <c r="FN52" s="553">
        <v>3078</v>
      </c>
      <c r="FO52" s="553">
        <v>3491.26</v>
      </c>
      <c r="FP52" s="553">
        <v>3426.1379999999999</v>
      </c>
      <c r="FQ52" s="553">
        <v>2939.105</v>
      </c>
      <c r="FR52" s="553">
        <v>3276.3</v>
      </c>
      <c r="FS52" s="553">
        <v>3959.2</v>
      </c>
      <c r="FT52" s="553">
        <v>4907</v>
      </c>
    </row>
    <row r="53" spans="167:176" ht="13.8" thickTop="1" x14ac:dyDescent="0.25">
      <c r="FK53" s="87" t="s">
        <v>9</v>
      </c>
      <c r="FL53" s="358">
        <f t="shared" ref="FL53:FT53" si="17">SUM(FL51:FL52)</f>
        <v>4316</v>
      </c>
      <c r="FM53" s="358">
        <f t="shared" si="17"/>
        <v>3811</v>
      </c>
      <c r="FN53" s="358">
        <f t="shared" si="17"/>
        <v>3078</v>
      </c>
      <c r="FO53" s="358">
        <f t="shared" si="17"/>
        <v>3491.26</v>
      </c>
      <c r="FP53" s="358">
        <f t="shared" si="17"/>
        <v>3426.1379999999999</v>
      </c>
      <c r="FQ53" s="358">
        <f t="shared" si="17"/>
        <v>2939.105</v>
      </c>
      <c r="FR53" s="358">
        <f t="shared" si="17"/>
        <v>3276.3</v>
      </c>
      <c r="FS53" s="358">
        <f t="shared" si="17"/>
        <v>3959.2</v>
      </c>
      <c r="FT53" s="358">
        <f t="shared" si="17"/>
        <v>4907</v>
      </c>
    </row>
    <row r="54" spans="167:176" x14ac:dyDescent="0.25">
      <c r="FK54" s="238" t="s">
        <v>10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</row>
    <row r="55" spans="167:176" ht="13.8" thickBot="1" x14ac:dyDescent="0.3">
      <c r="FK55" s="243" t="s">
        <v>11</v>
      </c>
      <c r="FL55" s="354">
        <f t="shared" ref="FL55:FT55" si="18">SUM(FL52/FL53)</f>
        <v>1</v>
      </c>
      <c r="FM55" s="354">
        <f t="shared" si="18"/>
        <v>1</v>
      </c>
      <c r="FN55" s="354">
        <f t="shared" si="18"/>
        <v>1</v>
      </c>
      <c r="FO55" s="354">
        <f t="shared" si="18"/>
        <v>1</v>
      </c>
      <c r="FP55" s="354">
        <f t="shared" si="18"/>
        <v>1</v>
      </c>
      <c r="FQ55" s="354">
        <f t="shared" si="18"/>
        <v>1</v>
      </c>
      <c r="FR55" s="354">
        <f t="shared" si="18"/>
        <v>1</v>
      </c>
      <c r="FS55" s="354">
        <f t="shared" si="18"/>
        <v>1</v>
      </c>
      <c r="FT55" s="354">
        <f t="shared" si="18"/>
        <v>1</v>
      </c>
    </row>
    <row r="56" spans="167:176" x14ac:dyDescent="0.25">
      <c r="FK56" s="87"/>
    </row>
    <row r="57" spans="167:176" x14ac:dyDescent="0.25">
      <c r="FK57" s="87" t="s">
        <v>21</v>
      </c>
      <c r="FL57" s="359">
        <f>SUM(1000*(FL53))/FL10</f>
        <v>1671.5724244771495</v>
      </c>
      <c r="FM57" s="359">
        <f>SUM(1000*(FM53))/FM10</f>
        <v>1467.4624566807856</v>
      </c>
      <c r="FN57" s="359">
        <f>SUM(1000*(FN53))/FN10</f>
        <v>1162.8258405742349</v>
      </c>
      <c r="FO57" s="359">
        <f t="shared" ref="FO57:FT57" si="19">SUM(1000*(FO53))/FO10</f>
        <v>1274.1824817518248</v>
      </c>
      <c r="FP57" s="359">
        <f t="shared" si="19"/>
        <v>1243.1560232220609</v>
      </c>
      <c r="FQ57" s="359">
        <f t="shared" si="19"/>
        <v>1072.2747172564757</v>
      </c>
      <c r="FR57" s="359">
        <f t="shared" si="19"/>
        <v>1182.3529411764705</v>
      </c>
      <c r="FS57" s="359">
        <f t="shared" si="19"/>
        <v>1448.134601316752</v>
      </c>
      <c r="FT57" s="359">
        <f t="shared" si="19"/>
        <v>1772.7601156069363</v>
      </c>
    </row>
    <row r="58" spans="167:176" x14ac:dyDescent="0.25">
      <c r="FK58" s="228"/>
      <c r="FL58" s="556"/>
      <c r="FM58" s="556"/>
      <c r="FN58" s="556"/>
      <c r="FO58" s="556"/>
      <c r="FP58" s="556"/>
      <c r="FQ58" s="556"/>
      <c r="FR58" s="556"/>
      <c r="FS58" s="556"/>
      <c r="FT58" s="556"/>
    </row>
    <row r="59" spans="167:176" x14ac:dyDescent="0.25">
      <c r="FK59" s="233" t="s">
        <v>32</v>
      </c>
    </row>
    <row r="60" spans="167:176" x14ac:dyDescent="0.25">
      <c r="FK60" s="87"/>
    </row>
    <row r="61" spans="167:176" x14ac:dyDescent="0.25">
      <c r="FK61" s="87" t="s">
        <v>1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</row>
    <row r="62" spans="167:176" ht="13.8" thickBot="1" x14ac:dyDescent="0.3">
      <c r="FK62" s="116" t="s">
        <v>8</v>
      </c>
      <c r="FL62" s="92">
        <v>263</v>
      </c>
      <c r="FM62" s="92">
        <v>3924</v>
      </c>
      <c r="FN62" s="92">
        <v>3773</v>
      </c>
      <c r="FO62" s="92">
        <v>4352.7020000000002</v>
      </c>
      <c r="FP62" s="92">
        <v>3509.2170000000001</v>
      </c>
      <c r="FQ62" s="92">
        <v>2796.752</v>
      </c>
      <c r="FR62" s="92">
        <v>4435.3</v>
      </c>
      <c r="FS62" s="92">
        <v>4487.5</v>
      </c>
      <c r="FT62" s="92">
        <v>4272.8999999999996</v>
      </c>
    </row>
    <row r="63" spans="167:176" ht="13.8" thickTop="1" x14ac:dyDescent="0.25">
      <c r="FK63" s="87" t="s">
        <v>9</v>
      </c>
      <c r="FL63" s="358">
        <f t="shared" ref="FL63:FN63" si="20">SUM(FL61:FL62)</f>
        <v>263</v>
      </c>
      <c r="FM63" s="358">
        <f t="shared" si="20"/>
        <v>3924</v>
      </c>
      <c r="FN63" s="358">
        <f t="shared" si="20"/>
        <v>3773</v>
      </c>
      <c r="FO63" s="358">
        <f t="shared" ref="FO63:FT63" si="21">SUM(FO61:FO62)</f>
        <v>4352.7020000000002</v>
      </c>
      <c r="FP63" s="358">
        <f t="shared" si="21"/>
        <v>3509.2170000000001</v>
      </c>
      <c r="FQ63" s="358">
        <f t="shared" si="21"/>
        <v>2796.752</v>
      </c>
      <c r="FR63" s="358">
        <f t="shared" si="21"/>
        <v>4435.3</v>
      </c>
      <c r="FS63" s="358">
        <f t="shared" si="21"/>
        <v>4487.5</v>
      </c>
      <c r="FT63" s="358">
        <f t="shared" si="21"/>
        <v>4272.8999999999996</v>
      </c>
    </row>
    <row r="64" spans="167:176" x14ac:dyDescent="0.25">
      <c r="FK64" s="238" t="s">
        <v>10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</row>
    <row r="65" spans="167:176" ht="13.8" thickBot="1" x14ac:dyDescent="0.3">
      <c r="FK65" s="243" t="s">
        <v>11</v>
      </c>
      <c r="FL65" s="357">
        <f t="shared" ref="FL65:FN65" si="22">SUM(FL62/FL63)</f>
        <v>1</v>
      </c>
      <c r="FM65" s="357">
        <f t="shared" si="22"/>
        <v>1</v>
      </c>
      <c r="FN65" s="357">
        <f t="shared" si="22"/>
        <v>1</v>
      </c>
      <c r="FO65" s="357">
        <f t="shared" ref="FO65:FT65" si="23">SUM(FO62/FO63)</f>
        <v>1</v>
      </c>
      <c r="FP65" s="357">
        <f t="shared" si="23"/>
        <v>1</v>
      </c>
      <c r="FQ65" s="357">
        <f t="shared" si="23"/>
        <v>1</v>
      </c>
      <c r="FR65" s="357">
        <f t="shared" si="23"/>
        <v>1</v>
      </c>
      <c r="FS65" s="357">
        <f t="shared" si="23"/>
        <v>1</v>
      </c>
      <c r="FT65" s="357">
        <f t="shared" si="23"/>
        <v>1</v>
      </c>
    </row>
    <row r="66" spans="167:176" x14ac:dyDescent="0.25">
      <c r="FK66" s="87"/>
    </row>
    <row r="67" spans="167:176" x14ac:dyDescent="0.25">
      <c r="FK67" s="228" t="s">
        <v>22</v>
      </c>
      <c r="FL67" s="360">
        <f>SUM(1000*(FL63))/FL18</f>
        <v>1000</v>
      </c>
      <c r="FM67" s="360">
        <f>SUM(1000*(FM63))/FM18</f>
        <v>14373.626373626374</v>
      </c>
      <c r="FN67" s="360">
        <f>SUM(1000*(FN63))/FN18</f>
        <v>12877.133105802048</v>
      </c>
      <c r="FO67" s="360">
        <f t="shared" ref="FO67:FT67" si="24">SUM(1000*(FO63))/FO18</f>
        <v>14805.108843537415</v>
      </c>
      <c r="FP67" s="360">
        <f t="shared" si="24"/>
        <v>11936.112244897959</v>
      </c>
      <c r="FQ67" s="360">
        <f t="shared" si="24"/>
        <v>9050.9773462783178</v>
      </c>
      <c r="FR67" s="360">
        <f t="shared" si="24"/>
        <v>14307.41935483871</v>
      </c>
      <c r="FS67" s="360">
        <f t="shared" si="24"/>
        <v>14617.263843648208</v>
      </c>
      <c r="FT67" s="360">
        <f t="shared" si="24"/>
        <v>13873.051948051949</v>
      </c>
    </row>
    <row r="68" spans="167:176" x14ac:dyDescent="0.25">
      <c r="FK68" s="87"/>
    </row>
    <row r="69" spans="167:176" hidden="1" x14ac:dyDescent="0.25">
      <c r="FK69" s="384" t="s">
        <v>54</v>
      </c>
    </row>
    <row r="70" spans="167:176" hidden="1" x14ac:dyDescent="0.25">
      <c r="FK70" s="384" t="s">
        <v>50</v>
      </c>
    </row>
    <row r="71" spans="167:176" hidden="1" x14ac:dyDescent="0.25">
      <c r="FK71" s="390" t="s">
        <v>1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</row>
    <row r="72" spans="167:176" ht="13.8" hidden="1" thickBot="1" x14ac:dyDescent="0.3">
      <c r="FK72" s="391" t="s">
        <v>8</v>
      </c>
      <c r="FL72" s="554">
        <v>0</v>
      </c>
      <c r="FM72" s="554">
        <v>0</v>
      </c>
      <c r="FN72" s="554">
        <v>0</v>
      </c>
      <c r="FO72" s="554">
        <v>0</v>
      </c>
      <c r="FP72" s="554">
        <v>0</v>
      </c>
      <c r="FQ72" s="554">
        <v>0</v>
      </c>
      <c r="FR72" s="554">
        <v>0</v>
      </c>
      <c r="FS72" s="554">
        <v>0</v>
      </c>
      <c r="FT72" s="554">
        <v>0</v>
      </c>
    </row>
    <row r="73" spans="167:176" ht="13.8" hidden="1" thickTop="1" x14ac:dyDescent="0.25">
      <c r="FK73" s="390" t="s">
        <v>9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</row>
    <row r="74" spans="167:176" hidden="1" x14ac:dyDescent="0.25">
      <c r="FK74" s="403" t="s">
        <v>10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</row>
    <row r="75" spans="167:176" ht="13.8" hidden="1" thickBot="1" x14ac:dyDescent="0.3">
      <c r="FK75" s="410" t="s">
        <v>11</v>
      </c>
      <c r="FL75" s="555">
        <v>0</v>
      </c>
      <c r="FM75" s="555">
        <v>0</v>
      </c>
      <c r="FN75" s="555">
        <v>0</v>
      </c>
      <c r="FO75" s="555">
        <v>0</v>
      </c>
      <c r="FP75" s="555">
        <v>0</v>
      </c>
      <c r="FQ75" s="555">
        <v>0</v>
      </c>
      <c r="FR75" s="555">
        <v>0</v>
      </c>
      <c r="FS75" s="555">
        <v>0</v>
      </c>
      <c r="FT75" s="555">
        <v>0</v>
      </c>
    </row>
    <row r="76" spans="167:176" hidden="1" x14ac:dyDescent="0.25">
      <c r="FK76" s="390"/>
    </row>
    <row r="77" spans="167:176" x14ac:dyDescent="0.25">
      <c r="FK77" s="384" t="s">
        <v>55</v>
      </c>
    </row>
    <row r="78" spans="167:176" x14ac:dyDescent="0.25">
      <c r="FK78" s="390" t="s">
        <v>1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</row>
    <row r="79" spans="167:176" ht="13.8" thickBot="1" x14ac:dyDescent="0.3">
      <c r="FK79" s="391" t="s">
        <v>8</v>
      </c>
      <c r="FL79">
        <v>73</v>
      </c>
      <c r="FM79" s="554">
        <v>73</v>
      </c>
      <c r="FN79" s="554">
        <v>73</v>
      </c>
      <c r="FO79" s="92">
        <v>69.682000000000002</v>
      </c>
      <c r="FP79" s="92">
        <v>59.951999999999998</v>
      </c>
      <c r="FQ79" s="92">
        <v>79.412000000000006</v>
      </c>
      <c r="FR79" s="92">
        <v>129.69999999999999</v>
      </c>
      <c r="FS79" s="92">
        <v>70</v>
      </c>
      <c r="FT79" s="92">
        <v>70</v>
      </c>
    </row>
    <row r="80" spans="167:176" ht="13.8" thickTop="1" x14ac:dyDescent="0.25">
      <c r="FK80" s="390" t="s">
        <v>9</v>
      </c>
      <c r="FL80" s="489">
        <f t="shared" ref="FL80:FT80" si="25">SUM(FL78:FL79)</f>
        <v>73</v>
      </c>
      <c r="FM80" s="489">
        <f t="shared" si="25"/>
        <v>73</v>
      </c>
      <c r="FN80" s="489">
        <f t="shared" si="25"/>
        <v>73</v>
      </c>
      <c r="FO80" s="489">
        <f t="shared" si="25"/>
        <v>69.682000000000002</v>
      </c>
      <c r="FP80" s="489">
        <f t="shared" si="25"/>
        <v>59.951999999999998</v>
      </c>
      <c r="FQ80" s="489">
        <f t="shared" si="25"/>
        <v>79.412000000000006</v>
      </c>
      <c r="FR80" s="489">
        <f t="shared" si="25"/>
        <v>129.69999999999999</v>
      </c>
      <c r="FS80" s="489">
        <f t="shared" si="25"/>
        <v>70</v>
      </c>
      <c r="FT80" s="489">
        <f t="shared" si="25"/>
        <v>70</v>
      </c>
    </row>
    <row r="81" spans="167:176" x14ac:dyDescent="0.25">
      <c r="FK81" s="403" t="s">
        <v>10</v>
      </c>
      <c r="FL81" s="491">
        <f t="shared" ref="FL81:FT81" si="26">SUM(FL78)/FL80</f>
        <v>0</v>
      </c>
      <c r="FM81" s="491">
        <f t="shared" si="26"/>
        <v>0</v>
      </c>
      <c r="FN81" s="491">
        <f t="shared" si="26"/>
        <v>0</v>
      </c>
      <c r="FO81" s="491">
        <f t="shared" si="26"/>
        <v>0</v>
      </c>
      <c r="FP81" s="491">
        <f t="shared" si="26"/>
        <v>0</v>
      </c>
      <c r="FQ81" s="491">
        <f t="shared" si="26"/>
        <v>0</v>
      </c>
      <c r="FR81" s="491">
        <f t="shared" si="26"/>
        <v>0</v>
      </c>
      <c r="FS81" s="491">
        <f t="shared" si="26"/>
        <v>0</v>
      </c>
      <c r="FT81" s="491">
        <f t="shared" si="26"/>
        <v>0</v>
      </c>
    </row>
    <row r="82" spans="167:176" ht="13.8" thickBot="1" x14ac:dyDescent="0.3">
      <c r="FK82" s="410" t="s">
        <v>11</v>
      </c>
      <c r="FL82" s="493">
        <f t="shared" ref="FL82:FT82" si="27">SUM(FL79/FL80)</f>
        <v>1</v>
      </c>
      <c r="FM82" s="493">
        <f t="shared" si="27"/>
        <v>1</v>
      </c>
      <c r="FN82" s="493">
        <f t="shared" si="27"/>
        <v>1</v>
      </c>
      <c r="FO82" s="493">
        <f t="shared" si="27"/>
        <v>1</v>
      </c>
      <c r="FP82" s="493">
        <f t="shared" si="27"/>
        <v>1</v>
      </c>
      <c r="FQ82" s="493">
        <f t="shared" si="27"/>
        <v>1</v>
      </c>
      <c r="FR82" s="493">
        <f t="shared" si="27"/>
        <v>1</v>
      </c>
      <c r="FS82" s="493">
        <f t="shared" si="27"/>
        <v>1</v>
      </c>
      <c r="FT82" s="493">
        <f t="shared" si="27"/>
        <v>1</v>
      </c>
    </row>
    <row r="83" spans="167:176" x14ac:dyDescent="0.25">
      <c r="FK83" s="381"/>
    </row>
    <row r="84" spans="167:176" x14ac:dyDescent="0.25">
      <c r="FK84" s="108" t="s">
        <v>56</v>
      </c>
    </row>
    <row r="85" spans="167:176" x14ac:dyDescent="0.25">
      <c r="FK85" s="87" t="s">
        <v>1</v>
      </c>
      <c r="FL85" s="359">
        <f>SUM(FL51,FL61,FL71,FL78)</f>
        <v>0</v>
      </c>
      <c r="FM85" s="359">
        <f>SUM(FM51,FM61,FM71,FM78)</f>
        <v>0</v>
      </c>
      <c r="FN85" s="359">
        <f>SUM(FN51,FN61,FN71,FN78)</f>
        <v>0</v>
      </c>
      <c r="FO85" s="359">
        <f>SUM(FO51,FO61,FO71,FO78)</f>
        <v>0</v>
      </c>
      <c r="FP85" s="359">
        <f>SUM(FP51,FP61,FP71,FP78)</f>
        <v>0</v>
      </c>
      <c r="FQ85" s="359">
        <f>SUM(FQ51,FQ61,FQ71,FQ78)</f>
        <v>0</v>
      </c>
      <c r="FR85" s="359">
        <f>SUM(FR51,FR61,FR71,FR78)</f>
        <v>0</v>
      </c>
      <c r="FS85" s="359">
        <f>SUM(FS51,FS61,FS71,FS78)</f>
        <v>0</v>
      </c>
      <c r="FT85" s="359">
        <f>SUM(FT51,FT61,FT71,FT78)</f>
        <v>0</v>
      </c>
    </row>
    <row r="86" spans="167:176" ht="13.8" thickBot="1" x14ac:dyDescent="0.3">
      <c r="FK86" s="90" t="s">
        <v>8</v>
      </c>
      <c r="FL86" s="365">
        <f>SUM(FL52,FL62,FL72,FL79)</f>
        <v>4652</v>
      </c>
      <c r="FM86" s="365">
        <f>SUM(FM52,FM62,FM72,FM79)</f>
        <v>7808</v>
      </c>
      <c r="FN86" s="365">
        <f>SUM(FN52,FN62,FN72,FN79)</f>
        <v>6924</v>
      </c>
      <c r="FO86" s="365">
        <f>SUM(FO52,FO62,FO72,FO79)</f>
        <v>7913.6440000000002</v>
      </c>
      <c r="FP86" s="365">
        <f>SUM(FP52,FP62,FP72,FP79)</f>
        <v>6995.3069999999998</v>
      </c>
      <c r="FQ86" s="365">
        <f>SUM(FQ52,FQ62,FQ72,FQ79)</f>
        <v>5815.2690000000002</v>
      </c>
      <c r="FR86" s="365">
        <f>SUM(FR52,FR62,FR72,FR79)</f>
        <v>7841.3</v>
      </c>
      <c r="FS86" s="365">
        <f>SUM(FS52,FS62,FS72,FS79)</f>
        <v>8516.7000000000007</v>
      </c>
      <c r="FT86" s="365">
        <f>SUM(FT52,FT62,FT72,FT79)</f>
        <v>9249.9</v>
      </c>
    </row>
    <row r="87" spans="167:176" ht="13.8" thickTop="1" x14ac:dyDescent="0.25">
      <c r="FK87" s="87" t="s">
        <v>9</v>
      </c>
      <c r="FL87" s="358">
        <f t="shared" ref="FL87:FT87" si="28">SUM(FL85:FL86)</f>
        <v>4652</v>
      </c>
      <c r="FM87" s="358">
        <f t="shared" si="28"/>
        <v>7808</v>
      </c>
      <c r="FN87" s="358">
        <f t="shared" si="28"/>
        <v>6924</v>
      </c>
      <c r="FO87" s="358">
        <f t="shared" si="28"/>
        <v>7913.6440000000002</v>
      </c>
      <c r="FP87" s="358">
        <f t="shared" si="28"/>
        <v>6995.3069999999998</v>
      </c>
      <c r="FQ87" s="358">
        <f t="shared" si="28"/>
        <v>5815.2690000000002</v>
      </c>
      <c r="FR87" s="358">
        <f t="shared" si="28"/>
        <v>7841.3</v>
      </c>
      <c r="FS87" s="358">
        <f t="shared" si="28"/>
        <v>8516.7000000000007</v>
      </c>
      <c r="FT87" s="358">
        <f t="shared" si="28"/>
        <v>9249.9</v>
      </c>
    </row>
    <row r="88" spans="167:176" x14ac:dyDescent="0.25">
      <c r="FK88" s="3" t="s">
        <v>10</v>
      </c>
      <c r="FL88" s="280">
        <f t="shared" ref="FL88:FT88" si="29">SUM(FL85)/FL87</f>
        <v>0</v>
      </c>
      <c r="FM88" s="280">
        <f t="shared" si="29"/>
        <v>0</v>
      </c>
      <c r="FN88" s="280">
        <f t="shared" si="29"/>
        <v>0</v>
      </c>
      <c r="FO88" s="280">
        <f t="shared" si="29"/>
        <v>0</v>
      </c>
      <c r="FP88" s="280">
        <f t="shared" si="29"/>
        <v>0</v>
      </c>
      <c r="FQ88" s="280">
        <f t="shared" si="29"/>
        <v>0</v>
      </c>
      <c r="FR88" s="280">
        <f t="shared" si="29"/>
        <v>0</v>
      </c>
      <c r="FS88" s="280">
        <f t="shared" si="29"/>
        <v>0</v>
      </c>
      <c r="FT88" s="280">
        <f t="shared" si="29"/>
        <v>0</v>
      </c>
    </row>
    <row r="89" spans="167:176" ht="13.8" thickBot="1" x14ac:dyDescent="0.3">
      <c r="FK89" s="4" t="s">
        <v>11</v>
      </c>
      <c r="FL89" s="361">
        <f t="shared" ref="FL89:FT89" si="30">SUM(FL86/FL87)</f>
        <v>1</v>
      </c>
      <c r="FM89" s="361">
        <f t="shared" si="30"/>
        <v>1</v>
      </c>
      <c r="FN89" s="361">
        <f t="shared" si="30"/>
        <v>1</v>
      </c>
      <c r="FO89" s="361">
        <f t="shared" si="30"/>
        <v>1</v>
      </c>
      <c r="FP89" s="361">
        <f t="shared" si="30"/>
        <v>1</v>
      </c>
      <c r="FQ89" s="361">
        <f t="shared" si="30"/>
        <v>1</v>
      </c>
      <c r="FR89" s="361">
        <f t="shared" si="30"/>
        <v>1</v>
      </c>
      <c r="FS89" s="361">
        <f t="shared" si="30"/>
        <v>1</v>
      </c>
      <c r="FT89" s="361">
        <f t="shared" si="30"/>
        <v>1</v>
      </c>
    </row>
  </sheetData>
  <sheetProtection algorithmName="SHA-512" hashValue="3oiD1n4nR18LgxyakKySXqLwsgMzGt5bmzCldZMpziZD4Dl9tfFteKzBSqkxPKZCKJF9UXq7AcJyRuPdDR8izw==" saltValue="sDuQpwycKnX6XbhSmXaRAQ==" spinCount="100000" sheet="1" objects="1" scenarios="1"/>
  <mergeCells count="7">
    <mergeCell ref="FO46:FZ46"/>
    <mergeCell ref="FO47:FZ47"/>
    <mergeCell ref="FK4:FN4"/>
    <mergeCell ref="FO2:FZ2"/>
    <mergeCell ref="FO3:FZ3"/>
    <mergeCell ref="FO4:FZ4"/>
    <mergeCell ref="FO45:FZ4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Z108"/>
  <sheetViews>
    <sheetView zoomScaleNormal="100" workbookViewId="0">
      <pane xSplit="2" ySplit="5" topLeftCell="FJ6" activePane="bottomRight" state="frozen"/>
      <selection activeCell="EB37" sqref="EB37"/>
      <selection pane="topRight" activeCell="EB37" sqref="EB37"/>
      <selection pane="bottomLeft" activeCell="EB37" sqref="EB37"/>
      <selection pane="bottomRight" activeCell="FX19" sqref="FX19"/>
    </sheetView>
  </sheetViews>
  <sheetFormatPr defaultColWidth="9.109375" defaultRowHeight="13.2" x14ac:dyDescent="0.25"/>
  <cols>
    <col min="1" max="1" width="8" style="2" customWidth="1"/>
    <col min="2" max="2" width="27" style="1" customWidth="1"/>
    <col min="3" max="4" width="11.6640625" style="2" customWidth="1"/>
    <col min="5" max="5" width="17.5546875" style="2" customWidth="1"/>
    <col min="6" max="7" width="11.6640625" style="2" customWidth="1"/>
    <col min="8" max="8" width="11.6640625" style="6" customWidth="1"/>
    <col min="9" max="14" width="11.6640625" style="2" customWidth="1"/>
    <col min="15" max="17" width="11.5546875" style="2" customWidth="1"/>
    <col min="18" max="20" width="11.5546875" style="18" customWidth="1"/>
    <col min="21" max="22" width="11.33203125" style="2" bestFit="1" customWidth="1"/>
    <col min="23" max="23" width="11" style="2" customWidth="1"/>
    <col min="24" max="24" width="10.88671875" style="2" customWidth="1"/>
    <col min="25" max="25" width="10.5546875" style="2" customWidth="1"/>
    <col min="26" max="26" width="12" style="2" customWidth="1"/>
    <col min="27" max="27" width="10.6640625" style="2" bestFit="1" customWidth="1"/>
    <col min="28" max="32" width="10.5546875" style="2" bestFit="1" customWidth="1"/>
    <col min="33" max="33" width="10.5546875" style="2" customWidth="1"/>
    <col min="34" max="34" width="10.33203125" style="2" customWidth="1"/>
    <col min="35" max="35" width="10.88671875" style="2" customWidth="1"/>
    <col min="36" max="37" width="10.44140625" style="2" customWidth="1"/>
    <col min="38" max="38" width="11.33203125" style="2" customWidth="1"/>
    <col min="39" max="39" width="10.44140625" style="2" customWidth="1"/>
    <col min="40" max="40" width="10.109375" style="2" customWidth="1"/>
    <col min="41" max="41" width="10.88671875" style="2" customWidth="1"/>
    <col min="42" max="42" width="10.109375" style="2" customWidth="1"/>
    <col min="43" max="43" width="10.88671875" style="2" customWidth="1"/>
    <col min="44" max="44" width="10.109375" style="2" customWidth="1"/>
    <col min="45" max="45" width="11.109375" style="2" customWidth="1"/>
    <col min="46" max="46" width="11.6640625" style="2" customWidth="1"/>
    <col min="47" max="47" width="11.88671875" style="2" customWidth="1"/>
    <col min="48" max="48" width="11.33203125" style="2" customWidth="1"/>
    <col min="49" max="49" width="10.6640625" style="2" customWidth="1"/>
    <col min="50" max="50" width="11.33203125" style="2" customWidth="1"/>
    <col min="51" max="51" width="10.44140625" style="2" customWidth="1"/>
    <col min="52" max="52" width="10.88671875" style="2" customWidth="1"/>
    <col min="53" max="54" width="10" style="2" customWidth="1"/>
    <col min="55" max="55" width="10.5546875" style="2" customWidth="1"/>
    <col min="56" max="56" width="11.44140625" style="2" customWidth="1"/>
    <col min="57" max="57" width="10.88671875" style="2" customWidth="1"/>
    <col min="58" max="58" width="11.33203125" style="2" customWidth="1"/>
    <col min="59" max="59" width="10.33203125" style="2" customWidth="1"/>
    <col min="60" max="65" width="10.5546875" style="2" customWidth="1"/>
    <col min="66" max="66" width="10.44140625" style="2" customWidth="1"/>
    <col min="67" max="68" width="12" style="2" customWidth="1"/>
    <col min="69" max="71" width="11.5546875" style="2" customWidth="1"/>
    <col min="72" max="72" width="12.109375" style="2" customWidth="1"/>
    <col min="73" max="73" width="11.88671875" style="2" customWidth="1"/>
    <col min="74" max="74" width="11" style="2" customWidth="1"/>
    <col min="75" max="80" width="13.44140625" style="2" customWidth="1"/>
    <col min="81" max="86" width="13.44140625" style="68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6640625" style="2" customWidth="1"/>
    <col min="109" max="110" width="13" style="2" hidden="1" customWidth="1"/>
    <col min="111" max="122" width="13" style="2" customWidth="1"/>
    <col min="123" max="123" width="11.5546875" style="2" customWidth="1"/>
    <col min="124" max="125" width="11.33203125" style="2" customWidth="1"/>
    <col min="126" max="126" width="13.88671875" style="2" customWidth="1"/>
    <col min="127" max="127" width="11.33203125" style="2" customWidth="1"/>
    <col min="128" max="128" width="13" style="2" customWidth="1"/>
    <col min="129" max="129" width="11.5546875" style="2" customWidth="1"/>
    <col min="130" max="130" width="11.33203125" style="2" customWidth="1"/>
    <col min="131" max="132" width="11.6640625" style="2" customWidth="1"/>
    <col min="133" max="133" width="11.88671875" style="2" customWidth="1"/>
    <col min="134" max="134" width="12.109375" style="2" customWidth="1"/>
    <col min="135" max="135" width="11.6640625" style="2" customWidth="1"/>
    <col min="136" max="136" width="11.88671875" style="2" customWidth="1"/>
    <col min="137" max="137" width="11.44140625" style="2" customWidth="1"/>
    <col min="138" max="138" width="11.33203125" style="2" customWidth="1"/>
    <col min="139" max="139" width="11.6640625" style="2" customWidth="1"/>
    <col min="140" max="140" width="13" style="2" customWidth="1"/>
    <col min="141" max="141" width="11.88671875" style="2" customWidth="1"/>
    <col min="142" max="142" width="11.33203125" style="2" customWidth="1"/>
    <col min="143" max="143" width="11.88671875" style="2" customWidth="1"/>
    <col min="144" max="144" width="12.109375" style="2" customWidth="1"/>
    <col min="145" max="145" width="11.6640625" style="2" customWidth="1"/>
    <col min="146" max="146" width="12.44140625" style="2" customWidth="1"/>
    <col min="147" max="147" width="11.5546875" style="2" customWidth="1"/>
    <col min="148" max="148" width="11.6640625" style="2" customWidth="1"/>
    <col min="149" max="149" width="12.33203125" style="2" customWidth="1"/>
    <col min="150" max="150" width="11.33203125" style="2" customWidth="1"/>
    <col min="151" max="151" width="12.88671875" style="2" customWidth="1"/>
    <col min="152" max="152" width="14.33203125" style="2" customWidth="1"/>
    <col min="153" max="153" width="11.6640625" style="2" customWidth="1"/>
    <col min="154" max="154" width="12" style="2" customWidth="1"/>
    <col min="155" max="155" width="11.5546875" style="2" customWidth="1"/>
    <col min="156" max="156" width="11.6640625" style="2" customWidth="1"/>
    <col min="157" max="158" width="11.33203125" style="2" customWidth="1"/>
    <col min="159" max="160" width="12.33203125" style="2" customWidth="1"/>
    <col min="161" max="161" width="12" style="2" customWidth="1"/>
    <col min="162" max="162" width="13.109375" style="2" customWidth="1"/>
    <col min="163" max="163" width="12" style="2" customWidth="1"/>
    <col min="164" max="164" width="12.6640625" style="2" customWidth="1"/>
    <col min="165" max="165" width="11.6640625" style="2" customWidth="1"/>
    <col min="166" max="166" width="11.44140625" style="2" customWidth="1"/>
    <col min="167" max="167" width="11.5546875" style="2" customWidth="1"/>
    <col min="168" max="168" width="12.6640625" style="2" customWidth="1"/>
    <col min="169" max="172" width="11.6640625" style="2" customWidth="1"/>
    <col min="173" max="173" width="13.109375" style="2" customWidth="1"/>
    <col min="174" max="174" width="12.77734375" style="2" customWidth="1"/>
    <col min="175" max="175" width="11.88671875" style="2" customWidth="1"/>
    <col min="176" max="176" width="14.109375" style="2" customWidth="1"/>
    <col min="177" max="16384" width="9.109375" style="2"/>
  </cols>
  <sheetData>
    <row r="1" spans="2:182" x14ac:dyDescent="0.25">
      <c r="R1" s="2"/>
      <c r="S1" s="2"/>
      <c r="T1" s="2"/>
    </row>
    <row r="2" spans="2:182" x14ac:dyDescent="0.25">
      <c r="C2" s="575" t="s">
        <v>77</v>
      </c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77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 t="s">
        <v>77</v>
      </c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 t="s">
        <v>77</v>
      </c>
      <c r="AN2" s="575"/>
      <c r="AO2" s="575"/>
      <c r="AP2" s="575"/>
      <c r="AQ2" s="575"/>
      <c r="AR2" s="575"/>
      <c r="AS2" s="575"/>
      <c r="AT2" s="575"/>
      <c r="AU2" s="575"/>
      <c r="AV2" s="575"/>
      <c r="AW2" s="575"/>
      <c r="AX2" s="575"/>
      <c r="AY2" s="575" t="s">
        <v>77</v>
      </c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 t="s">
        <v>77</v>
      </c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 t="s">
        <v>77</v>
      </c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 t="s">
        <v>77</v>
      </c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 t="s">
        <v>77</v>
      </c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 t="s">
        <v>77</v>
      </c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 t="s">
        <v>77</v>
      </c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5" t="s">
        <v>77</v>
      </c>
      <c r="EF2" s="575"/>
      <c r="EG2" s="575"/>
      <c r="EH2" s="575"/>
      <c r="EI2" s="575"/>
      <c r="EJ2" s="575"/>
      <c r="EK2" s="575"/>
      <c r="EL2" s="575"/>
      <c r="EM2" s="575"/>
      <c r="EN2" s="575"/>
      <c r="EO2" s="575"/>
      <c r="EP2" s="575"/>
      <c r="EQ2" s="575" t="s">
        <v>77</v>
      </c>
      <c r="ER2" s="575"/>
      <c r="ES2" s="575"/>
      <c r="ET2" s="575"/>
      <c r="EU2" s="575"/>
      <c r="EV2" s="575"/>
      <c r="EW2" s="575"/>
      <c r="EX2" s="575"/>
      <c r="EY2" s="575"/>
      <c r="EZ2" s="575"/>
      <c r="FA2" s="575"/>
      <c r="FB2" s="575"/>
      <c r="FC2" s="575" t="s">
        <v>77</v>
      </c>
      <c r="FD2" s="575"/>
      <c r="FE2" s="575"/>
      <c r="FF2" s="575"/>
      <c r="FG2" s="575"/>
      <c r="FH2" s="575"/>
      <c r="FI2" s="575"/>
      <c r="FJ2" s="575"/>
      <c r="FK2" s="575"/>
      <c r="FL2" s="575"/>
      <c r="FM2" s="575"/>
      <c r="FN2" s="575"/>
      <c r="FO2" s="575" t="s">
        <v>77</v>
      </c>
      <c r="FP2" s="575"/>
      <c r="FQ2" s="575"/>
      <c r="FR2" s="575"/>
      <c r="FS2" s="575"/>
      <c r="FT2" s="575"/>
      <c r="FU2" s="575"/>
      <c r="FV2" s="575"/>
      <c r="FW2" s="575"/>
      <c r="FX2" s="575"/>
      <c r="FY2" s="575"/>
      <c r="FZ2" s="575"/>
    </row>
    <row r="3" spans="2:182" ht="13.8" thickBot="1" x14ac:dyDescent="0.3">
      <c r="B3" s="2"/>
      <c r="C3" s="582" t="s">
        <v>20</v>
      </c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20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 t="s">
        <v>20</v>
      </c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 t="s">
        <v>20</v>
      </c>
      <c r="AN3" s="582"/>
      <c r="AO3" s="582"/>
      <c r="AP3" s="582"/>
      <c r="AQ3" s="582"/>
      <c r="AR3" s="582"/>
      <c r="AS3" s="582"/>
      <c r="AT3" s="582"/>
      <c r="AU3" s="582"/>
      <c r="AV3" s="582"/>
      <c r="AW3" s="582"/>
      <c r="AX3" s="582"/>
      <c r="AY3" s="582" t="s">
        <v>20</v>
      </c>
      <c r="AZ3" s="582"/>
      <c r="BA3" s="582"/>
      <c r="BB3" s="582"/>
      <c r="BC3" s="582"/>
      <c r="BD3" s="582"/>
      <c r="BE3" s="582"/>
      <c r="BF3" s="582"/>
      <c r="BG3" s="582"/>
      <c r="BH3" s="582"/>
      <c r="BI3" s="582"/>
      <c r="BJ3" s="582"/>
      <c r="BK3" s="582" t="s">
        <v>20</v>
      </c>
      <c r="BL3" s="582"/>
      <c r="BM3" s="582"/>
      <c r="BN3" s="582"/>
      <c r="BO3" s="582"/>
      <c r="BP3" s="582"/>
      <c r="BQ3" s="582"/>
      <c r="BR3" s="582"/>
      <c r="BS3" s="582"/>
      <c r="BT3" s="582"/>
      <c r="BU3" s="582"/>
      <c r="BV3" s="582"/>
      <c r="BW3" s="582" t="s">
        <v>20</v>
      </c>
      <c r="BX3" s="582"/>
      <c r="BY3" s="582"/>
      <c r="BZ3" s="582"/>
      <c r="CA3" s="582"/>
      <c r="CB3" s="582"/>
      <c r="CC3" s="582"/>
      <c r="CD3" s="582"/>
      <c r="CE3" s="582"/>
      <c r="CF3" s="582"/>
      <c r="CG3" s="582"/>
      <c r="CH3" s="582"/>
      <c r="CI3" s="576" t="s">
        <v>20</v>
      </c>
      <c r="CJ3" s="576"/>
      <c r="CK3" s="576"/>
      <c r="CL3" s="576"/>
      <c r="CM3" s="576"/>
      <c r="CN3" s="576"/>
      <c r="CO3" s="576"/>
      <c r="CP3" s="576"/>
      <c r="CQ3" s="576"/>
      <c r="CR3" s="576"/>
      <c r="CS3" s="576"/>
      <c r="CT3" s="576"/>
      <c r="CU3" s="576" t="s">
        <v>20</v>
      </c>
      <c r="CV3" s="576"/>
      <c r="CW3" s="576"/>
      <c r="CX3" s="576"/>
      <c r="CY3" s="576"/>
      <c r="CZ3" s="576"/>
      <c r="DA3" s="576"/>
      <c r="DB3" s="576"/>
      <c r="DC3" s="576"/>
      <c r="DD3" s="576"/>
      <c r="DE3" s="576"/>
      <c r="DF3" s="576"/>
      <c r="DG3" s="576" t="s">
        <v>47</v>
      </c>
      <c r="DH3" s="576"/>
      <c r="DI3" s="576"/>
      <c r="DJ3" s="576"/>
      <c r="DK3" s="576"/>
      <c r="DL3" s="576"/>
      <c r="DM3" s="576"/>
      <c r="DN3" s="576"/>
      <c r="DO3" s="576"/>
      <c r="DP3" s="576"/>
      <c r="DQ3" s="576"/>
      <c r="DR3" s="576"/>
      <c r="DS3" s="576" t="s">
        <v>47</v>
      </c>
      <c r="DT3" s="576"/>
      <c r="DU3" s="576"/>
      <c r="DV3" s="576"/>
      <c r="DW3" s="576"/>
      <c r="DX3" s="576"/>
      <c r="DY3" s="576"/>
      <c r="DZ3" s="576"/>
      <c r="EA3" s="576"/>
      <c r="EB3" s="576"/>
      <c r="EC3" s="576"/>
      <c r="ED3" s="576"/>
      <c r="EE3" s="576" t="s">
        <v>47</v>
      </c>
      <c r="EF3" s="576"/>
      <c r="EG3" s="576"/>
      <c r="EH3" s="576"/>
      <c r="EI3" s="576"/>
      <c r="EJ3" s="576"/>
      <c r="EK3" s="576"/>
      <c r="EL3" s="576"/>
      <c r="EM3" s="576"/>
      <c r="EN3" s="576"/>
      <c r="EO3" s="576"/>
      <c r="EP3" s="576"/>
      <c r="EQ3" s="576" t="s">
        <v>47</v>
      </c>
      <c r="ER3" s="576"/>
      <c r="ES3" s="576"/>
      <c r="ET3" s="576"/>
      <c r="EU3" s="576"/>
      <c r="EV3" s="576"/>
      <c r="EW3" s="576"/>
      <c r="EX3" s="576"/>
      <c r="EY3" s="576"/>
      <c r="EZ3" s="576"/>
      <c r="FA3" s="576"/>
      <c r="FB3" s="576"/>
      <c r="FC3" s="576" t="s">
        <v>47</v>
      </c>
      <c r="FD3" s="576"/>
      <c r="FE3" s="576"/>
      <c r="FF3" s="576"/>
      <c r="FG3" s="576"/>
      <c r="FH3" s="576"/>
      <c r="FI3" s="576"/>
      <c r="FJ3" s="576"/>
      <c r="FK3" s="576"/>
      <c r="FL3" s="576"/>
      <c r="FM3" s="576"/>
      <c r="FN3" s="576"/>
      <c r="FO3" s="576" t="s">
        <v>47</v>
      </c>
      <c r="FP3" s="576"/>
      <c r="FQ3" s="576"/>
      <c r="FR3" s="576"/>
      <c r="FS3" s="576"/>
      <c r="FT3" s="576"/>
      <c r="FU3" s="576"/>
      <c r="FV3" s="576"/>
      <c r="FW3" s="576"/>
      <c r="FX3" s="576"/>
      <c r="FY3" s="576"/>
      <c r="FZ3" s="576"/>
    </row>
    <row r="4" spans="2:182" ht="13.8" thickBot="1" x14ac:dyDescent="0.3">
      <c r="B4" s="2"/>
      <c r="C4" s="579">
        <v>2002</v>
      </c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1"/>
      <c r="O4" s="579">
        <v>2003</v>
      </c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1"/>
      <c r="AA4" s="579">
        <v>2004</v>
      </c>
      <c r="AB4" s="580"/>
      <c r="AC4" s="580"/>
      <c r="AD4" s="580"/>
      <c r="AE4" s="580"/>
      <c r="AF4" s="580"/>
      <c r="AG4" s="580"/>
      <c r="AH4" s="580"/>
      <c r="AI4" s="580"/>
      <c r="AJ4" s="580"/>
      <c r="AK4" s="580"/>
      <c r="AL4" s="581"/>
      <c r="AM4" s="579">
        <v>2005</v>
      </c>
      <c r="AN4" s="580"/>
      <c r="AO4" s="580"/>
      <c r="AP4" s="580"/>
      <c r="AQ4" s="580"/>
      <c r="AR4" s="580"/>
      <c r="AS4" s="580"/>
      <c r="AT4" s="580"/>
      <c r="AU4" s="580"/>
      <c r="AV4" s="580"/>
      <c r="AW4" s="580"/>
      <c r="AX4" s="581"/>
      <c r="AY4" s="579">
        <v>2006</v>
      </c>
      <c r="AZ4" s="580"/>
      <c r="BA4" s="580"/>
      <c r="BB4" s="580"/>
      <c r="BC4" s="580"/>
      <c r="BD4" s="580"/>
      <c r="BE4" s="580"/>
      <c r="BF4" s="580"/>
      <c r="BG4" s="580"/>
      <c r="BH4" s="580"/>
      <c r="BI4" s="580"/>
      <c r="BJ4" s="581"/>
      <c r="BK4" s="579">
        <v>2007</v>
      </c>
      <c r="BL4" s="580"/>
      <c r="BM4" s="580"/>
      <c r="BN4" s="580"/>
      <c r="BO4" s="580"/>
      <c r="BP4" s="580"/>
      <c r="BQ4" s="580"/>
      <c r="BR4" s="580"/>
      <c r="BS4" s="580"/>
      <c r="BT4" s="580"/>
      <c r="BU4" s="580"/>
      <c r="BV4" s="581"/>
      <c r="BW4" s="579">
        <v>2008</v>
      </c>
      <c r="BX4" s="580"/>
      <c r="BY4" s="580"/>
      <c r="BZ4" s="580"/>
      <c r="CA4" s="580"/>
      <c r="CB4" s="580"/>
      <c r="CC4" s="580"/>
      <c r="CD4" s="580"/>
      <c r="CE4" s="580"/>
      <c r="CF4" s="580"/>
      <c r="CG4" s="580"/>
      <c r="CH4" s="581"/>
      <c r="CI4" s="572">
        <v>2009</v>
      </c>
      <c r="CJ4" s="573"/>
      <c r="CK4" s="573"/>
      <c r="CL4" s="573"/>
      <c r="CM4" s="573"/>
      <c r="CN4" s="573"/>
      <c r="CO4" s="573"/>
      <c r="CP4" s="573"/>
      <c r="CQ4" s="573"/>
      <c r="CR4" s="573"/>
      <c r="CS4" s="573"/>
      <c r="CT4" s="574"/>
      <c r="CU4" s="577">
        <v>2010</v>
      </c>
      <c r="CV4" s="578"/>
      <c r="CW4" s="578"/>
      <c r="CX4" s="578"/>
      <c r="CY4" s="578"/>
      <c r="CZ4" s="578"/>
      <c r="DA4" s="578"/>
      <c r="DB4" s="578"/>
      <c r="DC4" s="578"/>
      <c r="DD4" s="578"/>
      <c r="DE4" s="578"/>
      <c r="DF4" s="592"/>
      <c r="DG4" s="579">
        <v>2011</v>
      </c>
      <c r="DH4" s="580"/>
      <c r="DI4" s="580"/>
      <c r="DJ4" s="580"/>
      <c r="DK4" s="580"/>
      <c r="DL4" s="580"/>
      <c r="DM4" s="580"/>
      <c r="DN4" s="580"/>
      <c r="DO4" s="580"/>
      <c r="DP4" s="580"/>
      <c r="DQ4" s="580"/>
      <c r="DR4" s="581"/>
      <c r="DS4" s="579">
        <v>2012</v>
      </c>
      <c r="DT4" s="580"/>
      <c r="DU4" s="580"/>
      <c r="DV4" s="580"/>
      <c r="DW4" s="580"/>
      <c r="DX4" s="580"/>
      <c r="DY4" s="580"/>
      <c r="DZ4" s="580"/>
      <c r="EA4" s="580"/>
      <c r="EB4" s="580"/>
      <c r="EC4" s="580"/>
      <c r="ED4" s="581"/>
      <c r="EE4" s="572">
        <v>2013</v>
      </c>
      <c r="EF4" s="573"/>
      <c r="EG4" s="573"/>
      <c r="EH4" s="573"/>
      <c r="EI4" s="573"/>
      <c r="EJ4" s="573"/>
      <c r="EK4" s="573"/>
      <c r="EL4" s="573"/>
      <c r="EM4" s="573"/>
      <c r="EN4" s="573"/>
      <c r="EO4" s="573"/>
      <c r="EP4" s="574"/>
      <c r="EQ4" s="572">
        <v>2014</v>
      </c>
      <c r="ER4" s="573"/>
      <c r="ES4" s="573"/>
      <c r="ET4" s="573"/>
      <c r="EU4" s="573"/>
      <c r="EV4" s="573"/>
      <c r="EW4" s="573"/>
      <c r="EX4" s="573"/>
      <c r="EY4" s="573"/>
      <c r="EZ4" s="573"/>
      <c r="FA4" s="573"/>
      <c r="FB4" s="574"/>
      <c r="FC4" s="572">
        <v>2015</v>
      </c>
      <c r="FD4" s="573"/>
      <c r="FE4" s="573"/>
      <c r="FF4" s="573"/>
      <c r="FG4" s="573"/>
      <c r="FH4" s="573"/>
      <c r="FI4" s="573"/>
      <c r="FJ4" s="573"/>
      <c r="FK4" s="573"/>
      <c r="FL4" s="573"/>
      <c r="FM4" s="573"/>
      <c r="FN4" s="574"/>
      <c r="FO4" s="572">
        <v>2016</v>
      </c>
      <c r="FP4" s="573"/>
      <c r="FQ4" s="573"/>
      <c r="FR4" s="573"/>
      <c r="FS4" s="573"/>
      <c r="FT4" s="573"/>
      <c r="FU4" s="573"/>
      <c r="FV4" s="573"/>
      <c r="FW4" s="573"/>
      <c r="FX4" s="573"/>
      <c r="FY4" s="573"/>
      <c r="FZ4" s="574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1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</row>
    <row r="6" spans="2:182" x14ac:dyDescent="0.25">
      <c r="B6" s="3" t="s">
        <v>12</v>
      </c>
      <c r="C6" s="74"/>
      <c r="D6" s="18"/>
      <c r="E6" s="18"/>
      <c r="F6" s="18"/>
      <c r="G6" s="18"/>
      <c r="H6" s="19"/>
      <c r="I6" s="18"/>
      <c r="J6" s="18"/>
      <c r="K6" s="18"/>
      <c r="L6" s="18"/>
      <c r="M6" s="18"/>
      <c r="N6" s="18"/>
      <c r="O6" s="138"/>
      <c r="P6" s="18"/>
      <c r="Q6" s="18"/>
      <c r="U6" s="18"/>
      <c r="V6" s="18"/>
      <c r="W6" s="18"/>
      <c r="X6" s="18"/>
      <c r="Y6" s="18"/>
      <c r="Z6" s="146"/>
      <c r="AA6" s="13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46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20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20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20"/>
      <c r="BX6" s="18"/>
      <c r="BY6" s="18"/>
      <c r="BZ6" s="18"/>
      <c r="CA6" s="18"/>
      <c r="CB6" s="18"/>
      <c r="CC6" s="69"/>
      <c r="CD6" s="69"/>
      <c r="CE6" s="69"/>
      <c r="CF6" s="69"/>
      <c r="CG6" s="69"/>
      <c r="CH6" s="69"/>
      <c r="CI6" s="88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5">
      <c r="B7" s="3"/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18"/>
      <c r="O7" s="138"/>
      <c r="P7" s="18"/>
      <c r="Q7" s="18"/>
      <c r="U7" s="18"/>
      <c r="V7" s="18"/>
      <c r="W7" s="18"/>
      <c r="X7" s="18"/>
      <c r="Y7" s="18"/>
      <c r="Z7" s="146"/>
      <c r="AA7" s="13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46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20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20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20"/>
      <c r="BX7" s="18"/>
      <c r="BY7" s="18"/>
      <c r="BZ7" s="18"/>
      <c r="CA7" s="18"/>
      <c r="CB7" s="18"/>
      <c r="CC7" s="69"/>
      <c r="CD7" s="69"/>
      <c r="CE7" s="69"/>
      <c r="CF7" s="69"/>
      <c r="CG7" s="69"/>
      <c r="CH7" s="69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x14ac:dyDescent="0.25">
      <c r="B8" s="3" t="s">
        <v>1</v>
      </c>
      <c r="C8" s="75">
        <f>SUM(Oncor!C8,Centerpoint!C8,'AEP Central'!C8,TNMP!C8,'AEP North'!C8)</f>
        <v>3966894</v>
      </c>
      <c r="D8" s="16">
        <f>SUM(Oncor!D8,Centerpoint!D8,'AEP Central'!D8,TNMP!D8,'AEP North'!D8)</f>
        <v>3974341</v>
      </c>
      <c r="E8" s="16">
        <f>SUM(Oncor!E8,Centerpoint!E8,'AEP Central'!E8,TNMP!E8,'AEP North'!E8)</f>
        <v>4646688</v>
      </c>
      <c r="F8" s="16">
        <f>SUM(Oncor!F8,Centerpoint!F8,'AEP Central'!F8,TNMP!F8,'AEP North'!F8)</f>
        <v>4652355</v>
      </c>
      <c r="G8" s="16">
        <f>SUM(Oncor!G8,Centerpoint!G8,'AEP Central'!G8,TNMP!G8,'AEP North'!G8)</f>
        <v>4619736</v>
      </c>
      <c r="H8" s="16">
        <f>SUM(Oncor!H8,Centerpoint!H8,'AEP Central'!H8,TNMP!H8,'AEP North'!H8)</f>
        <v>4639820</v>
      </c>
      <c r="I8" s="16">
        <f>SUM(Oncor!I8,Centerpoint!I8,'AEP Central'!I8,TNMP!I8,'AEP North'!I8)</f>
        <v>4630714</v>
      </c>
      <c r="J8" s="16">
        <f>SUM(Oncor!J8,Centerpoint!J8,'AEP Central'!J8,TNMP!J8,'AEP North'!J8)</f>
        <v>4569501</v>
      </c>
      <c r="K8" s="16">
        <f>SUM(Oncor!K8,Centerpoint!K8,'AEP Central'!K8,TNMP!K8,'AEP North'!K8)</f>
        <v>4553111</v>
      </c>
      <c r="L8" s="16">
        <f>SUM(Oncor!L8,Centerpoint!L8,'AEP Central'!L8,TNMP!L8,'AEP North'!L8)</f>
        <v>4556601</v>
      </c>
      <c r="M8" s="16">
        <f>SUM(Oncor!M8,Centerpoint!M8,'AEP Central'!M8,TNMP!M8,'AEP North'!M8)</f>
        <v>4548868</v>
      </c>
      <c r="N8" s="16">
        <f>SUM(Oncor!N8,Centerpoint!N8,'AEP Central'!N8,TNMP!N8,'AEP North'!N8)</f>
        <v>4546949</v>
      </c>
      <c r="O8" s="133">
        <f>SUM(Oncor!O8,Centerpoint!O8,'AEP Central'!O8,TNMP!O8,'AEP North'!O8)</f>
        <v>4571073</v>
      </c>
      <c r="P8" s="16">
        <f>SUM(Oncor!P8,Centerpoint!P8,'AEP Central'!P8,TNMP!P8,'AEP North'!P8)</f>
        <v>4500262</v>
      </c>
      <c r="Q8" s="16">
        <f>SUM(Oncor!Q8,Centerpoint!Q8,'AEP Central'!Q8,TNMP!Q8,'AEP North'!Q8)</f>
        <v>4558578</v>
      </c>
      <c r="R8" s="16">
        <f>SUM(Oncor!R8,Centerpoint!R8,'AEP Central'!R8,TNMP!R8,'AEP North'!R8)</f>
        <v>4486880</v>
      </c>
      <c r="S8" s="16">
        <f>SUM(Oncor!S8,Centerpoint!S8,'AEP Central'!S8,TNMP!S8,'AEP North'!S8)</f>
        <v>4473921</v>
      </c>
      <c r="T8" s="16">
        <f>SUM(Oncor!T8,Centerpoint!T8,'AEP Central'!T8,TNMP!T8,'AEP North'!T8)</f>
        <v>4447999</v>
      </c>
      <c r="U8" s="16">
        <f>SUM(Oncor!U8,Centerpoint!U8,'AEP Central'!U8,TNMP!U8,'AEP North'!U8)</f>
        <v>4458220</v>
      </c>
      <c r="V8" s="16">
        <f>SUM(Oncor!V8,Centerpoint!V8,'AEP Central'!V8,TNMP!V8,'AEP North'!V8)</f>
        <v>4407928</v>
      </c>
      <c r="W8" s="16">
        <f>SUM(Oncor!W8,Centerpoint!W8,'AEP Central'!W8,TNMP!W8,'AEP North'!W8)</f>
        <v>4375658</v>
      </c>
      <c r="X8" s="16">
        <f>SUM(Oncor!X8,Centerpoint!X8,'AEP Central'!X8,TNMP!X8,'AEP North'!X8)</f>
        <v>4384989</v>
      </c>
      <c r="Y8" s="16">
        <f>SUM(Oncor!Y8,Centerpoint!Y8,'AEP Central'!Y8,TNMP!Y8,'AEP North'!Y8)</f>
        <v>4196606</v>
      </c>
      <c r="Z8" s="147">
        <f>SUM(Oncor!Z8,Centerpoint!Z8,'AEP Central'!Z8,TNMP!Z8,'AEP North'!Z8)</f>
        <v>4283640</v>
      </c>
      <c r="AA8" s="133">
        <f>SUM(Oncor!AA8,Centerpoint!AA8,'AEP Central'!AA8,TNMP!AA8,'AEP North'!AA8)</f>
        <v>4304352</v>
      </c>
      <c r="AB8" s="16">
        <f>SUM(Oncor!AB8,Centerpoint!AB8,'AEP Central'!AB8,TNMP!AB8,'AEP North'!AB8)</f>
        <v>4273548</v>
      </c>
      <c r="AC8" s="16">
        <f>SUM(Oncor!AC8,Centerpoint!AC8,'AEP Central'!AC8,TNMP!AC8,'AEP North'!AC8)</f>
        <v>4351517</v>
      </c>
      <c r="AD8" s="16">
        <f>SUM(Oncor!AD8,Centerpoint!AD8,'AEP Central'!AD8,TNMP!AD8,'AEP North'!AD8)</f>
        <v>4280716</v>
      </c>
      <c r="AE8" s="16">
        <f>SUM(Oncor!AE8,Centerpoint!AE8,'AEP Central'!AE8,TNMP!AE8,'AEP North'!AE8)</f>
        <v>4234715</v>
      </c>
      <c r="AF8" s="16">
        <f>SUM(Oncor!AF8,Centerpoint!AF8,'AEP Central'!AF8,TNMP!AF8,'AEP North'!AF8)</f>
        <v>4269488</v>
      </c>
      <c r="AG8" s="16">
        <f>SUM(Oncor!AG8,Centerpoint!AG8,'AEP Central'!AG8,TNMP!AG8,'AEP North'!AG8)</f>
        <v>4224098</v>
      </c>
      <c r="AH8" s="16">
        <f>SUM(Oncor!AH8,Centerpoint!AH8,'AEP Central'!AH8,TNMP!AH8,'AEP North'!AH8)</f>
        <v>4227646</v>
      </c>
      <c r="AI8" s="16">
        <f>SUM(Oncor!AI8,Centerpoint!AI8,'AEP Central'!AI8,TNMP!AI8,'AEP North'!AI8)</f>
        <v>4152570</v>
      </c>
      <c r="AJ8" s="16">
        <f>SUM(Oncor!AJ8,Centerpoint!AJ8,'AEP Central'!AJ8,TNMP!AJ8,'AEP North'!AJ8)</f>
        <v>4122990</v>
      </c>
      <c r="AK8" s="16">
        <f>SUM(Oncor!AK8,Centerpoint!AK8,'AEP Central'!AK8,TNMP!AK8,'AEP North'!AK8)</f>
        <v>4073036</v>
      </c>
      <c r="AL8" s="147">
        <f>SUM(Oncor!AL8,Centerpoint!AL8,'AEP Central'!AL8,TNMP!AL8,'AEP North'!AL8)</f>
        <v>4037397</v>
      </c>
      <c r="AM8" s="16">
        <f>SUM(Oncor!AM8,Centerpoint!AM8,'AEP Central'!AM8,TNMP!AM8,'AEP North'!AM8)</f>
        <v>4062573</v>
      </c>
      <c r="AN8" s="16">
        <f>SUM(Oncor!AN8,Centerpoint!AN8,'AEP Central'!AN8,TNMP!AN8,'AEP North'!AN8)</f>
        <v>3987172</v>
      </c>
      <c r="AO8" s="16">
        <f>SUM(Oncor!AO8,Centerpoint!AO8,'AEP Central'!AO8,TNMP!AO8,'AEP North'!AO8)</f>
        <v>4015412</v>
      </c>
      <c r="AP8" s="16">
        <f>SUM(Oncor!AP8,Centerpoint!AP8,'AEP Central'!AP8,TNMP!AP8,'AEP North'!AP8)</f>
        <v>3965132</v>
      </c>
      <c r="AQ8" s="16">
        <f>SUM(Oncor!AQ8,Centerpoint!AQ8,'AEP Central'!AQ8,TNMP!AQ8,'AEP North'!AQ8)</f>
        <v>3941488</v>
      </c>
      <c r="AR8" s="16">
        <f>SUM(Oncor!AR8,Centerpoint!AR8,'AEP Central'!AR8,TNMP!AR8,'AEP North'!AR8)</f>
        <v>3920002</v>
      </c>
      <c r="AS8" s="16">
        <f>SUM(Oncor!AS8,Centerpoint!AS8,'AEP Central'!AS8,TNMP!AS8,'AEP North'!AS8)</f>
        <v>3867433</v>
      </c>
      <c r="AT8" s="16">
        <f>SUM(Oncor!AT8,Centerpoint!AT8,'AEP Central'!AT8,TNMP!AT8,'AEP North'!AT8)</f>
        <v>3898351</v>
      </c>
      <c r="AU8" s="16">
        <f>SUM(Oncor!AU8,Centerpoint!AU8,'AEP Central'!AU8,TNMP!AU8,'AEP North'!AU8)</f>
        <v>3806400</v>
      </c>
      <c r="AV8" s="16">
        <f>SUM(Oncor!AV8,Centerpoint!AV8,'AEP Central'!AV8,TNMP!AV8,'AEP North'!AV8)</f>
        <v>3760724</v>
      </c>
      <c r="AW8" s="16">
        <f>SUM(Oncor!AW8,Centerpoint!AW8,'AEP Central'!AW8,TNMP!AW8,'AEP North'!AW8)</f>
        <v>3703405</v>
      </c>
      <c r="AX8" s="21">
        <f>SUM(Oncor!AX8,Centerpoint!AX8,'AEP Central'!AX8,TNMP!AX8,'AEP North'!AX8)</f>
        <v>3692025</v>
      </c>
      <c r="AY8" s="16">
        <f>SUM(Oncor!AY8,Centerpoint!AY8,'AEP Central'!AY8,TNMP!AY8,'AEP North'!AY8)</f>
        <v>3707701</v>
      </c>
      <c r="AZ8" s="16">
        <f>SUM(Oncor!AZ8,Centerpoint!AZ8,'AEP Central'!AZ8,TNMP!AZ8,'AEP North'!AZ8)</f>
        <v>3670093</v>
      </c>
      <c r="BA8" s="16">
        <f>SUM(Oncor!BA8,Centerpoint!BA8,'AEP Central'!BA8,TNMP!BA8,'AEP North'!BA8)</f>
        <v>3736894</v>
      </c>
      <c r="BB8" s="16">
        <f>SUM(Oncor!BB8,Centerpoint!BB8,'AEP Central'!BB8,TNMP!BB8,'AEP North'!BB8)</f>
        <v>3638385</v>
      </c>
      <c r="BC8" s="16">
        <f>SUM(Oncor!BC8,Centerpoint!BC8,'AEP Central'!BC8,TNMP!BC8,'AEP North'!BC8)</f>
        <v>3670387</v>
      </c>
      <c r="BD8" s="16">
        <f>SUM(Oncor!BD8,Centerpoint!BD8,'AEP Central'!BD8,TNMP!BD8,'AEP North'!BD8)</f>
        <v>3637032</v>
      </c>
      <c r="BE8" s="16">
        <f>SUM(Oncor!BE8,Centerpoint!BE8,'AEP Central'!BE8,TNMP!BE8,'AEP North'!BE8)</f>
        <v>3549391</v>
      </c>
      <c r="BF8" s="16">
        <f>SUM(Oncor!BF8,Centerpoint!BF8,'AEP Central'!BF8,TNMP!BF8,'AEP North'!BF8)</f>
        <v>3583323</v>
      </c>
      <c r="BG8" s="16">
        <f>SUM(Oncor!BG8,Centerpoint!BG8,'AEP Central'!BG8,TNMP!BG8,'AEP North'!BG8)</f>
        <v>3473116</v>
      </c>
      <c r="BH8" s="16">
        <f>SUM(Oncor!BH8,Centerpoint!BH8,'AEP Central'!BH8,TNMP!BH8,'AEP North'!BH8)</f>
        <v>3476664</v>
      </c>
      <c r="BI8" s="16">
        <f>SUM(Oncor!BI8,Centerpoint!BI8,'AEP Central'!BI8,TNMP!BI8,'AEP North'!BI8)</f>
        <v>3393802</v>
      </c>
      <c r="BJ8" s="21">
        <f>SUM(Oncor!BJ8,Centerpoint!BJ8,'AEP Central'!BJ8,TNMP!BJ8,'AEP North'!BJ8)</f>
        <v>3337467</v>
      </c>
      <c r="BK8" s="16">
        <f>SUM(Oncor!BK8,Centerpoint!BK8,'AEP Central'!BK8,TNMP!BK8,'AEP North'!BK8)</f>
        <v>3362790</v>
      </c>
      <c r="BL8" s="16">
        <f>SUM(Oncor!BL8,Centerpoint!BL8,'AEP Central'!BL8,TNMP!BL8,'AEP North'!BL8)</f>
        <v>3321492</v>
      </c>
      <c r="BM8" s="16">
        <f>SUM(Oncor!BM8,Centerpoint!BM8,'AEP Central'!BM8,TNMP!BM8,'AEP North'!BM8)</f>
        <v>3345372</v>
      </c>
      <c r="BN8" s="16">
        <f>SUM(Oncor!BN8,Centerpoint!BN8,'AEP Central'!BN8,TNMP!BN8,'AEP North'!BN8)</f>
        <v>3276992</v>
      </c>
      <c r="BO8" s="16">
        <f>SUM(Oncor!BO8,Centerpoint!BO8,'AEP Central'!BO8,TNMP!BO8,'AEP North'!BO8)</f>
        <v>3298032</v>
      </c>
      <c r="BP8" s="16">
        <f>SUM(Oncor!BP8,Centerpoint!BP8,'AEP Central'!BP8,TNMP!BP8,'AEP North'!BP8)</f>
        <v>3260466</v>
      </c>
      <c r="BQ8" s="16">
        <f>SUM(Oncor!BQ8,Centerpoint!BQ8,'AEP Central'!BQ8,TNMP!BQ8,'AEP North'!BQ8)</f>
        <v>3243533</v>
      </c>
      <c r="BR8" s="16">
        <f>SUM(Oncor!BR8,Centerpoint!BR8,'AEP Central'!BR8,TNMP!BR8,'AEP North'!BR8)</f>
        <v>3272526</v>
      </c>
      <c r="BS8" s="16">
        <f>SUM(Oncor!BS8,Centerpoint!BS8,'AEP Central'!BS8,TNMP!BS8,'AEP North'!BS8)</f>
        <v>3167886</v>
      </c>
      <c r="BT8" s="16">
        <f>SUM(Oncor!BT8,Centerpoint!BT8,'AEP Central'!BT8,TNMP!BT8,'AEP North'!BT8)</f>
        <v>3195431</v>
      </c>
      <c r="BU8" s="16">
        <f>SUM(Oncor!BU8,Centerpoint!BU8,'AEP Central'!BU8,TNMP!BU8,'AEP North'!BU8)</f>
        <v>3177685</v>
      </c>
      <c r="BV8" s="21">
        <f>SUM(Oncor!BV8,Centerpoint!BV8,'AEP Central'!BV8,TNMP!BV8,'AEP North'!BV8)</f>
        <v>3160688</v>
      </c>
      <c r="BW8" s="16">
        <f>SUM(Oncor!BW8,Centerpoint!BW8,'AEP Central'!BW8,TNMP!BW8,'AEP North'!BW8)</f>
        <v>3146734</v>
      </c>
      <c r="BX8" s="16">
        <f>SUM(Oncor!BX8,Centerpoint!BX8,'AEP Central'!BX8,TNMP!BX8,'AEP North'!BX8)</f>
        <v>3132759</v>
      </c>
      <c r="BY8" s="16">
        <f>SUM(Oncor!BY8,Centerpoint!BY8,'AEP Central'!BY8,TNMP!BY8,'AEP North'!BY8)</f>
        <v>3118528</v>
      </c>
      <c r="BZ8" s="16">
        <f>SUM(Oncor!BZ8,Centerpoint!BZ8,'AEP Central'!BZ8,TNMP!BZ8,'AEP North'!BZ8)</f>
        <v>3098801</v>
      </c>
      <c r="CA8" s="16">
        <f>SUM(Oncor!CA8,Centerpoint!CA8,'AEP Central'!CA8,TNMP!CA8,'AEP North'!CA8)</f>
        <v>3083991</v>
      </c>
      <c r="CB8" s="16">
        <f>SUM(Oncor!CB8,Centerpoint!CB8,'AEP Central'!CB8,TNMP!CB8,'AEP North'!CB8)</f>
        <v>3079072</v>
      </c>
      <c r="CC8" s="69">
        <f>SUM(Oncor!CC8,Centerpoint!CC8,'AEP Central'!CC8,TNMP!CC8,'AEP North'!CC8)</f>
        <v>3076728</v>
      </c>
      <c r="CD8" s="69">
        <f>SUM(Oncor!CD8,Centerpoint!CD8,'AEP Central'!CD8,TNMP!CD8,'AEP North'!CD8)</f>
        <v>3074078</v>
      </c>
      <c r="CE8" s="69">
        <f>SUM(Oncor!CE8,Centerpoint!CE8,'AEP Central'!CE8,TNMP!CE8,'AEP North'!CE8)</f>
        <v>3058711</v>
      </c>
      <c r="CF8" s="69">
        <f>SUM(Oncor!CF8,Centerpoint!CF8,'AEP Central'!CF8,TNMP!CF8,'AEP North'!CF8)</f>
        <v>3031074</v>
      </c>
      <c r="CG8" s="69">
        <f>SUM(Oncor!CG8,Centerpoint!CG8,'AEP Central'!CG8,TNMP!CG8,'AEP North'!CG8)</f>
        <v>2996629</v>
      </c>
      <c r="CH8" s="69">
        <f>SUM(Oncor!CH8,Centerpoint!CH8,'AEP Central'!CH8,TNMP!CH8,'AEP North'!CH8)</f>
        <v>3011101</v>
      </c>
      <c r="CI8" s="88">
        <f>SUM(Oncor!CI8,Centerpoint!CI8,'AEP Central'!CI8,TNMP!CI8,'AEP North'!CI8)</f>
        <v>3006077</v>
      </c>
      <c r="CJ8" s="69">
        <f>SUM(Oncor!CJ8,Centerpoint!CJ8,'AEP Central'!CJ8,TNMP!CJ8,'AEP North'!CJ8)</f>
        <v>2995464</v>
      </c>
      <c r="CK8" s="69">
        <f>SUM(Oncor!CK8,Centerpoint!CK8,'AEP Central'!CK8,TNMP!CK8,'AEP North'!CK8)</f>
        <v>2989082</v>
      </c>
      <c r="CL8" s="69">
        <f>SUM(Oncor!CL8,Centerpoint!CL8,'AEP Central'!CL8,TNMP!CL8,'AEP North'!CL8)</f>
        <v>2975166</v>
      </c>
      <c r="CM8" s="69">
        <f>SUM(Oncor!CM8,Centerpoint!CM8,'AEP Central'!CM8,TNMP!CM8,'AEP North'!CM8)</f>
        <v>2959214</v>
      </c>
      <c r="CN8" s="69">
        <f>SUM(Oncor!CN8,Centerpoint!CN8,'AEP Central'!CN8,TNMP!CN8,'AEP North'!CN8)</f>
        <v>2942747</v>
      </c>
      <c r="CO8" s="69">
        <f>SUM(Oncor!CO8,Centerpoint!CO8,'AEP Central'!CO8,TNMP!CO8,'AEP North'!CO8)</f>
        <v>2923685</v>
      </c>
      <c r="CP8" s="69">
        <f>SUM(Oncor!CP8,Centerpoint!CP8,'AEP Central'!CP8,TNMP!CP8,'AEP North'!CP8)</f>
        <v>2900788</v>
      </c>
      <c r="CQ8" s="69">
        <f>SUM(Oncor!CQ8,Centerpoint!CQ8,'AEP Central'!CQ8,TNMP!CQ8,'AEP North'!CQ8)</f>
        <v>2874389</v>
      </c>
      <c r="CR8" s="69">
        <f>SUM(Oncor!CR8,Centerpoint!CR8,'AEP Central'!CR8,TNMP!CR8,'AEP North'!CR8)</f>
        <v>2843712</v>
      </c>
      <c r="CS8" s="69">
        <f>SUM(Oncor!CS8,Centerpoint!CS8,'AEP Central'!CS8,TNMP!CS8,'AEP North'!CS8)</f>
        <v>2822652</v>
      </c>
      <c r="CT8" s="89">
        <f>SUM(Oncor!CT8,Centerpoint!CT8,'AEP Central'!CT8,TNMP!CT8,'AEP North'!CT8)</f>
        <v>2803893</v>
      </c>
      <c r="CU8" s="69">
        <f>SUM(Oncor!CU8,Centerpoint!CU8,'AEP Central'!CU8,TNMP!CU8,'AEP North'!CU8)</f>
        <v>2766246</v>
      </c>
      <c r="CV8" s="69">
        <f>SUM(Oncor!CV8,Centerpoint!CV8,'AEP Central'!CV8,TNMP!CV8,'AEP North'!CV8)</f>
        <v>2773805</v>
      </c>
      <c r="CW8" s="69">
        <f>SUM(Oncor!CW8,Centerpoint!CW8,'AEP Central'!CW8,TNMP!CW8,'AEP North'!CW8)</f>
        <v>2758273</v>
      </c>
      <c r="CX8" s="69">
        <f>SUM(Oncor!CX8,Centerpoint!CX8,'AEP Central'!CX8,TNMP!CX8,'AEP North'!CX8)</f>
        <v>2743931</v>
      </c>
      <c r="CY8" s="69">
        <f>SUM(Oncor!CY8,Centerpoint!CY8,'AEP Central'!CY8,TNMP!CY8,'AEP North'!CY8)</f>
        <v>2728770</v>
      </c>
      <c r="CZ8" s="69">
        <f>SUM(Oncor!CZ8,Centerpoint!CZ8,'AEP Central'!CZ8,TNMP!CZ8,'AEP North'!CZ8)</f>
        <v>2713051</v>
      </c>
      <c r="DA8" s="69">
        <f>SUM(Oncor!DA8,Centerpoint!DA8,'AEP Central'!DA8,TNMP!DA8,'AEP North'!DA8)</f>
        <v>2691759</v>
      </c>
      <c r="DB8" s="69">
        <f>SUM(Oncor!DB8,Centerpoint!DB8,'AEP Central'!DB8,TNMP!DB8,'AEP North'!DB8)</f>
        <v>2655452</v>
      </c>
      <c r="DC8" s="69">
        <f>SUM(Oncor!DC8,Centerpoint!DC8,'AEP Central'!DC8,TNMP!DC8,'AEP North'!DC8)</f>
        <v>2646183</v>
      </c>
      <c r="DD8" s="69">
        <f>SUM(Oncor!DD8,Centerpoint!DD8,'AEP Central'!DD8,TNMP!DD8,'AEP North'!DD8)</f>
        <v>2613870</v>
      </c>
      <c r="DE8" s="69">
        <f>SUM(Oncor!DE8,Centerpoint!DE8,'AEP Central'!DE8,TNMP!DE8,'AEP North'!DE8)</f>
        <v>2596587</v>
      </c>
      <c r="DF8" s="89">
        <f>SUM(Oncor!DF8,Centerpoint!DF8,'AEP Central'!DF8,TNMP!DF8,'AEP North'!DF8)</f>
        <v>2589246</v>
      </c>
      <c r="DG8" s="69">
        <f>SUM(Oncor!DG8,Centerpoint!DG8,'AEP Central'!DG8,TNMP!DG8,'AEP North'!DG8)</f>
        <v>2554889</v>
      </c>
      <c r="DH8" s="69">
        <f>SUM(Oncor!DH8,Centerpoint!DH8,'AEP Central'!DH8,TNMP!DH8,'AEP North'!DH8)</f>
        <v>2565901</v>
      </c>
      <c r="DI8" s="69">
        <f>SUM(Oncor!DI8,Centerpoint!DI8,'AEP Central'!DI8,TNMP!DI8,'AEP North'!DI8)</f>
        <v>2553198</v>
      </c>
      <c r="DJ8" s="69">
        <f>SUM(Oncor!DJ8,Centerpoint!DJ8,'AEP Central'!DJ8,TNMP!DJ8,'AEP North'!DJ8)</f>
        <v>2526933</v>
      </c>
      <c r="DK8" s="69">
        <f>SUM(Oncor!DK8,Centerpoint!DK8,'AEP Central'!DK8,TNMP!DK8,'AEP North'!DK8)</f>
        <v>2500421</v>
      </c>
      <c r="DL8" s="69">
        <f>SUM(Oncor!DL8,Centerpoint!DL8,'AEP Central'!DL8,TNMP!DL8,'AEP North'!DL8)</f>
        <v>2514162</v>
      </c>
      <c r="DM8" s="69">
        <f>SUM(Oncor!DM8,Centerpoint!DM8,'AEP Central'!DM8,TNMP!DM8,'AEP North'!DM8)</f>
        <v>2489133</v>
      </c>
      <c r="DN8" s="69">
        <f>SUM(Oncor!DN8,Centerpoint!DN8,'AEP Central'!DN8,TNMP!DN8,'AEP North'!DN8)</f>
        <v>2484250</v>
      </c>
      <c r="DO8" s="69">
        <f>SUM(Oncor!DO8,Centerpoint!DO8,'AEP Central'!DO8,TNMP!DO8,'AEP North'!DO8)</f>
        <v>2454680</v>
      </c>
      <c r="DP8" s="69">
        <f>SUM(Oncor!DP8,Centerpoint!DP8,'AEP Central'!DP8,TNMP!DP8,'AEP North'!DP8)</f>
        <v>2436702</v>
      </c>
      <c r="DQ8" s="69">
        <f>SUM(Oncor!DQ8,Centerpoint!DQ8,'AEP Central'!DQ8,TNMP!DQ8,'AEP North'!DQ8)</f>
        <v>2432745</v>
      </c>
      <c r="DR8" s="69">
        <f>SUM(Oncor!DR8,Centerpoint!DR8,'AEP Central'!DR8,TNMP!DR8,'AEP North'!DR8)</f>
        <v>2398913</v>
      </c>
      <c r="DS8" s="69">
        <f>SUM(Oncor!DS8,Centerpoint!DS8,'AEP Central'!DS8,TNMP!DS8,'AEP North'!DS8)</f>
        <v>2398754</v>
      </c>
      <c r="DT8" s="69">
        <f>SUM(Oncor!DT8,Centerpoint!DT8,'AEP Central'!DT8,TNMP!DT8,'AEP North'!DT8)</f>
        <v>2400761</v>
      </c>
      <c r="DU8" s="69">
        <f>SUM(Oncor!DU8,Centerpoint!DU8,'AEP Central'!DU8,TNMP!DU8,'AEP North'!DU8)</f>
        <v>2401449</v>
      </c>
      <c r="DV8" s="69">
        <f>SUM(Oncor!DV8,Centerpoint!DV8,'AEP Central'!DV8,TNMP!DV8,'AEP North'!DV8)</f>
        <v>2387061</v>
      </c>
      <c r="DW8" s="69">
        <f>SUM(Oncor!DW8,Centerpoint!DW8,'AEP Central'!DW8,TNMP!DW8,'AEP North'!DW8)</f>
        <v>2377737</v>
      </c>
      <c r="DX8" s="69">
        <f>SUM(Oncor!DX8,Centerpoint!DX8,'AEP Central'!DX8,TNMP!DX8,'AEP North'!DX8)</f>
        <v>2364540</v>
      </c>
      <c r="DY8" s="69">
        <f>SUM(Oncor!DY8,Centerpoint!DY8,'AEP Central'!DY8,TNMP!DY8,'AEP North'!DY8)</f>
        <v>2355527</v>
      </c>
      <c r="DZ8" s="69">
        <f>SUM(Oncor!DZ8,Centerpoint!DZ8,'AEP Central'!DZ8,TNMP!DZ8,'AEP North'!DZ8)</f>
        <v>2346123</v>
      </c>
      <c r="EA8" s="69">
        <f>SUM(Oncor!EA8,Centerpoint!EA8,'AEP Central'!EA8,TNMP!EA8,'AEP North'!EA8)</f>
        <v>2338176</v>
      </c>
      <c r="EB8" s="69">
        <f>SUM(Oncor!EB8,Centerpoint!EB8,'AEP Central'!EB8,TNMP!EB8,'AEP North'!EB8)</f>
        <v>2328108</v>
      </c>
      <c r="EC8" s="69">
        <f>SUM(Oncor!EC8,Centerpoint!EC8,'AEP Central'!EC8,TNMP!EC8,'AEP North'!EC8)</f>
        <v>2317855</v>
      </c>
      <c r="ED8" s="69">
        <f>SUM(Oncor!ED8,Centerpoint!ED8,'AEP Central'!ED8,TNMP!ED8,'AEP North'!ED8)</f>
        <v>2309946</v>
      </c>
      <c r="EE8" s="69">
        <f>SUM(Oncor!EE8,Centerpoint!EE8,'AEP Central'!EE8,TNMP!EE8,'AEP North'!EE8)</f>
        <v>2301067</v>
      </c>
      <c r="EF8" s="69">
        <f>SUM(Oncor!EF8,Centerpoint!EF8,'AEP Central'!EF8,TNMP!EF8,'AEP North'!EF8)</f>
        <v>2291652</v>
      </c>
      <c r="EG8" s="69">
        <f>SUM(Oncor!EG8,Centerpoint!EG8,'AEP Central'!EG8,TNMP!EG8,'AEP North'!EG8)</f>
        <v>2280931</v>
      </c>
      <c r="EH8" s="69">
        <f>SUM(Oncor!EH8,Centerpoint!EH8,'AEP Central'!EH8,TNMP!EH8,'AEP North'!EH8)</f>
        <v>2271719</v>
      </c>
      <c r="EI8" s="69">
        <f>SUM(Oncor!EI8,Centerpoint!EI8,'AEP Central'!EI8,TNMP!EI8,'AEP North'!EI8)</f>
        <v>2264448</v>
      </c>
      <c r="EJ8" s="69">
        <f>SUM(Oncor!EJ8,Centerpoint!EJ8,'AEP Central'!EJ8,TNMP!EJ8,'AEP North'!EJ8)</f>
        <v>2257270</v>
      </c>
      <c r="EK8" s="69">
        <f>SUM(Oncor!EK8,Centerpoint!EK8,'AEP Central'!EK8,TNMP!EK8,'AEP North'!EK8)</f>
        <v>2251219</v>
      </c>
      <c r="EL8" s="69">
        <f>SUM(Oncor!EL8,Centerpoint!EL8,'AEP Central'!EL8,TNMP!EL8,'AEP North'!EL8)</f>
        <v>2245691</v>
      </c>
      <c r="EM8" s="69">
        <f>SUM(Oncor!EM8,Centerpoint!EM8,'AEP Central'!EM8,TNMP!EM8,'AEP North'!EM8)</f>
        <v>2239198</v>
      </c>
      <c r="EN8" s="69">
        <f>SUM(Oncor!EN8,Centerpoint!EN8,'AEP Central'!EN8,TNMP!EN8,'AEP North'!EN8)</f>
        <v>2232373</v>
      </c>
      <c r="EO8" s="69">
        <f>SUM(Oncor!EO8,Centerpoint!EO8,'AEP Central'!EO8,TNMP!EO8,'AEP North'!EO8)</f>
        <v>2224945</v>
      </c>
      <c r="EP8" s="69">
        <f>SUM(Oncor!EP8,Centerpoint!EP8,'AEP Central'!EP8,TNMP!EP8,'AEP North'!EP8)</f>
        <v>2220246</v>
      </c>
      <c r="EQ8" s="69">
        <f>SUM(Oncor!EQ8,Centerpoint!EQ8,'AEP Central'!EQ8,TNMP!EQ8,'AEP North'!EQ8)</f>
        <v>2208853</v>
      </c>
      <c r="ER8" s="69">
        <f>SUM(Oncor!ER8,Centerpoint!ER8,'AEP Central'!ER8,TNMP!ER8,'AEP North'!ER8)</f>
        <v>2202812</v>
      </c>
      <c r="ES8" s="69">
        <f>SUM(Oncor!ES8,Centerpoint!ES8,'AEP Central'!ES8,TNMP!ES8,'AEP North'!ES8)</f>
        <v>2194197</v>
      </c>
      <c r="ET8" s="69">
        <f>SUM(Oncor!ET8,Centerpoint!ET8,'AEP Central'!ET8,TNMP!ET8,'AEP North'!ET8)</f>
        <v>2198801</v>
      </c>
      <c r="EU8" s="69">
        <f>SUM(Oncor!EU8,Centerpoint!EU8,'AEP Central'!EU8,TNMP!EU8,'AEP North'!EU8)</f>
        <v>2193505</v>
      </c>
      <c r="EV8" s="69">
        <f>SUM(Oncor!EV8,Centerpoint!EV8,'AEP Central'!EV8,TNMP!EV8,'AEP North'!EV8)</f>
        <v>2188351</v>
      </c>
      <c r="EW8" s="69">
        <f>SUM(Oncor!EW8,Centerpoint!EW8,'AEP Central'!EW8,TNMP!EW8,'AEP North'!EW8)</f>
        <v>2181436</v>
      </c>
      <c r="EX8" s="69">
        <f>SUM(Oncor!EX8,Centerpoint!EX8,'AEP Central'!EX8,TNMP!EX8,'AEP North'!EX8)</f>
        <v>2172127</v>
      </c>
      <c r="EY8" s="69">
        <f>SUM(Oncor!EY8,Centerpoint!EY8,'AEP Central'!EY8,TNMP!EY8,'AEP North'!EY8)</f>
        <v>2163056</v>
      </c>
      <c r="EZ8" s="69">
        <f>SUM(Oncor!EZ8,Centerpoint!EZ8,'AEP Central'!EZ8,TNMP!EZ8,'AEP North'!EZ8)</f>
        <v>2159210</v>
      </c>
      <c r="FA8" s="69">
        <f>SUM(Oncor!FA8,Centerpoint!FA8,'AEP Central'!FA8,TNMP!FA8,'AEP North'!FA8)</f>
        <v>2151018</v>
      </c>
      <c r="FB8" s="69">
        <f>SUM(Oncor!FB8,Centerpoint!FB8,'AEP Central'!FB8,TNMP!FB8,'AEP North'!FB8)</f>
        <v>2144013</v>
      </c>
      <c r="FC8" s="69">
        <f>SUM(Oncor!FC8,Centerpoint!FC8,'AEP Central'!FC8,TNMP!FC8,'AEP North'!FC8)</f>
        <v>2140623</v>
      </c>
      <c r="FD8" s="69">
        <f>SUM(Oncor!FD8,Centerpoint!FD8,'AEP Central'!FD8,TNMP!FD8,'AEP North'!FD8)</f>
        <v>2135294</v>
      </c>
      <c r="FE8" s="69">
        <f>SUM(Oncor!FE8,Centerpoint!FE8,'AEP Central'!FE8,TNMP!FE8,'AEP North'!FE8)</f>
        <v>2128851</v>
      </c>
      <c r="FF8" s="69">
        <f>SUM(Oncor!FF8,Centerpoint!FF8,'AEP Central'!FF8,TNMP!FF8,'AEP North'!FF8)</f>
        <v>2122037</v>
      </c>
      <c r="FG8" s="69">
        <f>SUM(Oncor!FG8,Centerpoint!FG8,'AEP Central'!FG8,TNMP!FG8,'AEP North'!FG8)</f>
        <v>2115069</v>
      </c>
      <c r="FH8" s="69">
        <f>SUM(Oncor!FH8,Centerpoint!FH8,'AEP Central'!FH8,TNMP!FH8,'AEP North'!FH8)</f>
        <v>2110414</v>
      </c>
      <c r="FI8" s="69">
        <f>SUM(Oncor!FI8,Centerpoint!FI8,'AEP Central'!FI8,TNMP!FI8,'AEP North'!FI8)</f>
        <v>2104003</v>
      </c>
      <c r="FJ8" s="69">
        <f>SUM(Oncor!FJ8,Centerpoint!FJ8,'AEP Central'!FJ8,TNMP!FJ8,'AEP North'!FJ8)</f>
        <v>2096927</v>
      </c>
      <c r="FK8" s="69">
        <f>SUM(Oncor!FK8,Centerpoint!FK8,'AEP Central'!FK8,TNMP!FK8,'AEP North'!FK8)</f>
        <v>2086865</v>
      </c>
      <c r="FL8" s="69">
        <f>SUM(Oncor!FL8,Centerpoint!FL8,'AEP Central'!FL8,TNMP!FL8,'AEP North'!FL8)</f>
        <v>2078592</v>
      </c>
      <c r="FM8" s="69">
        <f>SUM(Oncor!FM8,Centerpoint!FM8,'AEP Central'!FM8,TNMP!FM8,'AEP North'!FM8)</f>
        <v>2071413</v>
      </c>
      <c r="FN8" s="69">
        <f>SUM(Oncor!FN8,Centerpoint!FN8,'AEP Central'!FN8,TNMP!FN8,'AEP North'!FN8)</f>
        <v>2067166</v>
      </c>
      <c r="FO8" s="69">
        <f>SUM(Oncor!FO8,Centerpoint!FO8,'AEP Central'!FO8,TNMP!FO8,'AEP North'!FO8)</f>
        <v>2065239</v>
      </c>
      <c r="FP8" s="69">
        <f>SUM(Oncor!FP8,Centerpoint!FP8,'AEP Central'!FP8,TNMP!FP8,'AEP North'!FP8)</f>
        <v>2061321</v>
      </c>
      <c r="FQ8" s="69">
        <f>SUM(Oncor!FQ8,Centerpoint!FQ8,'AEP Central'!FQ8,TNMP!FQ8,'AEP North'!FQ8)</f>
        <v>2055267</v>
      </c>
      <c r="FR8" s="69">
        <f>SUM(Oncor!FR8,Centerpoint!FR8,'AEP Central'!FR8,TNMP!FR8,'AEP North'!FR8)</f>
        <v>2048971</v>
      </c>
      <c r="FS8" s="69">
        <f>SUM(Oncor!FS8,Centerpoint!FS8,'AEP Central'!FS8,TNMP!FS8,'AEP North'!FS8)</f>
        <v>2045127</v>
      </c>
      <c r="FT8" s="69">
        <f>SUM(Oncor!FT8,Centerpoint!FT8,'AEP Central'!FT8,TNMP!FT8,'AEP North'!FT8)</f>
        <v>2041572</v>
      </c>
    </row>
    <row r="9" spans="2:182" ht="13.8" thickBot="1" x14ac:dyDescent="0.3">
      <c r="B9" s="5" t="s">
        <v>8</v>
      </c>
      <c r="C9" s="76">
        <f>SUM(Oncor!C9,Centerpoint!C9,'AEP Central'!C9,TNMP!C9,'AEP North'!C9)</f>
        <v>69762</v>
      </c>
      <c r="D9" s="17">
        <f>SUM(Oncor!D9,Centerpoint!D9,'AEP Central'!D9,TNMP!D9,'AEP North'!D9)</f>
        <v>94416</v>
      </c>
      <c r="E9" s="17">
        <f>SUM(Oncor!E9,Centerpoint!E9,'AEP Central'!E9,TNMP!E9,'AEP North'!E9)</f>
        <v>103494</v>
      </c>
      <c r="F9" s="17">
        <f>SUM(Oncor!F9,Centerpoint!F9,'AEP Central'!F9,TNMP!F9,'AEP North'!F9)</f>
        <v>110186</v>
      </c>
      <c r="G9" s="17">
        <f>SUM(Oncor!G9,Centerpoint!G9,'AEP Central'!G9,TNMP!G9,'AEP North'!G9)</f>
        <v>139589</v>
      </c>
      <c r="H9" s="17">
        <f>SUM(Oncor!H9,Centerpoint!H9,'AEP Central'!H9,TNMP!H9,'AEP North'!H9)</f>
        <v>178906</v>
      </c>
      <c r="I9" s="17">
        <f>SUM(Oncor!I9,Centerpoint!I9,'AEP Central'!I9,TNMP!I9,'AEP North'!I9)</f>
        <v>161062</v>
      </c>
      <c r="J9" s="17">
        <f>SUM(Oncor!J9,Centerpoint!J9,'AEP Central'!J9,TNMP!J9,'AEP North'!J9)</f>
        <v>299572</v>
      </c>
      <c r="K9" s="17">
        <f>SUM(Oncor!K9,Centerpoint!K9,'AEP Central'!K9,TNMP!K9,'AEP North'!K9)</f>
        <v>319297</v>
      </c>
      <c r="L9" s="17">
        <f>SUM(Oncor!L9,Centerpoint!L9,'AEP Central'!L9,TNMP!L9,'AEP North'!L9)</f>
        <v>334661</v>
      </c>
      <c r="M9" s="17">
        <f>SUM(Oncor!M9,Centerpoint!M9,'AEP Central'!M9,TNMP!M9,'AEP North'!M9)</f>
        <v>345408</v>
      </c>
      <c r="N9" s="17">
        <f>SUM(Oncor!N9,Centerpoint!N9,'AEP Central'!N9,TNMP!N9,'AEP North'!N9)</f>
        <v>360861</v>
      </c>
      <c r="O9" s="134">
        <f>SUM(Oncor!O9,Centerpoint!O9,'AEP Central'!O9,TNMP!O9,'AEP North'!O9)</f>
        <v>375538</v>
      </c>
      <c r="P9" s="17">
        <f>SUM(Oncor!P9,Centerpoint!P9,'AEP Central'!P9,TNMP!P9,'AEP North'!P9)</f>
        <v>390110</v>
      </c>
      <c r="Q9" s="17">
        <f>SUM(Oncor!Q9,Centerpoint!Q9,'AEP Central'!Q9,TNMP!Q9,'AEP North'!Q9)</f>
        <v>417983</v>
      </c>
      <c r="R9" s="17">
        <f>SUM(Oncor!R9,Centerpoint!R9,'AEP Central'!R9,TNMP!R9,'AEP North'!R9)</f>
        <v>443237</v>
      </c>
      <c r="S9" s="17">
        <f>SUM(Oncor!S9,Centerpoint!S9,'AEP Central'!S9,TNMP!S9,'AEP North'!S9)</f>
        <v>466720</v>
      </c>
      <c r="T9" s="17">
        <f>SUM(Oncor!T9,Centerpoint!T9,'AEP Central'!T9,TNMP!T9,'AEP North'!T9)</f>
        <v>494292</v>
      </c>
      <c r="U9" s="17">
        <f>SUM(Oncor!U9,Centerpoint!U9,'AEP Central'!U9,TNMP!U9,'AEP North'!U9)</f>
        <v>531082</v>
      </c>
      <c r="V9" s="17">
        <f>SUM(Oncor!V9,Centerpoint!V9,'AEP Central'!V9,TNMP!V9,'AEP North'!V9)</f>
        <v>559768</v>
      </c>
      <c r="W9" s="17">
        <f>SUM(Oncor!W9,Centerpoint!W9,'AEP Central'!W9,TNMP!W9,'AEP North'!W9)</f>
        <v>601701</v>
      </c>
      <c r="X9" s="17">
        <f>SUM(Oncor!X9,Centerpoint!X9,'AEP Central'!X9,TNMP!X9,'AEP North'!X9)</f>
        <v>654009</v>
      </c>
      <c r="Y9" s="17">
        <f>SUM(Oncor!Y9,Centerpoint!Y9,'AEP Central'!Y9,TNMP!Y9,'AEP North'!Y9)</f>
        <v>653111</v>
      </c>
      <c r="Z9" s="148">
        <f>SUM(Oncor!Z9,Centerpoint!Z9,'AEP Central'!Z9,TNMP!Z9,'AEP North'!Z9)</f>
        <v>701696</v>
      </c>
      <c r="AA9" s="134">
        <f>SUM(Oncor!AA9,Centerpoint!AA9,'AEP Central'!AA9,TNMP!AA9,'AEP North'!AA9)</f>
        <v>715857</v>
      </c>
      <c r="AB9" s="17">
        <f>SUM(Oncor!AB9,Centerpoint!AB9,'AEP Central'!AB9,TNMP!AB9,'AEP North'!AB9)</f>
        <v>720393</v>
      </c>
      <c r="AC9" s="17">
        <f>SUM(Oncor!AC9,Centerpoint!AC9,'AEP Central'!AC9,TNMP!AC9,'AEP North'!AC9)</f>
        <v>755819</v>
      </c>
      <c r="AD9" s="17">
        <f>SUM(Oncor!AD9,Centerpoint!AD9,'AEP Central'!AD9,TNMP!AD9,'AEP North'!AD9)</f>
        <v>756732</v>
      </c>
      <c r="AE9" s="17">
        <f>SUM(Oncor!AE9,Centerpoint!AE9,'AEP Central'!AE9,TNMP!AE9,'AEP North'!AE9)</f>
        <v>769267</v>
      </c>
      <c r="AF9" s="17">
        <f>SUM(Oncor!AF9,Centerpoint!AF9,'AEP Central'!AF9,TNMP!AF9,'AEP North'!AF9)</f>
        <v>807483</v>
      </c>
      <c r="AG9" s="17">
        <f>SUM(Oncor!AG9,Centerpoint!AG9,'AEP Central'!AG9,TNMP!AG9,'AEP North'!AG9)</f>
        <v>836160</v>
      </c>
      <c r="AH9" s="17">
        <f>SUM(Oncor!AH9,Centerpoint!AH9,'AEP Central'!AH9,TNMP!AH9,'AEP North'!AH9)</f>
        <v>883194</v>
      </c>
      <c r="AI9" s="17">
        <f>SUM(Oncor!AI9,Centerpoint!AI9,'AEP Central'!AI9,TNMP!AI9,'AEP North'!AI9)</f>
        <v>913132</v>
      </c>
      <c r="AJ9" s="17">
        <f>SUM(Oncor!AJ9,Centerpoint!AJ9,'AEP Central'!AJ9,TNMP!AJ9,'AEP North'!AJ9)</f>
        <v>949436</v>
      </c>
      <c r="AK9" s="17">
        <f>SUM(Oncor!AK9,Centerpoint!AK9,'AEP Central'!AK9,TNMP!AK9,'AEP North'!AK9)</f>
        <v>976493</v>
      </c>
      <c r="AL9" s="148">
        <f>SUM(Oncor!AL9,Centerpoint!AL9,'AEP Central'!AL9,TNMP!AL9,'AEP North'!AL9)</f>
        <v>1004248</v>
      </c>
      <c r="AM9" s="17">
        <f>SUM(Oncor!AM9,Centerpoint!AM9,'AEP Central'!AM9,TNMP!AM9,'AEP North'!AM9)</f>
        <v>1046637</v>
      </c>
      <c r="AN9" s="17">
        <f>SUM(Oncor!AN9,Centerpoint!AN9,'AEP Central'!AN9,TNMP!AN9,'AEP North'!AN9)</f>
        <v>1059424</v>
      </c>
      <c r="AO9" s="17">
        <f>SUM(Oncor!AO9,Centerpoint!AO9,'AEP Central'!AO9,TNMP!AO9,'AEP North'!AO9)</f>
        <v>1107457</v>
      </c>
      <c r="AP9" s="17">
        <f>SUM(Oncor!AP9,Centerpoint!AP9,'AEP Central'!AP9,TNMP!AP9,'AEP North'!AP9)</f>
        <v>1131030</v>
      </c>
      <c r="AQ9" s="17">
        <f>SUM(Oncor!AQ9,Centerpoint!AQ9,'AEP Central'!AQ9,TNMP!AQ9,'AEP North'!AQ9)</f>
        <v>1174315</v>
      </c>
      <c r="AR9" s="17">
        <f>SUM(Oncor!AR9,Centerpoint!AR9,'AEP Central'!AR9,TNMP!AR9,'AEP North'!AR9)</f>
        <v>1228790</v>
      </c>
      <c r="AS9" s="17">
        <f>SUM(Oncor!AS9,Centerpoint!AS9,'AEP Central'!AS9,TNMP!AS9,'AEP North'!AS9)</f>
        <v>1271837</v>
      </c>
      <c r="AT9" s="17">
        <f>SUM(Oncor!AT9,Centerpoint!AT9,'AEP Central'!AT9,TNMP!AT9,'AEP North'!AT9)</f>
        <v>1350632</v>
      </c>
      <c r="AU9" s="17">
        <f>SUM(Oncor!AU9,Centerpoint!AU9,'AEP Central'!AU9,TNMP!AU9,'AEP North'!AU9)</f>
        <v>1387455</v>
      </c>
      <c r="AV9" s="17">
        <f>SUM(Oncor!AV9,Centerpoint!AV9,'AEP Central'!AV9,TNMP!AV9,'AEP North'!AV9)</f>
        <v>1428267</v>
      </c>
      <c r="AW9" s="17">
        <f>SUM(Oncor!AW9,Centerpoint!AW9,'AEP Central'!AW9,TNMP!AW9,'AEP North'!AW9)</f>
        <v>1451151</v>
      </c>
      <c r="AX9" s="22">
        <f>SUM(Oncor!AX9,Centerpoint!AX9,'AEP Central'!AX9,TNMP!AX9,'AEP North'!AX9)</f>
        <v>1477491</v>
      </c>
      <c r="AY9" s="17">
        <f>SUM(Oncor!AY9,Centerpoint!AY9,'AEP Central'!AY9,TNMP!AY9,'AEP North'!AY9)</f>
        <v>1510874</v>
      </c>
      <c r="AZ9" s="17">
        <f>SUM(Oncor!AZ9,Centerpoint!AZ9,'AEP Central'!AZ9,TNMP!AZ9,'AEP North'!AZ9)</f>
        <v>1520204</v>
      </c>
      <c r="BA9" s="17">
        <f>SUM(Oncor!BA9,Centerpoint!BA9,'AEP Central'!BA9,TNMP!BA9,'AEP North'!BA9)</f>
        <v>1573146</v>
      </c>
      <c r="BB9" s="17">
        <f>SUM(Oncor!BB9,Centerpoint!BB9,'AEP Central'!BB9,TNMP!BB9,'AEP North'!BB9)</f>
        <v>1565287</v>
      </c>
      <c r="BC9" s="17">
        <f>SUM(Oncor!BC9,Centerpoint!BC9,'AEP Central'!BC9,TNMP!BC9,'AEP North'!BC9)</f>
        <v>1622423</v>
      </c>
      <c r="BD9" s="17">
        <f>SUM(Oncor!BD9,Centerpoint!BD9,'AEP Central'!BD9,TNMP!BD9,'AEP North'!BD9)</f>
        <v>1667423</v>
      </c>
      <c r="BE9" s="17">
        <f>SUM(Oncor!BE9,Centerpoint!BE9,'AEP Central'!BE9,TNMP!BE9,'AEP North'!BE9)</f>
        <v>1690606</v>
      </c>
      <c r="BF9" s="17">
        <f>SUM(Oncor!BF9,Centerpoint!BF9,'AEP Central'!BF9,TNMP!BF9,'AEP North'!BF9)</f>
        <v>1776686</v>
      </c>
      <c r="BG9" s="17">
        <f>SUM(Oncor!BG9,Centerpoint!BG9,'AEP Central'!BG9,TNMP!BG9,'AEP North'!BG9)</f>
        <v>1784686</v>
      </c>
      <c r="BH9" s="17">
        <f>SUM(Oncor!BH9,Centerpoint!BH9,'AEP Central'!BH9,TNMP!BH9,'AEP North'!BH9)</f>
        <v>1853740</v>
      </c>
      <c r="BI9" s="17">
        <f>SUM(Oncor!BI9,Centerpoint!BI9,'AEP Central'!BI9,TNMP!BI9,'AEP North'!BI9)</f>
        <v>1861974</v>
      </c>
      <c r="BJ9" s="22">
        <f>SUM(Oncor!BJ9,Centerpoint!BJ9,'AEP Central'!BJ9,TNMP!BJ9,'AEP North'!BJ9)</f>
        <v>1881775</v>
      </c>
      <c r="BK9" s="17">
        <f>SUM(Oncor!BK9,Centerpoint!BK9,'AEP Central'!BK9,TNMP!BK9,'AEP North'!BK9)</f>
        <v>1942711</v>
      </c>
      <c r="BL9" s="17">
        <f>SUM(Oncor!BL9,Centerpoint!BL9,'AEP Central'!BL9,TNMP!BL9,'AEP North'!BL9)</f>
        <v>1954503</v>
      </c>
      <c r="BM9" s="17">
        <f>SUM(Oncor!BM9,Centerpoint!BM9,'AEP Central'!BM9,TNMP!BM9,'AEP North'!BM9)</f>
        <v>2014807</v>
      </c>
      <c r="BN9" s="17">
        <f>SUM(Oncor!BN9,Centerpoint!BN9,'AEP Central'!BN9,TNMP!BN9,'AEP North'!BN9)</f>
        <v>2022366</v>
      </c>
      <c r="BO9" s="17">
        <f>SUM(Oncor!BO9,Centerpoint!BO9,'AEP Central'!BO9,TNMP!BO9,'AEP North'!BO9)</f>
        <v>2083800</v>
      </c>
      <c r="BP9" s="17">
        <f>SUM(Oncor!BP9,Centerpoint!BP9,'AEP Central'!BP9,TNMP!BP9,'AEP North'!BP9)</f>
        <v>2100857</v>
      </c>
      <c r="BQ9" s="17">
        <f>SUM(Oncor!BQ9,Centerpoint!BQ9,'AEP Central'!BQ9,TNMP!BQ9,'AEP North'!BQ9)</f>
        <v>2128549</v>
      </c>
      <c r="BR9" s="17">
        <f>SUM(Oncor!BR9,Centerpoint!BR9,'AEP Central'!BR9,TNMP!BR9,'AEP North'!BR9)</f>
        <v>2189132</v>
      </c>
      <c r="BS9" s="17">
        <f>SUM(Oncor!BS9,Centerpoint!BS9,'AEP Central'!BS9,TNMP!BS9,'AEP North'!BS9)</f>
        <v>2146562</v>
      </c>
      <c r="BT9" s="17">
        <f>SUM(Oncor!BT9,Centerpoint!BT9,'AEP Central'!BT9,TNMP!BT9,'AEP North'!BT9)</f>
        <v>2211252</v>
      </c>
      <c r="BU9" s="17">
        <f>SUM(Oncor!BU9,Centerpoint!BU9,'AEP Central'!BU9,TNMP!BU9,'AEP North'!BU9)</f>
        <v>2233181</v>
      </c>
      <c r="BV9" s="22">
        <f>SUM(Oncor!BV9,Centerpoint!BV9,'AEP Central'!BV9,TNMP!BV9,'AEP North'!BV9)</f>
        <v>2258176</v>
      </c>
      <c r="BW9" s="17">
        <f>SUM(Oncor!BW9,Centerpoint!BW9,'AEP Central'!BW9,TNMP!BW9,'AEP North'!BW9)</f>
        <v>2277377</v>
      </c>
      <c r="BX9" s="17">
        <f>SUM(Oncor!BX9,Centerpoint!BX9,'AEP Central'!BX9,TNMP!BX9,'AEP North'!BX9)</f>
        <v>2299617</v>
      </c>
      <c r="BY9" s="17">
        <f>SUM(Oncor!BY9,Centerpoint!BY9,'AEP Central'!BY9,TNMP!BY9,'AEP North'!BY9)</f>
        <v>2324824</v>
      </c>
      <c r="BZ9" s="17">
        <f>SUM(Oncor!BZ9,Centerpoint!BZ9,'AEP Central'!BZ9,TNMP!BZ9,'AEP North'!BZ9)</f>
        <v>2353777</v>
      </c>
      <c r="CA9" s="17">
        <f>SUM(Oncor!CA9,Centerpoint!CA9,'AEP Central'!CA9,TNMP!CA9,'AEP North'!CA9)</f>
        <v>2413988</v>
      </c>
      <c r="CB9" s="17">
        <f>SUM(Oncor!CB9,Centerpoint!CB9,'AEP Central'!CB9,TNMP!CB9,'AEP North'!CB9)</f>
        <v>2404941</v>
      </c>
      <c r="CC9" s="92">
        <f>SUM(Oncor!CC9,Centerpoint!CC9,'AEP Central'!CC9,TNMP!CC9,'AEP North'!CC9)</f>
        <v>2411252</v>
      </c>
      <c r="CD9" s="92">
        <f>SUM(Oncor!CD9,Centerpoint!CD9,'AEP Central'!CD9,TNMP!CD9,'AEP North'!CD9)</f>
        <v>2422160</v>
      </c>
      <c r="CE9" s="92">
        <f>SUM(Oncor!CE9,Centerpoint!CE9,'AEP Central'!CE9,TNMP!CE9,'AEP North'!CE9)</f>
        <v>2432268</v>
      </c>
      <c r="CF9" s="92">
        <f>SUM(Oncor!CF9,Centerpoint!CF9,'AEP Central'!CF9,TNMP!CF9,'AEP North'!CF9)</f>
        <v>2434302</v>
      </c>
      <c r="CG9" s="92">
        <f>SUM(Oncor!CG9,Centerpoint!CG9,'AEP Central'!CG9,TNMP!CG9,'AEP North'!CG9)</f>
        <v>2445811</v>
      </c>
      <c r="CH9" s="92">
        <f>SUM(Oncor!CH9,Centerpoint!CH9,'AEP Central'!CH9,TNMP!CH9,'AEP North'!CH9)</f>
        <v>2477586</v>
      </c>
      <c r="CI9" s="91">
        <f>SUM(Oncor!CI9,Centerpoint!CI9,'AEP Central'!CI9,TNMP!CI9,'AEP North'!CI9)</f>
        <v>2481114</v>
      </c>
      <c r="CJ9" s="92">
        <f>SUM(Oncor!CJ9,Centerpoint!CJ9,'AEP Central'!CJ9,TNMP!CJ9,'AEP North'!CJ9)</f>
        <v>2496898</v>
      </c>
      <c r="CK9" s="92">
        <f>SUM(Oncor!CK9,Centerpoint!CK9,'AEP Central'!CK9,TNMP!CK9,'AEP North'!CK9)</f>
        <v>2518828</v>
      </c>
      <c r="CL9" s="92">
        <f>SUM(Oncor!CL9,Centerpoint!CL9,'AEP Central'!CL9,TNMP!CL9,'AEP North'!CL9)</f>
        <v>2541108</v>
      </c>
      <c r="CM9" s="92">
        <f>SUM(Oncor!CM9,Centerpoint!CM9,'AEP Central'!CM9,TNMP!CM9,'AEP North'!CM9)</f>
        <v>2564262</v>
      </c>
      <c r="CN9" s="92">
        <f>SUM(Oncor!CN9,Centerpoint!CN9,'AEP Central'!CN9,TNMP!CN9,'AEP North'!CN9)</f>
        <v>2591496</v>
      </c>
      <c r="CO9" s="92">
        <f>SUM(Oncor!CO9,Centerpoint!CO9,'AEP Central'!CO9,TNMP!CO9,'AEP North'!CO9)</f>
        <v>2616963</v>
      </c>
      <c r="CP9" s="92">
        <f>SUM(Oncor!CP9,Centerpoint!CP9,'AEP Central'!CP9,TNMP!CP9,'AEP North'!CP9)</f>
        <v>2649111</v>
      </c>
      <c r="CQ9" s="92">
        <f>SUM(Oncor!CQ9,Centerpoint!CQ9,'AEP Central'!CQ9,TNMP!CQ9,'AEP North'!CQ9)</f>
        <v>2688832</v>
      </c>
      <c r="CR9" s="92">
        <f>SUM(Oncor!CR9,Centerpoint!CR9,'AEP Central'!CR9,TNMP!CR9,'AEP North'!CR9)</f>
        <v>2712042</v>
      </c>
      <c r="CS9" s="92">
        <f>SUM(Oncor!CS9,Centerpoint!CS9,'AEP Central'!CS9,TNMP!CS9,'AEP North'!CS9)</f>
        <v>2729892</v>
      </c>
      <c r="CT9" s="93">
        <f>SUM(Oncor!CT9,Centerpoint!CT9,'AEP Central'!CT9,TNMP!CT9,'AEP North'!CT9)</f>
        <v>2750339</v>
      </c>
      <c r="CU9" s="92">
        <f>SUM(Oncor!CU9,Centerpoint!CU9,'AEP Central'!CU9,TNMP!CU9,'AEP North'!CU9)</f>
        <v>2726906</v>
      </c>
      <c r="CV9" s="92">
        <f>SUM(Oncor!CV9,Centerpoint!CV9,'AEP Central'!CV9,TNMP!CV9,'AEP North'!CV9)</f>
        <v>2792750</v>
      </c>
      <c r="CW9" s="92">
        <f>SUM(Oncor!CW9,Centerpoint!CW9,'AEP Central'!CW9,TNMP!CW9,'AEP North'!CW9)</f>
        <v>2816267</v>
      </c>
      <c r="CX9" s="92">
        <f>SUM(Oncor!CX9,Centerpoint!CX9,'AEP Central'!CX9,TNMP!CX9,'AEP North'!CX9)</f>
        <v>2838141</v>
      </c>
      <c r="CY9" s="92">
        <f>SUM(Oncor!CY9,Centerpoint!CY9,'AEP Central'!CY9,TNMP!CY9,'AEP North'!CY9)</f>
        <v>2859192</v>
      </c>
      <c r="CZ9" s="92">
        <f>SUM(Oncor!CZ9,Centerpoint!CZ9,'AEP Central'!CZ9,TNMP!CZ9,'AEP North'!CZ9)</f>
        <v>2887208</v>
      </c>
      <c r="DA9" s="92">
        <f>SUM(Oncor!DA9,Centerpoint!DA9,'AEP Central'!DA9,TNMP!DA9,'AEP North'!DA9)</f>
        <v>2913350</v>
      </c>
      <c r="DB9" s="92">
        <f>SUM(Oncor!DB9,Centerpoint!DB9,'AEP Central'!DB9,TNMP!DB9,'AEP North'!DB9)</f>
        <v>2918065</v>
      </c>
      <c r="DC9" s="92">
        <f>SUM(Oncor!DC9,Centerpoint!DC9,'AEP Central'!DC9,TNMP!DC9,'AEP North'!DC9)</f>
        <v>2966697</v>
      </c>
      <c r="DD9" s="92">
        <f>SUM(Oncor!DD9,Centerpoint!DD9,'AEP Central'!DD9,TNMP!DD9,'AEP North'!DD9)</f>
        <v>2960675</v>
      </c>
      <c r="DE9" s="92">
        <f>SUM(Oncor!DE9,Centerpoint!DE9,'AEP Central'!DE9,TNMP!DE9,'AEP North'!DE9)</f>
        <v>2978915</v>
      </c>
      <c r="DF9" s="93">
        <f>SUM(Oncor!DF9,Centerpoint!DF9,'AEP Central'!DF9,TNMP!DF9,'AEP North'!DF9)</f>
        <v>3012122</v>
      </c>
      <c r="DG9" s="92">
        <f>SUM(Oncor!DG9,Centerpoint!DG9,'AEP Central'!DG9,TNMP!DG9,'AEP North'!DG9)</f>
        <v>2992630</v>
      </c>
      <c r="DH9" s="92">
        <f>SUM(Oncor!DH9,Centerpoint!DH9,'AEP Central'!DH9,TNMP!DH9,'AEP North'!DH9)</f>
        <v>3060055</v>
      </c>
      <c r="DI9" s="92">
        <f>SUM(Oncor!DI9,Centerpoint!DI9,'AEP Central'!DI9,TNMP!DI9,'AEP North'!DI9)</f>
        <v>3087803</v>
      </c>
      <c r="DJ9" s="92">
        <f>SUM(Oncor!DJ9,Centerpoint!DJ9,'AEP Central'!DJ9,TNMP!DJ9,'AEP North'!DJ9)</f>
        <v>3088778</v>
      </c>
      <c r="DK9" s="92">
        <f>SUM(Oncor!DK9,Centerpoint!DK9,'AEP Central'!DK9,TNMP!DK9,'AEP North'!DK9)</f>
        <v>3079679</v>
      </c>
      <c r="DL9" s="92">
        <f>SUM(Oncor!DL9,Centerpoint!DL9,'AEP Central'!DL9,TNMP!DL9,'AEP North'!DL9)</f>
        <v>3152232</v>
      </c>
      <c r="DM9" s="92">
        <f>SUM(Oncor!DM9,Centerpoint!DM9,'AEP Central'!DM9,TNMP!DM9,'AEP North'!DM9)</f>
        <v>3154677</v>
      </c>
      <c r="DN9" s="92">
        <f>SUM(Oncor!DN9,Centerpoint!DN9,'AEP Central'!DN9,TNMP!DN9,'AEP North'!DN9)</f>
        <v>3204102</v>
      </c>
      <c r="DO9" s="92">
        <f>SUM(Oncor!DO9,Centerpoint!DO9,'AEP Central'!DO9,TNMP!DO9,'AEP North'!DO9)</f>
        <v>3182426</v>
      </c>
      <c r="DP9" s="92">
        <f>SUM(Oncor!DP9,Centerpoint!DP9,'AEP Central'!DP9,TNMP!DP9,'AEP North'!DP9)</f>
        <v>3187705</v>
      </c>
      <c r="DQ9" s="92">
        <f>SUM(Oncor!DQ9,Centerpoint!DQ9,'AEP Central'!DQ9,TNMP!DQ9,'AEP North'!DQ9)</f>
        <v>3224408</v>
      </c>
      <c r="DR9" s="92">
        <f>SUM(Oncor!DR9,Centerpoint!DR9,'AEP Central'!DR9,TNMP!DR9,'AEP North'!DR9)</f>
        <v>3182845</v>
      </c>
      <c r="DS9" s="92">
        <f>SUM(Oncor!DS9,Centerpoint!DS9,'AEP Central'!DS9,TNMP!DS9,'AEP North'!DS9)</f>
        <v>3221107</v>
      </c>
      <c r="DT9" s="92">
        <f>SUM(Oncor!DT9,Centerpoint!DT9,'AEP Central'!DT9,TNMP!DT9,'AEP North'!DT9)</f>
        <v>3264340</v>
      </c>
      <c r="DU9" s="92">
        <f>SUM(Oncor!DU9,Centerpoint!DU9,'AEP Central'!DU9,TNMP!DU9,'AEP North'!DU9)</f>
        <v>3314994</v>
      </c>
      <c r="DV9" s="92">
        <f>SUM(Oncor!DV9,Centerpoint!DV9,'AEP Central'!DV9,TNMP!DV9,'AEP North'!DV9)</f>
        <v>3335142</v>
      </c>
      <c r="DW9" s="92">
        <f>SUM(Oncor!DW9,Centerpoint!DW9,'AEP Central'!DW9,TNMP!DW9,'AEP North'!DW9)</f>
        <v>3357189</v>
      </c>
      <c r="DX9" s="92">
        <f>SUM(Oncor!DX9,Centerpoint!DX9,'AEP Central'!DX9,TNMP!DX9,'AEP North'!DX9)</f>
        <v>3369116</v>
      </c>
      <c r="DY9" s="92">
        <f>SUM(Oncor!DY9,Centerpoint!DY9,'AEP Central'!DY9,TNMP!DY9,'AEP North'!DY9)</f>
        <v>3402648</v>
      </c>
      <c r="DZ9" s="92">
        <f>SUM(Oncor!DZ9,Centerpoint!DZ9,'AEP Central'!DZ9,TNMP!DZ9,'AEP North'!DZ9)</f>
        <v>3422771</v>
      </c>
      <c r="EA9" s="92">
        <f>SUM(Oncor!EA9,Centerpoint!EA9,'AEP Central'!EA9,TNMP!EA9,'AEP North'!EA9)</f>
        <v>3429540</v>
      </c>
      <c r="EB9" s="92">
        <f>SUM(Oncor!EB9,Centerpoint!EB9,'AEP Central'!EB9,TNMP!EB9,'AEP North'!EB9)</f>
        <v>3437238</v>
      </c>
      <c r="EC9" s="92">
        <f>SUM(Oncor!EC9,Centerpoint!EC9,'AEP Central'!EC9,TNMP!EC9,'AEP North'!EC9)</f>
        <v>3451508</v>
      </c>
      <c r="ED9" s="92">
        <f>SUM(Oncor!ED9,Centerpoint!ED9,'AEP Central'!ED9,TNMP!ED9,'AEP North'!ED9)</f>
        <v>3460519</v>
      </c>
      <c r="EE9" s="92">
        <f>SUM(Oncor!EE9,Centerpoint!EE9,'AEP Central'!EE9,TNMP!EE9,'AEP North'!EE9)</f>
        <v>3480816</v>
      </c>
      <c r="EF9" s="92">
        <f>SUM(Oncor!EF9,Centerpoint!EF9,'AEP Central'!EF9,TNMP!EF9,'AEP North'!EF9)</f>
        <v>3492072</v>
      </c>
      <c r="EG9" s="92">
        <f>SUM(Oncor!EG9,Centerpoint!EG9,'AEP Central'!EG9,TNMP!EG9,'AEP North'!EG9)</f>
        <v>3511519</v>
      </c>
      <c r="EH9" s="92">
        <f>SUM(Oncor!EH9,Centerpoint!EH9,'AEP Central'!EH9,TNMP!EH9,'AEP North'!EH9)</f>
        <v>3535059</v>
      </c>
      <c r="EI9" s="92">
        <f>SUM(Oncor!EI9,Centerpoint!EI9,'AEP Central'!EI9,TNMP!EI9,'AEP North'!EI9)</f>
        <v>3548528</v>
      </c>
      <c r="EJ9" s="92">
        <f>SUM(Oncor!EJ9,Centerpoint!EJ9,'AEP Central'!EJ9,TNMP!EJ9,'AEP North'!EJ9)</f>
        <v>3568225</v>
      </c>
      <c r="EK9" s="92">
        <f>SUM(Oncor!EK9,Centerpoint!EK9,'AEP Central'!EK9,TNMP!EK9,'AEP North'!EK9)</f>
        <v>3592284</v>
      </c>
      <c r="EL9" s="92">
        <f>SUM(Oncor!EL9,Centerpoint!EL9,'AEP Central'!EL9,TNMP!EL9,'AEP North'!EL9)</f>
        <v>3607429</v>
      </c>
      <c r="EM9" s="92">
        <f>SUM(Oncor!EM9,Centerpoint!EM9,'AEP Central'!EM9,TNMP!EM9,'AEP North'!EM9)</f>
        <v>3613751</v>
      </c>
      <c r="EN9" s="92">
        <f>SUM(Oncor!EN9,Centerpoint!EN9,'AEP Central'!EN9,TNMP!EN9,'AEP North'!EN9)</f>
        <v>3619699</v>
      </c>
      <c r="EO9" s="92">
        <f>SUM(Oncor!EO9,Centerpoint!EO9,'AEP Central'!EO9,TNMP!EO9,'AEP North'!EO9)</f>
        <v>3631210</v>
      </c>
      <c r="EP9" s="92">
        <f>SUM(Oncor!EP9,Centerpoint!EP9,'AEP Central'!EP9,TNMP!EP9,'AEP North'!EP9)</f>
        <v>3630016</v>
      </c>
      <c r="EQ9" s="92">
        <f>SUM(Oncor!EQ9,Centerpoint!EQ9,'AEP Central'!EQ9,TNMP!EQ9,'AEP North'!EQ9)</f>
        <v>3616342</v>
      </c>
      <c r="ER9" s="92">
        <f>SUM(Oncor!ER9,Centerpoint!ER9,'AEP Central'!ER9,TNMP!ER9,'AEP North'!ER9)</f>
        <v>3637120</v>
      </c>
      <c r="ES9" s="92">
        <f>SUM(Oncor!ES9,Centerpoint!ES9,'AEP Central'!ES9,TNMP!ES9,'AEP North'!ES9)</f>
        <v>3648413</v>
      </c>
      <c r="ET9" s="92">
        <f>SUM(Oncor!ET9,Centerpoint!ET9,'AEP Central'!ET9,TNMP!ET9,'AEP North'!ET9)</f>
        <v>3700914</v>
      </c>
      <c r="EU9" s="92">
        <f>SUM(Oncor!EU9,Centerpoint!EU9,'AEP Central'!EU9,TNMP!EU9,'AEP North'!EU9)</f>
        <v>3713885</v>
      </c>
      <c r="EV9" s="92">
        <f>SUM(Oncor!EV9,Centerpoint!EV9,'AEP Central'!EV9,TNMP!EV9,'AEP North'!EV9)</f>
        <v>3734426</v>
      </c>
      <c r="EW9" s="92">
        <f>SUM(Oncor!EW9,Centerpoint!EW9,'AEP Central'!EW9,TNMP!EW9,'AEP North'!EW9)</f>
        <v>3758524</v>
      </c>
      <c r="EX9" s="92">
        <f>SUM(Oncor!EX9,Centerpoint!EX9,'AEP Central'!EX9,TNMP!EX9,'AEP North'!EX9)</f>
        <v>3770842</v>
      </c>
      <c r="EY9" s="92">
        <f>SUM(Oncor!EY9,Centerpoint!EY9,'AEP Central'!EY9,TNMP!EY9,'AEP North'!EY9)</f>
        <v>3774228</v>
      </c>
      <c r="EZ9" s="92">
        <f>SUM(Oncor!EZ9,Centerpoint!EZ9,'AEP Central'!EZ9,TNMP!EZ9,'AEP North'!EZ9)</f>
        <v>3795761</v>
      </c>
      <c r="FA9" s="92">
        <f>SUM(Oncor!FA9,Centerpoint!FA9,'AEP Central'!FA9,TNMP!FA9,'AEP North'!FA9)</f>
        <v>3804244</v>
      </c>
      <c r="FB9" s="92">
        <f>SUM(Oncor!FB9,Centerpoint!FB9,'AEP Central'!FB9,TNMP!FB9,'AEP North'!FB9)</f>
        <v>3814534</v>
      </c>
      <c r="FC9" s="92">
        <f>SUM(Oncor!FC9,Centerpoint!FC9,'AEP Central'!FC9,TNMP!FC9,'AEP North'!FC9)</f>
        <v>3827278</v>
      </c>
      <c r="FD9" s="92">
        <f>SUM(Oncor!FD9,Centerpoint!FD9,'AEP Central'!FD9,TNMP!FD9,'AEP North'!FD9)</f>
        <v>3844003</v>
      </c>
      <c r="FE9" s="92">
        <f>SUM(Oncor!FE9,Centerpoint!FE9,'AEP Central'!FE9,TNMP!FE9,'AEP North'!FE9)</f>
        <v>3859674</v>
      </c>
      <c r="FF9" s="92">
        <f>SUM(Oncor!FF9,Centerpoint!FF9,'AEP Central'!FF9,TNMP!FF9,'AEP North'!FF9)</f>
        <v>3880833</v>
      </c>
      <c r="FG9" s="92">
        <f>SUM(Oncor!FG9,Centerpoint!FG9,'AEP Central'!FG9,TNMP!FG9,'AEP North'!FG9)</f>
        <v>3896030</v>
      </c>
      <c r="FH9" s="92">
        <f>SUM(Oncor!FH9,Centerpoint!FH9,'AEP Central'!FH9,TNMP!FH9,'AEP North'!FH9)</f>
        <v>3916106</v>
      </c>
      <c r="FI9" s="92">
        <f>SUM(Oncor!FI9,Centerpoint!FI9,'AEP Central'!FI9,TNMP!FI9,'AEP North'!FI9)</f>
        <v>3938566</v>
      </c>
      <c r="FJ9" s="92">
        <f>SUM(Oncor!FJ9,Centerpoint!FJ9,'AEP Central'!FJ9,TNMP!FJ9,'AEP North'!FJ9)</f>
        <v>3953069</v>
      </c>
      <c r="FK9" s="92">
        <f>SUM(Oncor!FK9,Centerpoint!FK9,'AEP Central'!FK9,TNMP!FK9,'AEP North'!FK9)</f>
        <v>3958788</v>
      </c>
      <c r="FL9" s="92">
        <f>SUM(Oncor!FL9,Centerpoint!FL9,'AEP Central'!FL9,TNMP!FL9,'AEP North'!FL9)</f>
        <v>3974102</v>
      </c>
      <c r="FM9" s="92">
        <f>SUM(Oncor!FM9,Centerpoint!FM9,'AEP Central'!FM9,TNMP!FM9,'AEP North'!FM9)</f>
        <v>3981950</v>
      </c>
      <c r="FN9" s="92">
        <f>SUM(Oncor!FN9,Centerpoint!FN9,'AEP Central'!FN9,TNMP!FN9,'AEP North'!FN9)</f>
        <v>3988476</v>
      </c>
      <c r="FO9" s="92">
        <f>SUM(Oncor!FO9,Centerpoint!FO9,'AEP Central'!FO9,TNMP!FO9,'AEP North'!FO9)</f>
        <v>4005554</v>
      </c>
      <c r="FP9" s="92">
        <f>SUM(Oncor!FP9,Centerpoint!FP9,'AEP Central'!FP9,TNMP!FP9,'AEP North'!FP9)</f>
        <v>4021716</v>
      </c>
      <c r="FQ9" s="92">
        <f>SUM(Oncor!FQ9,Centerpoint!FQ9,'AEP Central'!FQ9,TNMP!FQ9,'AEP North'!FQ9)</f>
        <v>4038507</v>
      </c>
      <c r="FR9" s="92">
        <f>SUM(Oncor!FR9,Centerpoint!FR9,'AEP Central'!FR9,TNMP!FR9,'AEP North'!FR9)</f>
        <v>4059177</v>
      </c>
      <c r="FS9" s="92">
        <f>SUM(Oncor!FS9,Centerpoint!FS9,'AEP Central'!FS9,TNMP!FS9,'AEP North'!FS9)</f>
        <v>4076565</v>
      </c>
      <c r="FT9" s="92">
        <f>SUM(Oncor!FT9,Centerpoint!FT9,'AEP Central'!FT9,TNMP!FT9,'AEP North'!FT9)</f>
        <v>4088466</v>
      </c>
    </row>
    <row r="10" spans="2:182" s="1" customFormat="1" ht="13.8" thickTop="1" x14ac:dyDescent="0.25">
      <c r="B10" s="3" t="s">
        <v>9</v>
      </c>
      <c r="C10" s="77">
        <f>SUM(C8:C9)</f>
        <v>4036656</v>
      </c>
      <c r="D10" s="8">
        <f t="shared" ref="D10:K10" si="0">SUM(D8:D9)</f>
        <v>4068757</v>
      </c>
      <c r="E10" s="8">
        <f t="shared" si="0"/>
        <v>4750182</v>
      </c>
      <c r="F10" s="8">
        <f t="shared" si="0"/>
        <v>4762541</v>
      </c>
      <c r="G10" s="8">
        <f t="shared" si="0"/>
        <v>4759325</v>
      </c>
      <c r="H10" s="8">
        <f t="shared" si="0"/>
        <v>4818726</v>
      </c>
      <c r="I10" s="8">
        <f t="shared" si="0"/>
        <v>4791776</v>
      </c>
      <c r="J10" s="8">
        <f t="shared" si="0"/>
        <v>4869073</v>
      </c>
      <c r="K10" s="8">
        <f t="shared" si="0"/>
        <v>4872408</v>
      </c>
      <c r="L10" s="8">
        <f t="shared" ref="L10:Q10" si="1">SUM(L8:L9)</f>
        <v>4891262</v>
      </c>
      <c r="M10" s="8">
        <f t="shared" si="1"/>
        <v>4894276</v>
      </c>
      <c r="N10" s="8">
        <f t="shared" si="1"/>
        <v>4907810</v>
      </c>
      <c r="O10" s="135">
        <f t="shared" si="1"/>
        <v>4946611</v>
      </c>
      <c r="P10" s="8">
        <f t="shared" si="1"/>
        <v>4890372</v>
      </c>
      <c r="Q10" s="8">
        <f t="shared" si="1"/>
        <v>4976561</v>
      </c>
      <c r="R10" s="8">
        <f t="shared" ref="R10:W10" si="2">SUM(R8:R9)</f>
        <v>4930117</v>
      </c>
      <c r="S10" s="8">
        <f t="shared" si="2"/>
        <v>4940641</v>
      </c>
      <c r="T10" s="8">
        <f t="shared" si="2"/>
        <v>4942291</v>
      </c>
      <c r="U10" s="8">
        <f t="shared" si="2"/>
        <v>4989302</v>
      </c>
      <c r="V10" s="8">
        <f t="shared" si="2"/>
        <v>4967696</v>
      </c>
      <c r="W10" s="8">
        <f t="shared" si="2"/>
        <v>4977359</v>
      </c>
      <c r="X10" s="8">
        <f t="shared" ref="X10:AC10" si="3">SUM(X8:X9)</f>
        <v>5038998</v>
      </c>
      <c r="Y10" s="8">
        <f t="shared" si="3"/>
        <v>4849717</v>
      </c>
      <c r="Z10" s="149">
        <f t="shared" si="3"/>
        <v>4985336</v>
      </c>
      <c r="AA10" s="135">
        <f t="shared" si="3"/>
        <v>5020209</v>
      </c>
      <c r="AB10" s="8">
        <f t="shared" si="3"/>
        <v>4993941</v>
      </c>
      <c r="AC10" s="8">
        <f t="shared" si="3"/>
        <v>5107336</v>
      </c>
      <c r="AD10" s="8">
        <f t="shared" ref="AD10:AI10" si="4">SUM(AD8:AD9)</f>
        <v>5037448</v>
      </c>
      <c r="AE10" s="8">
        <f t="shared" si="4"/>
        <v>5003982</v>
      </c>
      <c r="AF10" s="8">
        <f t="shared" si="4"/>
        <v>5076971</v>
      </c>
      <c r="AG10" s="8">
        <f t="shared" si="4"/>
        <v>5060258</v>
      </c>
      <c r="AH10" s="8">
        <f t="shared" si="4"/>
        <v>5110840</v>
      </c>
      <c r="AI10" s="8">
        <f t="shared" si="4"/>
        <v>5065702</v>
      </c>
      <c r="AJ10" s="8">
        <f t="shared" ref="AJ10:AO10" si="5">SUM(AJ8:AJ9)</f>
        <v>5072426</v>
      </c>
      <c r="AK10" s="8">
        <f t="shared" si="5"/>
        <v>5049529</v>
      </c>
      <c r="AL10" s="149">
        <f t="shared" si="5"/>
        <v>5041645</v>
      </c>
      <c r="AM10" s="8">
        <f t="shared" si="5"/>
        <v>5109210</v>
      </c>
      <c r="AN10" s="8">
        <f t="shared" si="5"/>
        <v>5046596</v>
      </c>
      <c r="AO10" s="8">
        <f t="shared" si="5"/>
        <v>5122869</v>
      </c>
      <c r="AP10" s="8">
        <f t="shared" ref="AP10:AX10" si="6">SUM(AP8:AP9)</f>
        <v>5096162</v>
      </c>
      <c r="AQ10" s="8">
        <f t="shared" si="6"/>
        <v>5115803</v>
      </c>
      <c r="AR10" s="8">
        <f t="shared" si="6"/>
        <v>5148792</v>
      </c>
      <c r="AS10" s="8">
        <f t="shared" si="6"/>
        <v>5139270</v>
      </c>
      <c r="AT10" s="8">
        <f t="shared" si="6"/>
        <v>5248983</v>
      </c>
      <c r="AU10" s="8">
        <f t="shared" si="6"/>
        <v>5193855</v>
      </c>
      <c r="AV10" s="8">
        <f t="shared" si="6"/>
        <v>5188991</v>
      </c>
      <c r="AW10" s="8">
        <f t="shared" si="6"/>
        <v>5154556</v>
      </c>
      <c r="AX10" s="9">
        <f t="shared" si="6"/>
        <v>5169516</v>
      </c>
      <c r="AY10" s="8">
        <f t="shared" ref="AY10:BJ10" si="7">SUM(AY8:AY9)</f>
        <v>5218575</v>
      </c>
      <c r="AZ10" s="8">
        <f t="shared" si="7"/>
        <v>5190297</v>
      </c>
      <c r="BA10" s="8">
        <f t="shared" si="7"/>
        <v>5310040</v>
      </c>
      <c r="BB10" s="8">
        <f t="shared" si="7"/>
        <v>5203672</v>
      </c>
      <c r="BC10" s="8">
        <f t="shared" si="7"/>
        <v>5292810</v>
      </c>
      <c r="BD10" s="8">
        <f t="shared" si="7"/>
        <v>5304455</v>
      </c>
      <c r="BE10" s="8">
        <f t="shared" si="7"/>
        <v>5239997</v>
      </c>
      <c r="BF10" s="8">
        <f t="shared" si="7"/>
        <v>5360009</v>
      </c>
      <c r="BG10" s="8">
        <f t="shared" si="7"/>
        <v>5257802</v>
      </c>
      <c r="BH10" s="8">
        <f t="shared" si="7"/>
        <v>5330404</v>
      </c>
      <c r="BI10" s="8">
        <f t="shared" si="7"/>
        <v>5255776</v>
      </c>
      <c r="BJ10" s="9">
        <f t="shared" si="7"/>
        <v>5219242</v>
      </c>
      <c r="BK10" s="8">
        <f t="shared" ref="BK10:BP10" si="8">SUM(BK8:BK9)</f>
        <v>5305501</v>
      </c>
      <c r="BL10" s="8">
        <f t="shared" si="8"/>
        <v>5275995</v>
      </c>
      <c r="BM10" s="8">
        <f t="shared" si="8"/>
        <v>5360179</v>
      </c>
      <c r="BN10" s="8">
        <f t="shared" si="8"/>
        <v>5299358</v>
      </c>
      <c r="BO10" s="8">
        <f t="shared" si="8"/>
        <v>5381832</v>
      </c>
      <c r="BP10" s="8">
        <f t="shared" si="8"/>
        <v>5361323</v>
      </c>
      <c r="BQ10" s="8">
        <f t="shared" ref="BQ10:CB10" si="9">SUM(BQ8:BQ9)</f>
        <v>5372082</v>
      </c>
      <c r="BR10" s="8">
        <f t="shared" si="9"/>
        <v>5461658</v>
      </c>
      <c r="BS10" s="8">
        <f t="shared" si="9"/>
        <v>5314448</v>
      </c>
      <c r="BT10" s="8">
        <f t="shared" si="9"/>
        <v>5406683</v>
      </c>
      <c r="BU10" s="8">
        <f t="shared" si="9"/>
        <v>5410866</v>
      </c>
      <c r="BV10" s="9">
        <f t="shared" si="9"/>
        <v>5418864</v>
      </c>
      <c r="BW10" s="8">
        <f t="shared" si="9"/>
        <v>5424111</v>
      </c>
      <c r="BX10" s="8">
        <f t="shared" si="9"/>
        <v>5432376</v>
      </c>
      <c r="BY10" s="8">
        <f t="shared" si="9"/>
        <v>5443352</v>
      </c>
      <c r="BZ10" s="8">
        <f t="shared" si="9"/>
        <v>5452578</v>
      </c>
      <c r="CA10" s="8">
        <f t="shared" si="9"/>
        <v>5497979</v>
      </c>
      <c r="CB10" s="8">
        <f t="shared" si="9"/>
        <v>5484013</v>
      </c>
      <c r="CC10" s="94">
        <f>SUM(CC8:CC9)</f>
        <v>5487980</v>
      </c>
      <c r="CD10" s="94">
        <f>SUM(CD8:CD9)</f>
        <v>5496238</v>
      </c>
      <c r="CE10" s="94">
        <f>SUM(CE8:CE9)</f>
        <v>5490979</v>
      </c>
      <c r="CF10" s="94">
        <f t="shared" ref="CF10:CQ10" si="10">SUM(CF8:CF9)</f>
        <v>5465376</v>
      </c>
      <c r="CG10" s="94">
        <f t="shared" si="10"/>
        <v>5442440</v>
      </c>
      <c r="CH10" s="94">
        <f t="shared" si="10"/>
        <v>5488687</v>
      </c>
      <c r="CI10" s="87">
        <f t="shared" si="10"/>
        <v>5487191</v>
      </c>
      <c r="CJ10" s="94">
        <f t="shared" si="10"/>
        <v>5492362</v>
      </c>
      <c r="CK10" s="94">
        <f t="shared" si="10"/>
        <v>5507910</v>
      </c>
      <c r="CL10" s="94">
        <f t="shared" si="10"/>
        <v>5516274</v>
      </c>
      <c r="CM10" s="94">
        <f t="shared" si="10"/>
        <v>5523476</v>
      </c>
      <c r="CN10" s="94">
        <f t="shared" si="10"/>
        <v>5534243</v>
      </c>
      <c r="CO10" s="94">
        <f t="shared" si="10"/>
        <v>5540648</v>
      </c>
      <c r="CP10" s="94">
        <f t="shared" si="10"/>
        <v>5549899</v>
      </c>
      <c r="CQ10" s="94">
        <f t="shared" si="10"/>
        <v>5563221</v>
      </c>
      <c r="CR10" s="94">
        <f t="shared" ref="CR10:DH10" si="11">SUM(CR8:CR9)</f>
        <v>5555754</v>
      </c>
      <c r="CS10" s="94">
        <f t="shared" si="11"/>
        <v>5552544</v>
      </c>
      <c r="CT10" s="96">
        <f t="shared" si="11"/>
        <v>5554232</v>
      </c>
      <c r="CU10" s="94">
        <f t="shared" si="11"/>
        <v>5493152</v>
      </c>
      <c r="CV10" s="94">
        <f t="shared" si="11"/>
        <v>5566555</v>
      </c>
      <c r="CW10" s="94">
        <f t="shared" si="11"/>
        <v>5574540</v>
      </c>
      <c r="CX10" s="94">
        <f t="shared" si="11"/>
        <v>5582072</v>
      </c>
      <c r="CY10" s="94">
        <f t="shared" si="11"/>
        <v>5587962</v>
      </c>
      <c r="CZ10" s="94">
        <f t="shared" si="11"/>
        <v>5600259</v>
      </c>
      <c r="DA10" s="94">
        <f t="shared" si="11"/>
        <v>5605109</v>
      </c>
      <c r="DB10" s="94">
        <f t="shared" si="11"/>
        <v>5573517</v>
      </c>
      <c r="DC10" s="94">
        <f t="shared" si="11"/>
        <v>5612880</v>
      </c>
      <c r="DD10" s="94">
        <f t="shared" si="11"/>
        <v>5574545</v>
      </c>
      <c r="DE10" s="94">
        <f t="shared" si="11"/>
        <v>5575502</v>
      </c>
      <c r="DF10" s="96">
        <f t="shared" si="11"/>
        <v>5601368</v>
      </c>
      <c r="DG10" s="94">
        <f t="shared" si="11"/>
        <v>5547519</v>
      </c>
      <c r="DH10" s="94">
        <f t="shared" si="11"/>
        <v>5625956</v>
      </c>
      <c r="DI10" s="94">
        <f t="shared" ref="DI10:FH10" si="12">SUM(DI8:DI9)</f>
        <v>5641001</v>
      </c>
      <c r="DJ10" s="94">
        <f t="shared" si="12"/>
        <v>5615711</v>
      </c>
      <c r="DK10" s="94">
        <f t="shared" si="12"/>
        <v>5580100</v>
      </c>
      <c r="DL10" s="94">
        <f t="shared" si="12"/>
        <v>5666394</v>
      </c>
      <c r="DM10" s="94">
        <f t="shared" si="12"/>
        <v>5643810</v>
      </c>
      <c r="DN10" s="94">
        <f t="shared" si="12"/>
        <v>5688352</v>
      </c>
      <c r="DO10" s="94">
        <f t="shared" si="12"/>
        <v>5637106</v>
      </c>
      <c r="DP10" s="94">
        <f t="shared" si="12"/>
        <v>5624407</v>
      </c>
      <c r="DQ10" s="94">
        <f t="shared" si="12"/>
        <v>5657153</v>
      </c>
      <c r="DR10" s="94">
        <f t="shared" si="12"/>
        <v>5581758</v>
      </c>
      <c r="DS10" s="94">
        <f t="shared" si="12"/>
        <v>5619861</v>
      </c>
      <c r="DT10" s="94">
        <f t="shared" si="12"/>
        <v>5665101</v>
      </c>
      <c r="DU10" s="94">
        <f t="shared" si="12"/>
        <v>5716443</v>
      </c>
      <c r="DV10" s="94">
        <f t="shared" si="12"/>
        <v>5722203</v>
      </c>
      <c r="DW10" s="94">
        <f t="shared" si="12"/>
        <v>5734926</v>
      </c>
      <c r="DX10" s="94">
        <f t="shared" si="12"/>
        <v>5733656</v>
      </c>
      <c r="DY10" s="94">
        <f t="shared" si="12"/>
        <v>5758175</v>
      </c>
      <c r="DZ10" s="94">
        <f t="shared" si="12"/>
        <v>5768894</v>
      </c>
      <c r="EA10" s="94">
        <f t="shared" si="12"/>
        <v>5767716</v>
      </c>
      <c r="EB10" s="94">
        <f t="shared" si="12"/>
        <v>5765346</v>
      </c>
      <c r="EC10" s="94">
        <f t="shared" si="12"/>
        <v>5769363</v>
      </c>
      <c r="ED10" s="94">
        <f t="shared" si="12"/>
        <v>5770465</v>
      </c>
      <c r="EE10" s="94">
        <f t="shared" si="12"/>
        <v>5781883</v>
      </c>
      <c r="EF10" s="94">
        <f t="shared" si="12"/>
        <v>5783724</v>
      </c>
      <c r="EG10" s="94">
        <f t="shared" si="12"/>
        <v>5792450</v>
      </c>
      <c r="EH10" s="94">
        <f t="shared" si="12"/>
        <v>5806778</v>
      </c>
      <c r="EI10" s="94">
        <f t="shared" si="12"/>
        <v>5812976</v>
      </c>
      <c r="EJ10" s="94">
        <f t="shared" si="12"/>
        <v>5825495</v>
      </c>
      <c r="EK10" s="94">
        <f t="shared" si="12"/>
        <v>5843503</v>
      </c>
      <c r="EL10" s="94">
        <f t="shared" si="12"/>
        <v>5853120</v>
      </c>
      <c r="EM10" s="94">
        <f t="shared" si="12"/>
        <v>5852949</v>
      </c>
      <c r="EN10" s="94">
        <f t="shared" si="12"/>
        <v>5852072</v>
      </c>
      <c r="EO10" s="94">
        <f t="shared" si="12"/>
        <v>5856155</v>
      </c>
      <c r="EP10" s="94">
        <f t="shared" si="12"/>
        <v>5850262</v>
      </c>
      <c r="EQ10" s="94">
        <f t="shared" si="12"/>
        <v>5825195</v>
      </c>
      <c r="ER10" s="94">
        <f t="shared" si="12"/>
        <v>5839932</v>
      </c>
      <c r="ES10" s="94">
        <f t="shared" si="12"/>
        <v>5842610</v>
      </c>
      <c r="ET10" s="94">
        <f t="shared" si="12"/>
        <v>5899715</v>
      </c>
      <c r="EU10" s="94">
        <f t="shared" si="12"/>
        <v>5907390</v>
      </c>
      <c r="EV10" s="94">
        <f t="shared" si="12"/>
        <v>5922777</v>
      </c>
      <c r="EW10" s="94">
        <f t="shared" si="12"/>
        <v>5939960</v>
      </c>
      <c r="EX10" s="94">
        <f t="shared" si="12"/>
        <v>5942969</v>
      </c>
      <c r="EY10" s="94">
        <f t="shared" si="12"/>
        <v>5937284</v>
      </c>
      <c r="EZ10" s="94">
        <f t="shared" si="12"/>
        <v>5954971</v>
      </c>
      <c r="FA10" s="94">
        <f t="shared" si="12"/>
        <v>5955262</v>
      </c>
      <c r="FB10" s="94">
        <f t="shared" si="12"/>
        <v>5958547</v>
      </c>
      <c r="FC10" s="94">
        <f t="shared" si="12"/>
        <v>5967901</v>
      </c>
      <c r="FD10" s="94">
        <f t="shared" si="12"/>
        <v>5979297</v>
      </c>
      <c r="FE10" s="94">
        <f t="shared" si="12"/>
        <v>5988525</v>
      </c>
      <c r="FF10" s="94">
        <f t="shared" si="12"/>
        <v>6002870</v>
      </c>
      <c r="FG10" s="94">
        <f t="shared" si="12"/>
        <v>6011099</v>
      </c>
      <c r="FH10" s="94">
        <f t="shared" si="12"/>
        <v>6026520</v>
      </c>
      <c r="FI10" s="94">
        <f t="shared" ref="FI10:FT10" si="13">SUM(FI8:FI9)</f>
        <v>6042569</v>
      </c>
      <c r="FJ10" s="94">
        <f t="shared" si="13"/>
        <v>6049996</v>
      </c>
      <c r="FK10" s="94">
        <f t="shared" si="13"/>
        <v>6045653</v>
      </c>
      <c r="FL10" s="94">
        <f t="shared" si="13"/>
        <v>6052694</v>
      </c>
      <c r="FM10" s="94">
        <f t="shared" si="13"/>
        <v>6053363</v>
      </c>
      <c r="FN10" s="94">
        <f t="shared" si="13"/>
        <v>6055642</v>
      </c>
      <c r="FO10" s="94">
        <f t="shared" si="13"/>
        <v>6070793</v>
      </c>
      <c r="FP10" s="94">
        <f t="shared" si="13"/>
        <v>6083037</v>
      </c>
      <c r="FQ10" s="94">
        <f t="shared" si="13"/>
        <v>6093774</v>
      </c>
      <c r="FR10" s="94">
        <f t="shared" si="13"/>
        <v>6108148</v>
      </c>
      <c r="FS10" s="94">
        <f t="shared" si="13"/>
        <v>6121692</v>
      </c>
      <c r="FT10" s="94">
        <f t="shared" si="13"/>
        <v>6130038</v>
      </c>
    </row>
    <row r="11" spans="2:182" x14ac:dyDescent="0.25">
      <c r="B11" s="3" t="s">
        <v>10</v>
      </c>
      <c r="C11" s="78">
        <f t="shared" ref="C11:Q11" si="14">SUM(C8)/C10</f>
        <v>0.98271787340808825</v>
      </c>
      <c r="D11" s="14">
        <f t="shared" si="14"/>
        <v>0.97679487863246683</v>
      </c>
      <c r="E11" s="14">
        <f t="shared" si="14"/>
        <v>0.97821262427418576</v>
      </c>
      <c r="F11" s="14">
        <f t="shared" si="14"/>
        <v>0.97686403119679177</v>
      </c>
      <c r="G11" s="14">
        <f t="shared" si="14"/>
        <v>0.97067042070041443</v>
      </c>
      <c r="H11" s="14">
        <f t="shared" si="14"/>
        <v>0.96287275931439142</v>
      </c>
      <c r="I11" s="14">
        <f t="shared" si="14"/>
        <v>0.96638782781165067</v>
      </c>
      <c r="J11" s="14">
        <f t="shared" si="14"/>
        <v>0.93847453098361844</v>
      </c>
      <c r="K11" s="14">
        <f t="shared" si="14"/>
        <v>0.93446833680594887</v>
      </c>
      <c r="L11" s="14">
        <f t="shared" si="14"/>
        <v>0.93157982541111062</v>
      </c>
      <c r="M11" s="14">
        <f t="shared" si="14"/>
        <v>0.9294261296257097</v>
      </c>
      <c r="N11" s="14">
        <f t="shared" si="14"/>
        <v>0.92647209244041639</v>
      </c>
      <c r="O11" s="136">
        <f t="shared" si="14"/>
        <v>0.92408176021926935</v>
      </c>
      <c r="P11" s="14">
        <f t="shared" si="14"/>
        <v>0.92022897235629519</v>
      </c>
      <c r="Q11" s="14">
        <f t="shared" si="14"/>
        <v>0.91600967013164314</v>
      </c>
      <c r="R11" s="14">
        <f t="shared" ref="R11:W11" si="15">SUM(R8)/R10</f>
        <v>0.91009604843049363</v>
      </c>
      <c r="S11" s="14">
        <f t="shared" si="15"/>
        <v>0.90553452477117846</v>
      </c>
      <c r="T11" s="14">
        <f t="shared" si="15"/>
        <v>0.89998727310876681</v>
      </c>
      <c r="U11" s="14">
        <f t="shared" si="15"/>
        <v>0.89355585210115562</v>
      </c>
      <c r="V11" s="14">
        <f t="shared" si="15"/>
        <v>0.88731838663235429</v>
      </c>
      <c r="W11" s="14">
        <f t="shared" si="15"/>
        <v>0.87911239675498598</v>
      </c>
      <c r="X11" s="14">
        <f t="shared" ref="X11:AC11" si="16">SUM(X8)/X10</f>
        <v>0.87021050613633899</v>
      </c>
      <c r="Y11" s="14">
        <f t="shared" si="16"/>
        <v>0.86533008008508538</v>
      </c>
      <c r="Z11" s="150">
        <f t="shared" si="16"/>
        <v>0.85924800254185474</v>
      </c>
      <c r="AA11" s="136">
        <f t="shared" si="16"/>
        <v>0.85740494071063578</v>
      </c>
      <c r="AB11" s="14">
        <f t="shared" si="16"/>
        <v>0.85574659372227269</v>
      </c>
      <c r="AC11" s="14">
        <f t="shared" si="16"/>
        <v>0.85201306512827824</v>
      </c>
      <c r="AD11" s="14">
        <f t="shared" ref="AD11:AI11" si="17">SUM(AD8)/AD10</f>
        <v>0.84977869746744783</v>
      </c>
      <c r="AE11" s="14">
        <f t="shared" si="17"/>
        <v>0.84626903134343812</v>
      </c>
      <c r="AF11" s="14">
        <f t="shared" si="17"/>
        <v>0.84095181950024922</v>
      </c>
      <c r="AG11" s="14">
        <f t="shared" si="17"/>
        <v>0.83475941345283189</v>
      </c>
      <c r="AH11" s="14">
        <f t="shared" si="17"/>
        <v>0.82719200757605404</v>
      </c>
      <c r="AI11" s="14">
        <f t="shared" si="17"/>
        <v>0.81974225882217311</v>
      </c>
      <c r="AJ11" s="14">
        <f t="shared" ref="AJ11:AO11" si="18">SUM(AJ8)/AJ10</f>
        <v>0.8128240806272975</v>
      </c>
      <c r="AK11" s="14">
        <f t="shared" si="18"/>
        <v>0.8066170131907352</v>
      </c>
      <c r="AL11" s="150">
        <f t="shared" si="18"/>
        <v>0.80080945802411718</v>
      </c>
      <c r="AM11" s="14">
        <f t="shared" si="18"/>
        <v>0.79514699924254439</v>
      </c>
      <c r="AN11" s="14">
        <f t="shared" si="18"/>
        <v>0.79007156507079224</v>
      </c>
      <c r="AO11" s="14">
        <f t="shared" si="18"/>
        <v>0.78382094096101229</v>
      </c>
      <c r="AP11" s="14">
        <f t="shared" ref="AP11:AX11" si="19">SUM(AP8)/AP10</f>
        <v>0.77806239283602052</v>
      </c>
      <c r="AQ11" s="14">
        <f t="shared" si="19"/>
        <v>0.77045343614677886</v>
      </c>
      <c r="AR11" s="14">
        <f t="shared" si="19"/>
        <v>0.76134402011190194</v>
      </c>
      <c r="AS11" s="14">
        <f t="shared" si="19"/>
        <v>0.75252574782021575</v>
      </c>
      <c r="AT11" s="14">
        <f t="shared" si="19"/>
        <v>0.7426869166846225</v>
      </c>
      <c r="AU11" s="14">
        <f t="shared" si="19"/>
        <v>0.7328660503614367</v>
      </c>
      <c r="AV11" s="14">
        <f t="shared" si="19"/>
        <v>0.72475053435243963</v>
      </c>
      <c r="AW11" s="14">
        <f t="shared" si="19"/>
        <v>0.7184721632668265</v>
      </c>
      <c r="AX11" s="23">
        <f t="shared" si="19"/>
        <v>0.7141916187124675</v>
      </c>
      <c r="AY11" s="14">
        <f t="shared" ref="AY11:BJ11" si="20">SUM(AY8)/AY10</f>
        <v>0.71048150117608733</v>
      </c>
      <c r="AZ11" s="14">
        <f t="shared" si="20"/>
        <v>0.70710654900865977</v>
      </c>
      <c r="BA11" s="14">
        <f t="shared" si="20"/>
        <v>0.70374121475544438</v>
      </c>
      <c r="BB11" s="14">
        <f t="shared" si="20"/>
        <v>0.69919568335590709</v>
      </c>
      <c r="BC11" s="14">
        <f t="shared" si="20"/>
        <v>0.69346660847451547</v>
      </c>
      <c r="BD11" s="14">
        <f t="shared" si="20"/>
        <v>0.68565611358754108</v>
      </c>
      <c r="BE11" s="14">
        <f t="shared" si="20"/>
        <v>0.67736508246092508</v>
      </c>
      <c r="BF11" s="14">
        <f t="shared" si="20"/>
        <v>0.66852928791724042</v>
      </c>
      <c r="BG11" s="14">
        <f t="shared" si="20"/>
        <v>0.6605642433853538</v>
      </c>
      <c r="BH11" s="14">
        <f t="shared" si="20"/>
        <v>0.65223273883180333</v>
      </c>
      <c r="BI11" s="14">
        <f t="shared" si="20"/>
        <v>0.64572805233708586</v>
      </c>
      <c r="BJ11" s="23">
        <f t="shared" si="20"/>
        <v>0.63945434988452343</v>
      </c>
      <c r="BK11" s="14">
        <f t="shared" ref="BK11:BP11" si="21">SUM(BK8)/BK10</f>
        <v>0.63383081070006397</v>
      </c>
      <c r="BL11" s="14">
        <f t="shared" si="21"/>
        <v>0.62954798099694942</v>
      </c>
      <c r="BM11" s="14">
        <f t="shared" si="21"/>
        <v>0.62411572449352903</v>
      </c>
      <c r="BN11" s="14">
        <f t="shared" si="21"/>
        <v>0.61837528243987294</v>
      </c>
      <c r="BO11" s="14">
        <f t="shared" si="21"/>
        <v>0.61280842657295875</v>
      </c>
      <c r="BP11" s="14">
        <f t="shared" si="21"/>
        <v>0.60814578789601004</v>
      </c>
      <c r="BQ11" s="14">
        <f t="shared" ref="BQ11:CB11" si="22">SUM(BQ8)/BQ10</f>
        <v>0.60377578004207677</v>
      </c>
      <c r="BR11" s="14">
        <f t="shared" si="22"/>
        <v>0.59918178692257917</v>
      </c>
      <c r="BS11" s="14">
        <f t="shared" si="22"/>
        <v>0.59608937748567681</v>
      </c>
      <c r="BT11" s="14">
        <f t="shared" si="22"/>
        <v>0.59101504563888807</v>
      </c>
      <c r="BU11" s="14">
        <f t="shared" si="22"/>
        <v>0.58727845043658444</v>
      </c>
      <c r="BV11" s="23">
        <f t="shared" si="22"/>
        <v>0.58327501852786856</v>
      </c>
      <c r="BW11" s="14">
        <f t="shared" si="22"/>
        <v>0.58013820144904849</v>
      </c>
      <c r="BX11" s="14">
        <f t="shared" si="22"/>
        <v>0.5766830204683917</v>
      </c>
      <c r="BY11" s="14">
        <f t="shared" si="22"/>
        <v>0.57290581244791816</v>
      </c>
      <c r="BZ11" s="14">
        <f t="shared" si="22"/>
        <v>0.56831850915291815</v>
      </c>
      <c r="CA11" s="14">
        <f t="shared" si="22"/>
        <v>0.56093175328607114</v>
      </c>
      <c r="CB11" s="14">
        <f t="shared" si="22"/>
        <v>0.56146329339481871</v>
      </c>
      <c r="CC11" s="14">
        <f>SUM(CC8)/CC10</f>
        <v>0.56063032299680393</v>
      </c>
      <c r="CD11" s="14">
        <f>SUM(CD8)/CD10</f>
        <v>0.55930583792041033</v>
      </c>
      <c r="CE11" s="14">
        <f>SUM(CE8)/CE10</f>
        <v>0.55704292440382674</v>
      </c>
      <c r="CF11" s="14">
        <f t="shared" ref="CF11:CQ11" si="23">SUM(CF8)/CF10</f>
        <v>0.55459569478842807</v>
      </c>
      <c r="CG11" s="14">
        <f t="shared" si="23"/>
        <v>0.55060395704867671</v>
      </c>
      <c r="CH11" s="14">
        <f t="shared" si="23"/>
        <v>0.54860133215831031</v>
      </c>
      <c r="CI11" s="78">
        <f t="shared" si="23"/>
        <v>0.54783531318665601</v>
      </c>
      <c r="CJ11" s="14">
        <f t="shared" si="23"/>
        <v>0.54538721227770492</v>
      </c>
      <c r="CK11" s="14">
        <f t="shared" si="23"/>
        <v>0.54268896913711373</v>
      </c>
      <c r="CL11" s="14">
        <f t="shared" si="23"/>
        <v>0.53934340462420827</v>
      </c>
      <c r="CM11" s="14">
        <f t="shared" si="23"/>
        <v>0.53575212420584428</v>
      </c>
      <c r="CN11" s="14">
        <f t="shared" si="23"/>
        <v>0.53173433114519908</v>
      </c>
      <c r="CO11" s="14">
        <f t="shared" si="23"/>
        <v>0.5276792534014072</v>
      </c>
      <c r="CP11" s="14">
        <f t="shared" si="23"/>
        <v>0.52267401622984488</v>
      </c>
      <c r="CQ11" s="14">
        <f t="shared" si="23"/>
        <v>0.51667711924440896</v>
      </c>
      <c r="CR11" s="14">
        <f t="shared" ref="CR11:DH11" si="24">SUM(CR8)/CR10</f>
        <v>0.51184987672240345</v>
      </c>
      <c r="CS11" s="14">
        <f t="shared" si="24"/>
        <v>0.50835292795518594</v>
      </c>
      <c r="CT11" s="23">
        <f t="shared" si="24"/>
        <v>0.50482100855707868</v>
      </c>
      <c r="CU11" s="14">
        <f t="shared" si="24"/>
        <v>0.50358082208538923</v>
      </c>
      <c r="CV11" s="14">
        <f t="shared" si="24"/>
        <v>0.49829831915789929</v>
      </c>
      <c r="CW11" s="14">
        <f t="shared" si="24"/>
        <v>0.49479831519730777</v>
      </c>
      <c r="CX11" s="14">
        <f t="shared" si="24"/>
        <v>0.49156137720903637</v>
      </c>
      <c r="CY11" s="14">
        <f t="shared" si="24"/>
        <v>0.48833009243799441</v>
      </c>
      <c r="CZ11" s="14">
        <f t="shared" si="24"/>
        <v>0.48445098699899414</v>
      </c>
      <c r="DA11" s="14">
        <f t="shared" si="24"/>
        <v>0.4802331230311489</v>
      </c>
      <c r="DB11" s="14">
        <f t="shared" si="24"/>
        <v>0.47644099766807924</v>
      </c>
      <c r="DC11" s="14">
        <f t="shared" si="24"/>
        <v>0.47144834737247188</v>
      </c>
      <c r="DD11" s="14">
        <f t="shared" si="24"/>
        <v>0.46889387384979403</v>
      </c>
      <c r="DE11" s="14">
        <f t="shared" si="24"/>
        <v>0.46571358058879719</v>
      </c>
      <c r="DF11" s="23">
        <f t="shared" si="24"/>
        <v>0.46225243547647649</v>
      </c>
      <c r="DG11" s="14">
        <f t="shared" si="24"/>
        <v>0.46054623697548397</v>
      </c>
      <c r="DH11" s="14">
        <f t="shared" si="24"/>
        <v>0.45608266399523922</v>
      </c>
      <c r="DI11" s="14">
        <f t="shared" ref="DI11:FH11" si="25">SUM(DI8)/DI10</f>
        <v>0.4526143498290463</v>
      </c>
      <c r="DJ11" s="14">
        <f t="shared" si="25"/>
        <v>0.4499756130612847</v>
      </c>
      <c r="DK11" s="14">
        <f t="shared" si="25"/>
        <v>0.44809609146789486</v>
      </c>
      <c r="DL11" s="14">
        <f t="shared" si="25"/>
        <v>0.44369699671431251</v>
      </c>
      <c r="DM11" s="14">
        <f t="shared" si="25"/>
        <v>0.4410377032536531</v>
      </c>
      <c r="DN11" s="14">
        <f t="shared" si="25"/>
        <v>0.43672578630858289</v>
      </c>
      <c r="DO11" s="14">
        <f t="shared" si="25"/>
        <v>0.43545038890522902</v>
      </c>
      <c r="DP11" s="14">
        <f t="shared" si="25"/>
        <v>0.43323713948866077</v>
      </c>
      <c r="DQ11" s="14">
        <f t="shared" si="25"/>
        <v>0.43002991080495789</v>
      </c>
      <c r="DR11" s="14">
        <f t="shared" si="25"/>
        <v>0.42977732105189798</v>
      </c>
      <c r="DS11" s="14">
        <f t="shared" si="25"/>
        <v>0.4268351121139829</v>
      </c>
      <c r="DT11" s="14">
        <f t="shared" si="25"/>
        <v>0.4237807940229133</v>
      </c>
      <c r="DU11" s="14">
        <f t="shared" si="25"/>
        <v>0.42009497864318773</v>
      </c>
      <c r="DV11" s="14">
        <f t="shared" si="25"/>
        <v>0.41715769258797702</v>
      </c>
      <c r="DW11" s="14">
        <f t="shared" si="25"/>
        <v>0.41460639596744581</v>
      </c>
      <c r="DX11" s="14">
        <f t="shared" si="25"/>
        <v>0.41239655814719267</v>
      </c>
      <c r="DY11" s="14">
        <f t="shared" si="25"/>
        <v>0.40907527124479542</v>
      </c>
      <c r="DZ11" s="14">
        <f t="shared" si="25"/>
        <v>0.40668505956254353</v>
      </c>
      <c r="EA11" s="14">
        <f t="shared" si="25"/>
        <v>0.40539027927172561</v>
      </c>
      <c r="EB11" s="14">
        <f t="shared" si="25"/>
        <v>0.40381062992576683</v>
      </c>
      <c r="EC11" s="14">
        <f t="shared" si="25"/>
        <v>0.40175232517004045</v>
      </c>
      <c r="ED11" s="14">
        <f t="shared" si="25"/>
        <v>0.40030500141669695</v>
      </c>
      <c r="EE11" s="14">
        <f t="shared" si="25"/>
        <v>0.3979788245455676</v>
      </c>
      <c r="EF11" s="14">
        <f t="shared" si="25"/>
        <v>0.39622430115959889</v>
      </c>
      <c r="EG11" s="14">
        <f t="shared" si="25"/>
        <v>0.39377655396248568</v>
      </c>
      <c r="EH11" s="14">
        <f t="shared" si="25"/>
        <v>0.39121850361766886</v>
      </c>
      <c r="EI11" s="14">
        <f t="shared" si="25"/>
        <v>0.38955055035493008</v>
      </c>
      <c r="EJ11" s="14">
        <f t="shared" si="25"/>
        <v>0.38748123550015923</v>
      </c>
      <c r="EK11" s="14">
        <f t="shared" si="25"/>
        <v>0.38525162047491035</v>
      </c>
      <c r="EL11" s="14">
        <f t="shared" si="25"/>
        <v>0.38367417719096825</v>
      </c>
      <c r="EM11" s="14">
        <f t="shared" si="25"/>
        <v>0.38257603133053097</v>
      </c>
      <c r="EN11" s="14">
        <f t="shared" si="25"/>
        <v>0.38146711113602155</v>
      </c>
      <c r="EO11" s="14">
        <f t="shared" si="25"/>
        <v>0.37993273743608219</v>
      </c>
      <c r="EP11" s="14">
        <f t="shared" si="25"/>
        <v>0.37951223381106691</v>
      </c>
      <c r="EQ11" s="14">
        <f t="shared" si="25"/>
        <v>0.37918953786096432</v>
      </c>
      <c r="ER11" s="14">
        <f t="shared" si="25"/>
        <v>0.37719822765059591</v>
      </c>
      <c r="ES11" s="14">
        <f t="shared" si="25"/>
        <v>0.37555082403241019</v>
      </c>
      <c r="ET11" s="14">
        <f t="shared" si="25"/>
        <v>0.37269613871178525</v>
      </c>
      <c r="EU11" s="14">
        <f t="shared" si="25"/>
        <v>0.37131542017710023</v>
      </c>
      <c r="EV11" s="14">
        <f t="shared" si="25"/>
        <v>0.36948056629516862</v>
      </c>
      <c r="EW11" s="14">
        <f t="shared" si="25"/>
        <v>0.36724759089286796</v>
      </c>
      <c r="EX11" s="14">
        <f t="shared" si="25"/>
        <v>0.36549526002912014</v>
      </c>
      <c r="EY11" s="14">
        <f t="shared" si="25"/>
        <v>0.36431742190536953</v>
      </c>
      <c r="EZ11" s="14">
        <f t="shared" si="25"/>
        <v>0.36258950715293153</v>
      </c>
      <c r="FA11" s="14">
        <f t="shared" si="25"/>
        <v>0.36119619926041879</v>
      </c>
      <c r="FB11" s="14">
        <f t="shared" si="25"/>
        <v>0.35982144640295693</v>
      </c>
      <c r="FC11" s="14">
        <f t="shared" si="25"/>
        <v>0.35868942866176901</v>
      </c>
      <c r="FD11" s="14">
        <f t="shared" si="25"/>
        <v>0.35711455711265055</v>
      </c>
      <c r="FE11" s="14">
        <f t="shared" si="25"/>
        <v>0.35548837151051388</v>
      </c>
      <c r="FF11" s="14">
        <f t="shared" si="25"/>
        <v>0.3535037407106934</v>
      </c>
      <c r="FG11" s="14">
        <f t="shared" si="25"/>
        <v>0.35186061650290573</v>
      </c>
      <c r="FH11" s="14">
        <f t="shared" si="25"/>
        <v>0.35018783642964763</v>
      </c>
      <c r="FI11" s="14">
        <f t="shared" ref="FI11:FT11" si="26">SUM(FI8)/FI10</f>
        <v>0.34819676862605953</v>
      </c>
      <c r="FJ11" s="14">
        <f t="shared" si="26"/>
        <v>0.34659973328907984</v>
      </c>
      <c r="FK11" s="14">
        <f t="shared" si="26"/>
        <v>0.34518438289461867</v>
      </c>
      <c r="FL11" s="14">
        <f t="shared" si="26"/>
        <v>0.34341600616188428</v>
      </c>
      <c r="FM11" s="14">
        <f t="shared" si="26"/>
        <v>0.34219210049025639</v>
      </c>
      <c r="FN11" s="14">
        <f t="shared" si="26"/>
        <v>0.34136198936462886</v>
      </c>
      <c r="FO11" s="14">
        <f t="shared" si="26"/>
        <v>0.34019262392903199</v>
      </c>
      <c r="FP11" s="14">
        <f t="shared" si="26"/>
        <v>0.33886379451579862</v>
      </c>
      <c r="FQ11" s="14">
        <f t="shared" si="26"/>
        <v>0.33727325627763682</v>
      </c>
      <c r="FR11" s="14">
        <f t="shared" si="26"/>
        <v>0.33544881361748274</v>
      </c>
      <c r="FS11" s="14">
        <f t="shared" si="26"/>
        <v>0.33407871549238349</v>
      </c>
      <c r="FT11" s="14">
        <f t="shared" si="26"/>
        <v>0.33304393871620369</v>
      </c>
    </row>
    <row r="12" spans="2:182" ht="13.8" thickBot="1" x14ac:dyDescent="0.3">
      <c r="B12" s="4" t="s">
        <v>11</v>
      </c>
      <c r="C12" s="79">
        <f t="shared" ref="C12:Q12" si="27">SUM(C9/C10)</f>
        <v>1.7282126591911719E-2</v>
      </c>
      <c r="D12" s="15">
        <f t="shared" si="27"/>
        <v>2.3205121367533131E-2</v>
      </c>
      <c r="E12" s="15">
        <f t="shared" si="27"/>
        <v>2.1787375725814295E-2</v>
      </c>
      <c r="F12" s="15">
        <f t="shared" si="27"/>
        <v>2.3135968803208205E-2</v>
      </c>
      <c r="G12" s="15">
        <f t="shared" si="27"/>
        <v>2.9329579299585549E-2</v>
      </c>
      <c r="H12" s="15">
        <f t="shared" si="27"/>
        <v>3.7127240685608603E-2</v>
      </c>
      <c r="I12" s="15">
        <f t="shared" si="27"/>
        <v>3.3612172188349373E-2</v>
      </c>
      <c r="J12" s="15">
        <f t="shared" si="27"/>
        <v>6.1525469016381555E-2</v>
      </c>
      <c r="K12" s="15">
        <f t="shared" si="27"/>
        <v>6.5531663194051071E-2</v>
      </c>
      <c r="L12" s="15">
        <f t="shared" si="27"/>
        <v>6.8420174588889326E-2</v>
      </c>
      <c r="M12" s="15">
        <f t="shared" si="27"/>
        <v>7.057387037429029E-2</v>
      </c>
      <c r="N12" s="15">
        <f t="shared" si="27"/>
        <v>7.3527907559583605E-2</v>
      </c>
      <c r="O12" s="137">
        <f t="shared" si="27"/>
        <v>7.5918239780730687E-2</v>
      </c>
      <c r="P12" s="15">
        <f t="shared" si="27"/>
        <v>7.977102764370482E-2</v>
      </c>
      <c r="Q12" s="15">
        <f t="shared" si="27"/>
        <v>8.3990329868356889E-2</v>
      </c>
      <c r="R12" s="15">
        <f t="shared" ref="R12:W12" si="28">SUM(R9/R10)</f>
        <v>8.9903951569506368E-2</v>
      </c>
      <c r="S12" s="15">
        <f t="shared" si="28"/>
        <v>9.4465475228821524E-2</v>
      </c>
      <c r="T12" s="15">
        <f t="shared" si="28"/>
        <v>0.10001272689123324</v>
      </c>
      <c r="U12" s="15">
        <f t="shared" si="28"/>
        <v>0.10644414789884436</v>
      </c>
      <c r="V12" s="15">
        <f t="shared" si="28"/>
        <v>0.11268161336764569</v>
      </c>
      <c r="W12" s="15">
        <f t="shared" si="28"/>
        <v>0.12088760324501407</v>
      </c>
      <c r="X12" s="15">
        <f t="shared" ref="X12:AC12" si="29">SUM(X9/X10)</f>
        <v>0.12978949386366098</v>
      </c>
      <c r="Y12" s="15">
        <f t="shared" si="29"/>
        <v>0.13466991991491462</v>
      </c>
      <c r="Z12" s="151">
        <f t="shared" si="29"/>
        <v>0.14075199745814526</v>
      </c>
      <c r="AA12" s="137">
        <f t="shared" si="29"/>
        <v>0.14259505928936425</v>
      </c>
      <c r="AB12" s="15">
        <f t="shared" si="29"/>
        <v>0.14425340627772734</v>
      </c>
      <c r="AC12" s="15">
        <f t="shared" si="29"/>
        <v>0.14798693487172176</v>
      </c>
      <c r="AD12" s="15">
        <f t="shared" ref="AD12:AI12" si="30">SUM(AD9/AD10)</f>
        <v>0.1502213025325522</v>
      </c>
      <c r="AE12" s="15">
        <f t="shared" si="30"/>
        <v>0.15373096865656191</v>
      </c>
      <c r="AF12" s="15">
        <f t="shared" si="30"/>
        <v>0.15904818049975072</v>
      </c>
      <c r="AG12" s="15">
        <f t="shared" si="30"/>
        <v>0.16524058654716814</v>
      </c>
      <c r="AH12" s="15">
        <f t="shared" si="30"/>
        <v>0.17280799242394596</v>
      </c>
      <c r="AI12" s="15">
        <f t="shared" si="30"/>
        <v>0.18025774117782689</v>
      </c>
      <c r="AJ12" s="15">
        <f t="shared" ref="AJ12:AO12" si="31">SUM(AJ9/AJ10)</f>
        <v>0.18717591937270253</v>
      </c>
      <c r="AK12" s="15">
        <f t="shared" si="31"/>
        <v>0.19338298680926477</v>
      </c>
      <c r="AL12" s="151">
        <f t="shared" si="31"/>
        <v>0.19919054197588287</v>
      </c>
      <c r="AM12" s="15">
        <f t="shared" si="31"/>
        <v>0.20485300075745566</v>
      </c>
      <c r="AN12" s="15">
        <f t="shared" si="31"/>
        <v>0.20992843492920774</v>
      </c>
      <c r="AO12" s="15">
        <f t="shared" si="31"/>
        <v>0.21617905903898774</v>
      </c>
      <c r="AP12" s="15">
        <f t="shared" ref="AP12:BA12" si="32">SUM(AP9/AP10)</f>
        <v>0.22193760716397948</v>
      </c>
      <c r="AQ12" s="15">
        <f t="shared" si="32"/>
        <v>0.22954656385322109</v>
      </c>
      <c r="AR12" s="15">
        <f t="shared" si="32"/>
        <v>0.23865597988809803</v>
      </c>
      <c r="AS12" s="15">
        <f t="shared" si="32"/>
        <v>0.24747425217978428</v>
      </c>
      <c r="AT12" s="15">
        <f t="shared" si="32"/>
        <v>0.2573130833153775</v>
      </c>
      <c r="AU12" s="15">
        <f t="shared" si="32"/>
        <v>0.26713394963856324</v>
      </c>
      <c r="AV12" s="15">
        <f t="shared" si="32"/>
        <v>0.27524946564756037</v>
      </c>
      <c r="AW12" s="15">
        <f t="shared" si="32"/>
        <v>0.28152783673317355</v>
      </c>
      <c r="AX12" s="24">
        <f t="shared" si="32"/>
        <v>0.28580838128753255</v>
      </c>
      <c r="AY12" s="15">
        <f t="shared" si="32"/>
        <v>0.28951849882391267</v>
      </c>
      <c r="AZ12" s="15">
        <f t="shared" si="32"/>
        <v>0.29289345099134018</v>
      </c>
      <c r="BA12" s="15">
        <f t="shared" si="32"/>
        <v>0.29625878524455562</v>
      </c>
      <c r="BB12" s="15">
        <f t="shared" ref="BB12:BM12" si="33">SUM(BB9/BB10)</f>
        <v>0.30080431664409285</v>
      </c>
      <c r="BC12" s="15">
        <f t="shared" si="33"/>
        <v>0.30653339152548459</v>
      </c>
      <c r="BD12" s="15">
        <f t="shared" si="33"/>
        <v>0.31434388641245897</v>
      </c>
      <c r="BE12" s="15">
        <f t="shared" si="33"/>
        <v>0.32263491753907492</v>
      </c>
      <c r="BF12" s="15">
        <f t="shared" si="33"/>
        <v>0.33147071208275958</v>
      </c>
      <c r="BG12" s="15">
        <f t="shared" si="33"/>
        <v>0.3394357566146462</v>
      </c>
      <c r="BH12" s="15">
        <f t="shared" si="33"/>
        <v>0.34776726116819662</v>
      </c>
      <c r="BI12" s="15">
        <f t="shared" si="33"/>
        <v>0.35427194766291409</v>
      </c>
      <c r="BJ12" s="24">
        <f t="shared" si="33"/>
        <v>0.36054565011547651</v>
      </c>
      <c r="BK12" s="15">
        <f t="shared" si="33"/>
        <v>0.36616918929993603</v>
      </c>
      <c r="BL12" s="15">
        <f t="shared" si="33"/>
        <v>0.37045201900305064</v>
      </c>
      <c r="BM12" s="15">
        <f t="shared" si="33"/>
        <v>0.37588427550647097</v>
      </c>
      <c r="BN12" s="15">
        <f t="shared" ref="BN12:BS12" si="34">SUM(BN9/BN10)</f>
        <v>0.38162471756012711</v>
      </c>
      <c r="BO12" s="15">
        <f t="shared" si="34"/>
        <v>0.38719157342704119</v>
      </c>
      <c r="BP12" s="15">
        <f t="shared" si="34"/>
        <v>0.39185421210399002</v>
      </c>
      <c r="BQ12" s="15">
        <f t="shared" si="34"/>
        <v>0.39622421995792323</v>
      </c>
      <c r="BR12" s="15">
        <f t="shared" si="34"/>
        <v>0.40081821307742083</v>
      </c>
      <c r="BS12" s="15">
        <f t="shared" si="34"/>
        <v>0.40391062251432319</v>
      </c>
      <c r="BT12" s="15">
        <f>SUM(BT9/BT10)</f>
        <v>0.40898495436111199</v>
      </c>
      <c r="BU12" s="15">
        <f>SUM(BU9/BU10)</f>
        <v>0.41272154956341556</v>
      </c>
      <c r="BV12" s="24">
        <f>SUM(BV9/BV10)</f>
        <v>0.41672498147213144</v>
      </c>
      <c r="BW12" s="15">
        <f t="shared" ref="BW12:CB12" si="35">SUM(BW9/BW10)</f>
        <v>0.41986179855095146</v>
      </c>
      <c r="BX12" s="15">
        <f t="shared" si="35"/>
        <v>0.4233169795316083</v>
      </c>
      <c r="BY12" s="15">
        <f t="shared" si="35"/>
        <v>0.42709418755208189</v>
      </c>
      <c r="BZ12" s="15">
        <f t="shared" si="35"/>
        <v>0.43168149084708185</v>
      </c>
      <c r="CA12" s="15">
        <f t="shared" si="35"/>
        <v>0.43906824671392886</v>
      </c>
      <c r="CB12" s="15">
        <f t="shared" si="35"/>
        <v>0.43853670660518129</v>
      </c>
      <c r="CC12" s="15">
        <f>SUM(CC9/CC10)</f>
        <v>0.43936967700319607</v>
      </c>
      <c r="CD12" s="15">
        <f>SUM(CD9/CD10)</f>
        <v>0.44069416207958972</v>
      </c>
      <c r="CE12" s="15">
        <f>SUM(CE9/CE10)</f>
        <v>0.44295707559617331</v>
      </c>
      <c r="CF12" s="15">
        <f t="shared" ref="CF12:CQ12" si="36">SUM(CF9/CF10)</f>
        <v>0.44540430521157193</v>
      </c>
      <c r="CG12" s="15">
        <f t="shared" si="36"/>
        <v>0.44939604295132329</v>
      </c>
      <c r="CH12" s="15">
        <f t="shared" si="36"/>
        <v>0.45139866784168964</v>
      </c>
      <c r="CI12" s="79">
        <f t="shared" si="36"/>
        <v>0.45216468681334404</v>
      </c>
      <c r="CJ12" s="15">
        <f t="shared" si="36"/>
        <v>0.45461278772229508</v>
      </c>
      <c r="CK12" s="15">
        <f t="shared" si="36"/>
        <v>0.45731103086288627</v>
      </c>
      <c r="CL12" s="15">
        <f t="shared" si="36"/>
        <v>0.46065659537579168</v>
      </c>
      <c r="CM12" s="15">
        <f t="shared" si="36"/>
        <v>0.46424787579415572</v>
      </c>
      <c r="CN12" s="15">
        <f t="shared" si="36"/>
        <v>0.46826566885480092</v>
      </c>
      <c r="CO12" s="15">
        <f t="shared" si="36"/>
        <v>0.4723207465985928</v>
      </c>
      <c r="CP12" s="15">
        <f t="shared" si="36"/>
        <v>0.47732598377015512</v>
      </c>
      <c r="CQ12" s="15">
        <f t="shared" si="36"/>
        <v>0.48332288075559104</v>
      </c>
      <c r="CR12" s="15">
        <f t="shared" ref="CR12:DH12" si="37">SUM(CR9/CR10)</f>
        <v>0.48815012327759655</v>
      </c>
      <c r="CS12" s="15">
        <f t="shared" si="37"/>
        <v>0.49164707204481406</v>
      </c>
      <c r="CT12" s="24">
        <f t="shared" si="37"/>
        <v>0.49517899144292138</v>
      </c>
      <c r="CU12" s="15">
        <f t="shared" si="37"/>
        <v>0.49641917791461077</v>
      </c>
      <c r="CV12" s="15">
        <f t="shared" si="37"/>
        <v>0.50170168084210076</v>
      </c>
      <c r="CW12" s="15">
        <f t="shared" si="37"/>
        <v>0.50520168480269223</v>
      </c>
      <c r="CX12" s="15">
        <f t="shared" si="37"/>
        <v>0.50843862279096363</v>
      </c>
      <c r="CY12" s="15">
        <f t="shared" si="37"/>
        <v>0.51166990756200559</v>
      </c>
      <c r="CZ12" s="15">
        <f t="shared" si="37"/>
        <v>0.51554901300100586</v>
      </c>
      <c r="DA12" s="15">
        <f t="shared" si="37"/>
        <v>0.51976687696885104</v>
      </c>
      <c r="DB12" s="15">
        <f t="shared" si="37"/>
        <v>0.52355900233192076</v>
      </c>
      <c r="DC12" s="15">
        <f t="shared" si="37"/>
        <v>0.52855165262752812</v>
      </c>
      <c r="DD12" s="15">
        <f t="shared" si="37"/>
        <v>0.53110612615020603</v>
      </c>
      <c r="DE12" s="15">
        <f t="shared" si="37"/>
        <v>0.53428641941120281</v>
      </c>
      <c r="DF12" s="24">
        <f t="shared" si="37"/>
        <v>0.53774756452352357</v>
      </c>
      <c r="DG12" s="15">
        <f t="shared" si="37"/>
        <v>0.53945376302451598</v>
      </c>
      <c r="DH12" s="15">
        <f t="shared" si="37"/>
        <v>0.54391733600476078</v>
      </c>
      <c r="DI12" s="15">
        <f t="shared" ref="DI12:FH12" si="38">SUM(DI9/DI10)</f>
        <v>0.54738565017095375</v>
      </c>
      <c r="DJ12" s="15">
        <f t="shared" si="38"/>
        <v>0.55002438693871536</v>
      </c>
      <c r="DK12" s="15">
        <f t="shared" si="38"/>
        <v>0.55190390853210514</v>
      </c>
      <c r="DL12" s="15">
        <f t="shared" si="38"/>
        <v>0.55630300328568749</v>
      </c>
      <c r="DM12" s="15">
        <f t="shared" si="38"/>
        <v>0.5589622967463469</v>
      </c>
      <c r="DN12" s="15">
        <f t="shared" si="38"/>
        <v>0.56327421369141717</v>
      </c>
      <c r="DO12" s="15">
        <f t="shared" si="38"/>
        <v>0.56454961109477098</v>
      </c>
      <c r="DP12" s="15">
        <f t="shared" si="38"/>
        <v>0.56676286051133928</v>
      </c>
      <c r="DQ12" s="15">
        <f t="shared" si="38"/>
        <v>0.56997008919504211</v>
      </c>
      <c r="DR12" s="15">
        <f t="shared" si="38"/>
        <v>0.57022267894810197</v>
      </c>
      <c r="DS12" s="15">
        <f t="shared" si="38"/>
        <v>0.57316488788601716</v>
      </c>
      <c r="DT12" s="15">
        <f t="shared" si="38"/>
        <v>0.57621920597708676</v>
      </c>
      <c r="DU12" s="15">
        <f t="shared" si="38"/>
        <v>0.57990502135681232</v>
      </c>
      <c r="DV12" s="15">
        <f t="shared" si="38"/>
        <v>0.58284230741202292</v>
      </c>
      <c r="DW12" s="15">
        <f t="shared" si="38"/>
        <v>0.58539360403255425</v>
      </c>
      <c r="DX12" s="15">
        <f t="shared" si="38"/>
        <v>0.58760344185280733</v>
      </c>
      <c r="DY12" s="15">
        <f t="shared" si="38"/>
        <v>0.59092472875520452</v>
      </c>
      <c r="DZ12" s="15">
        <f t="shared" si="38"/>
        <v>0.59331494043745647</v>
      </c>
      <c r="EA12" s="15">
        <f t="shared" si="38"/>
        <v>0.59460972072827445</v>
      </c>
      <c r="EB12" s="15">
        <f t="shared" si="38"/>
        <v>0.59618937007423323</v>
      </c>
      <c r="EC12" s="15">
        <f t="shared" si="38"/>
        <v>0.59824767482995955</v>
      </c>
      <c r="ED12" s="15">
        <f t="shared" si="38"/>
        <v>0.59969499858330311</v>
      </c>
      <c r="EE12" s="15">
        <f t="shared" si="38"/>
        <v>0.60202117545443246</v>
      </c>
      <c r="EF12" s="15">
        <f t="shared" si="38"/>
        <v>0.60377569884040105</v>
      </c>
      <c r="EG12" s="15">
        <f t="shared" si="38"/>
        <v>0.60622344603751432</v>
      </c>
      <c r="EH12" s="15">
        <f t="shared" si="38"/>
        <v>0.60878149638233114</v>
      </c>
      <c r="EI12" s="15">
        <f t="shared" si="38"/>
        <v>0.61044944964506997</v>
      </c>
      <c r="EJ12" s="15">
        <f t="shared" si="38"/>
        <v>0.61251876449984077</v>
      </c>
      <c r="EK12" s="15">
        <f t="shared" si="38"/>
        <v>0.61474837952508965</v>
      </c>
      <c r="EL12" s="15">
        <f t="shared" si="38"/>
        <v>0.61632582280903181</v>
      </c>
      <c r="EM12" s="15">
        <f t="shared" si="38"/>
        <v>0.61742396866946903</v>
      </c>
      <c r="EN12" s="15">
        <f t="shared" si="38"/>
        <v>0.61853288886397839</v>
      </c>
      <c r="EO12" s="15">
        <f t="shared" si="38"/>
        <v>0.62006726256391775</v>
      </c>
      <c r="EP12" s="15">
        <f t="shared" si="38"/>
        <v>0.62048776618893309</v>
      </c>
      <c r="EQ12" s="15">
        <f t="shared" si="38"/>
        <v>0.62081046213903568</v>
      </c>
      <c r="ER12" s="15">
        <f t="shared" si="38"/>
        <v>0.62280177234940404</v>
      </c>
      <c r="ES12" s="15">
        <f t="shared" si="38"/>
        <v>0.62444917596758986</v>
      </c>
      <c r="ET12" s="15">
        <f t="shared" si="38"/>
        <v>0.6273038612882148</v>
      </c>
      <c r="EU12" s="15">
        <f t="shared" si="38"/>
        <v>0.62868457982289982</v>
      </c>
      <c r="EV12" s="15">
        <f t="shared" si="38"/>
        <v>0.63051943370483132</v>
      </c>
      <c r="EW12" s="15">
        <f t="shared" si="38"/>
        <v>0.63275240910713204</v>
      </c>
      <c r="EX12" s="15">
        <f t="shared" si="38"/>
        <v>0.63450473997087986</v>
      </c>
      <c r="EY12" s="15">
        <f t="shared" si="38"/>
        <v>0.63568257809463047</v>
      </c>
      <c r="EZ12" s="15">
        <f t="shared" si="38"/>
        <v>0.63741049284706841</v>
      </c>
      <c r="FA12" s="15">
        <f t="shared" si="38"/>
        <v>0.63880380073958121</v>
      </c>
      <c r="FB12" s="15">
        <f t="shared" si="38"/>
        <v>0.64017855359704301</v>
      </c>
      <c r="FC12" s="15">
        <f t="shared" si="38"/>
        <v>0.64131057133823099</v>
      </c>
      <c r="FD12" s="15">
        <f t="shared" si="38"/>
        <v>0.6428854428873495</v>
      </c>
      <c r="FE12" s="15">
        <f t="shared" si="38"/>
        <v>0.64451162848948618</v>
      </c>
      <c r="FF12" s="15">
        <f t="shared" si="38"/>
        <v>0.64649625928930665</v>
      </c>
      <c r="FG12" s="15">
        <f t="shared" si="38"/>
        <v>0.64813938349709432</v>
      </c>
      <c r="FH12" s="15">
        <f t="shared" si="38"/>
        <v>0.64981216357035243</v>
      </c>
      <c r="FI12" s="15">
        <f t="shared" ref="FI12:FT12" si="39">SUM(FI9/FI10)</f>
        <v>0.65180323137394047</v>
      </c>
      <c r="FJ12" s="15">
        <f t="shared" si="39"/>
        <v>0.65340026671092011</v>
      </c>
      <c r="FK12" s="15">
        <f t="shared" si="39"/>
        <v>0.65481561710538139</v>
      </c>
      <c r="FL12" s="15">
        <f t="shared" si="39"/>
        <v>0.65658399383811572</v>
      </c>
      <c r="FM12" s="15">
        <f t="shared" si="39"/>
        <v>0.65780789950974361</v>
      </c>
      <c r="FN12" s="15">
        <f t="shared" si="39"/>
        <v>0.65863801063537109</v>
      </c>
      <c r="FO12" s="15">
        <f t="shared" si="39"/>
        <v>0.65980737607096795</v>
      </c>
      <c r="FP12" s="15">
        <f t="shared" si="39"/>
        <v>0.66113620548420138</v>
      </c>
      <c r="FQ12" s="15">
        <f t="shared" si="39"/>
        <v>0.66272674372236318</v>
      </c>
      <c r="FR12" s="15">
        <f t="shared" si="39"/>
        <v>0.6645511863825172</v>
      </c>
      <c r="FS12" s="15">
        <f t="shared" si="39"/>
        <v>0.66592128450761656</v>
      </c>
      <c r="FT12" s="15">
        <f t="shared" si="39"/>
        <v>0.66695606128379625</v>
      </c>
    </row>
    <row r="13" spans="2:182" x14ac:dyDescent="0.25">
      <c r="B13" s="3"/>
      <c r="C13" s="74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18"/>
      <c r="O13" s="138"/>
      <c r="P13" s="18"/>
      <c r="Q13" s="18"/>
      <c r="U13" s="18"/>
      <c r="V13" s="18"/>
      <c r="W13" s="18"/>
      <c r="X13" s="18"/>
      <c r="Y13" s="18"/>
      <c r="Z13" s="146"/>
      <c r="AA13" s="13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46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20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20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20"/>
      <c r="BW13" s="18"/>
      <c r="BX13" s="18"/>
      <c r="BY13" s="18"/>
      <c r="BZ13" s="18"/>
      <c r="CA13" s="18"/>
      <c r="CB13" s="18"/>
      <c r="CC13" s="69"/>
      <c r="CD13" s="69"/>
      <c r="CE13" s="69"/>
      <c r="CF13" s="69"/>
      <c r="CG13" s="69"/>
      <c r="CH13" s="69"/>
      <c r="CI13" s="88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69"/>
      <c r="DH13" s="69"/>
      <c r="DI13" s="69"/>
      <c r="DJ13" s="69"/>
    </row>
    <row r="14" spans="2:182" x14ac:dyDescent="0.25">
      <c r="B14" s="3" t="s">
        <v>13</v>
      </c>
      <c r="C14" s="74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18"/>
      <c r="O14" s="138"/>
      <c r="P14" s="18"/>
      <c r="Q14" s="18"/>
      <c r="U14" s="18"/>
      <c r="V14" s="18"/>
      <c r="W14" s="18"/>
      <c r="X14" s="18"/>
      <c r="Y14" s="18"/>
      <c r="Z14" s="146"/>
      <c r="AA14" s="13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46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20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20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20"/>
      <c r="BW14" s="18"/>
      <c r="BX14" s="18"/>
      <c r="BY14" s="18"/>
      <c r="BZ14" s="18"/>
      <c r="CA14" s="18"/>
      <c r="CB14" s="18"/>
      <c r="CC14" s="69"/>
      <c r="CD14" s="69"/>
      <c r="CE14" s="69"/>
      <c r="CF14" s="69"/>
      <c r="CG14" s="69"/>
      <c r="CH14" s="69"/>
      <c r="CI14" s="88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69"/>
      <c r="DH14" s="69"/>
      <c r="DI14" s="69"/>
      <c r="DJ14" s="69"/>
    </row>
    <row r="15" spans="2:182" x14ac:dyDescent="0.25">
      <c r="B15" s="3" t="s">
        <v>66</v>
      </c>
      <c r="C15" s="74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18"/>
      <c r="O15" s="138"/>
      <c r="P15" s="18"/>
      <c r="Q15" s="18"/>
      <c r="U15" s="18"/>
      <c r="V15" s="18"/>
      <c r="W15" s="18"/>
      <c r="X15" s="18"/>
      <c r="Y15" s="18"/>
      <c r="Z15" s="146"/>
      <c r="AA15" s="13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46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0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20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20"/>
      <c r="BW15" s="18"/>
      <c r="BX15" s="18"/>
      <c r="BY15" s="18"/>
      <c r="BZ15" s="18"/>
      <c r="CA15" s="18"/>
      <c r="CB15" s="18"/>
      <c r="CC15" s="69"/>
      <c r="CD15" s="69"/>
      <c r="CE15" s="69"/>
      <c r="CF15" s="69"/>
      <c r="CG15" s="69"/>
      <c r="CH15" s="69"/>
      <c r="CI15" s="88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69"/>
      <c r="DH15" s="69"/>
      <c r="DI15" s="69"/>
      <c r="DJ15" s="69"/>
    </row>
    <row r="16" spans="2:182" x14ac:dyDescent="0.25">
      <c r="B16" s="3" t="s">
        <v>1</v>
      </c>
      <c r="C16" s="75">
        <f>SUM(Oncor!C16,Centerpoint!C16,'AEP Central'!C16,TNMP!C16,'AEP North'!C16)</f>
        <v>612462</v>
      </c>
      <c r="D16" s="16">
        <f>SUM(Oncor!D16,Centerpoint!D16,'AEP Central'!D16,TNMP!D16,'AEP North'!D16)</f>
        <v>612856</v>
      </c>
      <c r="E16" s="16">
        <f>SUM(Oncor!E16,Centerpoint!E16,'AEP Central'!E16,TNMP!E16,'AEP North'!E16)</f>
        <v>671665</v>
      </c>
      <c r="F16" s="16">
        <f>SUM(Oncor!F16,Centerpoint!F16,'AEP Central'!F16,TNMP!F16,'AEP North'!F16)</f>
        <v>671507</v>
      </c>
      <c r="G16" s="16">
        <f>SUM(Oncor!G16,Centerpoint!G16,'AEP Central'!G16,TNMP!G16,'AEP North'!G16)</f>
        <v>669014</v>
      </c>
      <c r="H16" s="16">
        <f>SUM(Oncor!H16,Centerpoint!H16,'AEP Central'!H16,TNMP!H16,'AEP North'!H16)</f>
        <v>692331</v>
      </c>
      <c r="I16" s="16">
        <f>SUM(Oncor!I16,Centerpoint!I16,'AEP Central'!I16,TNMP!I16,'AEP North'!I16)</f>
        <v>691807</v>
      </c>
      <c r="J16" s="16">
        <f>SUM(Oncor!J16,Centerpoint!J16,'AEP Central'!J16,TNMP!J16,'AEP North'!J16)</f>
        <v>685863</v>
      </c>
      <c r="K16" s="16">
        <f>SUM(Oncor!K16,Centerpoint!K16,'AEP Central'!K16,TNMP!K16,'AEP North'!K16)</f>
        <v>682467</v>
      </c>
      <c r="L16" s="16">
        <f>SUM(Oncor!L16,Centerpoint!L16,'AEP Central'!L16,TNMP!L16,'AEP North'!L16)</f>
        <v>677341</v>
      </c>
      <c r="M16" s="16">
        <f>SUM(Oncor!M16,Centerpoint!M16,'AEP Central'!M16,TNMP!M16,'AEP North'!M16)</f>
        <v>673284</v>
      </c>
      <c r="N16" s="16">
        <f>SUM(Oncor!N16,Centerpoint!N16,'AEP Central'!N16,TNMP!N16,'AEP North'!N16)</f>
        <v>669399</v>
      </c>
      <c r="O16" s="133">
        <f>SUM(Oncor!O16,Centerpoint!O16,'AEP Central'!O16,TNMP!O16,'AEP North'!O16)</f>
        <v>663760</v>
      </c>
      <c r="P16" s="16">
        <f>SUM(Oncor!P16,Centerpoint!P16,'AEP Central'!P16,TNMP!P16,'AEP North'!P16)</f>
        <v>647308</v>
      </c>
      <c r="Q16" s="16">
        <f>SUM(Oncor!Q16,Centerpoint!Q16,'AEP Central'!Q16,TNMP!Q16,'AEP North'!Q16)</f>
        <v>654265</v>
      </c>
      <c r="R16" s="16">
        <f>SUM(Oncor!R16,Centerpoint!R16,'AEP Central'!R16,TNMP!R16,'AEP North'!R16)</f>
        <v>653437</v>
      </c>
      <c r="S16" s="16">
        <f>SUM(Oncor!S16,Centerpoint!S16,'AEP Central'!S16,TNMP!S16,'AEP North'!S16)</f>
        <v>650556</v>
      </c>
      <c r="T16" s="16">
        <f>SUM(Oncor!T16,Centerpoint!T16,'AEP Central'!T16,TNMP!T16,'AEP North'!T16)</f>
        <v>646798</v>
      </c>
      <c r="U16" s="16">
        <f>SUM(Oncor!U16,Centerpoint!U16,'AEP Central'!U16,TNMP!U16,'AEP North'!U16)</f>
        <v>649378</v>
      </c>
      <c r="V16" s="16">
        <f>SUM(Oncor!V16,Centerpoint!V16,'AEP Central'!V16,TNMP!V16,'AEP North'!V16)</f>
        <v>639003</v>
      </c>
      <c r="W16" s="16">
        <f>SUM(Oncor!W16,Centerpoint!W16,'AEP Central'!W16,TNMP!W16,'AEP North'!W16)</f>
        <v>636759</v>
      </c>
      <c r="X16" s="16">
        <f>SUM(Oncor!X16,Centerpoint!X16,'AEP Central'!X16,TNMP!X16,'AEP North'!X16)</f>
        <v>642135</v>
      </c>
      <c r="Y16" s="16">
        <f>SUM(Oncor!Y16,Centerpoint!Y16,'AEP Central'!Y16,TNMP!Y16,'AEP North'!Y16)</f>
        <v>612331</v>
      </c>
      <c r="Z16" s="147">
        <f>SUM(Oncor!Z16,Centerpoint!Z16,'AEP Central'!Z16,TNMP!Z16,'AEP North'!Z16)</f>
        <v>620691</v>
      </c>
      <c r="AA16" s="133">
        <f>SUM(Oncor!AA16,Centerpoint!AA16,'AEP Central'!AA16,TNMP!AA16,'AEP North'!AA16)</f>
        <v>619937</v>
      </c>
      <c r="AB16" s="16">
        <f>SUM(Oncor!AB16,Centerpoint!AB16,'AEP Central'!AB16,TNMP!AB16,'AEP North'!AB16)</f>
        <v>611233</v>
      </c>
      <c r="AC16" s="16">
        <f>SUM(Oncor!AC16,Centerpoint!AC16,'AEP Central'!AC16,TNMP!AC16,'AEP North'!AC16)</f>
        <v>623250</v>
      </c>
      <c r="AD16" s="16">
        <f>SUM(Oncor!AD16,Centerpoint!AD16,'AEP Central'!AD16,TNMP!AD16,'AEP North'!AD16)</f>
        <v>610622</v>
      </c>
      <c r="AE16" s="16">
        <f>SUM(Oncor!AE16,Centerpoint!AE16,'AEP Central'!AE16,TNMP!AE16,'AEP North'!AE16)</f>
        <v>603597</v>
      </c>
      <c r="AF16" s="16">
        <f>SUM(Oncor!AF16,Centerpoint!AF16,'AEP Central'!AF16,TNMP!AF16,'AEP North'!AF16)</f>
        <v>608207</v>
      </c>
      <c r="AG16" s="16">
        <f>SUM(Oncor!AG16,Centerpoint!AG16,'AEP Central'!AG16,TNMP!AG16,'AEP North'!AG16)</f>
        <v>592521</v>
      </c>
      <c r="AH16" s="16">
        <f>SUM(Oncor!AH16,Centerpoint!AH16,'AEP Central'!AH16,TNMP!AH16,'AEP North'!AH16)</f>
        <v>596464</v>
      </c>
      <c r="AI16" s="16">
        <f>SUM(Oncor!AI16,Centerpoint!AI16,'AEP Central'!AI16,TNMP!AI16,'AEP North'!AI16)</f>
        <v>586366</v>
      </c>
      <c r="AJ16" s="16">
        <f>SUM(Oncor!AJ16,Centerpoint!AJ16,'AEP Central'!AJ16,TNMP!AJ16,'AEP North'!AJ16)</f>
        <v>579602</v>
      </c>
      <c r="AK16" s="16">
        <f>SUM(Oncor!AK16,Centerpoint!AK16,'AEP Central'!AK16,TNMP!AK16,'AEP North'!AK16)</f>
        <v>571525</v>
      </c>
      <c r="AL16" s="147">
        <f>SUM(Oncor!AL16,Centerpoint!AL16,'AEP Central'!AL16,TNMP!AL16,'AEP North'!AL16)</f>
        <v>564142</v>
      </c>
      <c r="AM16" s="16">
        <f>SUM(Oncor!AM16,Centerpoint!AM16,'AEP Central'!AM16,TNMP!AM16,'AEP North'!AM16)</f>
        <v>555472</v>
      </c>
      <c r="AN16" s="16">
        <f>SUM(Oncor!AN16,Centerpoint!AN16,'AEP Central'!AN16,TNMP!AN16,'AEP North'!AN16)</f>
        <v>540182</v>
      </c>
      <c r="AO16" s="16">
        <f>SUM(Oncor!AO16,Centerpoint!AO16,'AEP Central'!AO16,TNMP!AO16,'AEP North'!AO16)</f>
        <v>545582</v>
      </c>
      <c r="AP16" s="16">
        <f>SUM(Oncor!AP16,Centerpoint!AP16,'AEP Central'!AP16,TNMP!AP16,'AEP North'!AP16)</f>
        <v>538744</v>
      </c>
      <c r="AQ16" s="16">
        <f>SUM(Oncor!AQ16,Centerpoint!AQ16,'AEP Central'!AQ16,TNMP!AQ16,'AEP North'!AQ16)</f>
        <v>537151</v>
      </c>
      <c r="AR16" s="16">
        <f>SUM(Oncor!AR16,Centerpoint!AR16,'AEP Central'!AR16,TNMP!AR16,'AEP North'!AR16)</f>
        <v>533284</v>
      </c>
      <c r="AS16" s="16">
        <f>SUM(Oncor!AS16,Centerpoint!AS16,'AEP Central'!AS16,TNMP!AS16,'AEP North'!AS16)</f>
        <v>525197</v>
      </c>
      <c r="AT16" s="16">
        <f>SUM(Oncor!AT16,Centerpoint!AT16,'AEP Central'!AT16,TNMP!AT16,'AEP North'!AT16)</f>
        <v>532150</v>
      </c>
      <c r="AU16" s="16">
        <f>SUM(Oncor!AU16,Centerpoint!AU16,'AEP Central'!AU16,TNMP!AU16,'AEP North'!AU16)</f>
        <v>521337</v>
      </c>
      <c r="AV16" s="16">
        <f>SUM(Oncor!AV16,Centerpoint!AV16,'AEP Central'!AV16,TNMP!AV16,'AEP North'!AV16)</f>
        <v>517607</v>
      </c>
      <c r="AW16" s="16">
        <f>SUM(Oncor!AW16,Centerpoint!AW16,'AEP Central'!AW16,TNMP!AW16,'AEP North'!AW16)</f>
        <v>512531</v>
      </c>
      <c r="AX16" s="21">
        <f>SUM(Oncor!AX16,Centerpoint!AX16,'AEP Central'!AX16,TNMP!AX16,'AEP North'!AX16)</f>
        <v>510626</v>
      </c>
      <c r="AY16" s="16">
        <f>SUM(Oncor!AY16,Centerpoint!AY16,'AEP Central'!AY16,TNMP!AY16,'AEP North'!AY16)</f>
        <v>513381</v>
      </c>
      <c r="AZ16" s="16">
        <f>SUM(Oncor!AZ16,Centerpoint!AZ16,'AEP Central'!AZ16,TNMP!AZ16,'AEP North'!AZ16)</f>
        <v>504205</v>
      </c>
      <c r="BA16" s="16">
        <f>SUM(Oncor!BA16,Centerpoint!BA16,'AEP Central'!BA16,TNMP!BA16,'AEP North'!BA16)</f>
        <v>516695</v>
      </c>
      <c r="BB16" s="16">
        <f>SUM(Oncor!BB16,Centerpoint!BB16,'AEP Central'!BB16,TNMP!BB16,'AEP North'!BB16)</f>
        <v>500533</v>
      </c>
      <c r="BC16" s="16">
        <f>SUM(Oncor!BC16,Centerpoint!BC16,'AEP Central'!BC16,TNMP!BC16,'AEP North'!BC16)</f>
        <v>504585</v>
      </c>
      <c r="BD16" s="16">
        <f>SUM(Oncor!BD16,Centerpoint!BD16,'AEP Central'!BD16,TNMP!BD16,'AEP North'!BD16)</f>
        <v>501209</v>
      </c>
      <c r="BE16" s="16">
        <f>SUM(Oncor!BE16,Centerpoint!BE16,'AEP Central'!BE16,TNMP!BE16,'AEP North'!BE16)</f>
        <v>491427</v>
      </c>
      <c r="BF16" s="16">
        <f>SUM(Oncor!BF16,Centerpoint!BF16,'AEP Central'!BF16,TNMP!BF16,'AEP North'!BF16)</f>
        <v>497315</v>
      </c>
      <c r="BG16" s="16">
        <f>SUM(Oncor!BG16,Centerpoint!BG16,'AEP Central'!BG16,TNMP!BG16,'AEP North'!BG16)</f>
        <v>490322</v>
      </c>
      <c r="BH16" s="16">
        <f>SUM(Oncor!BH16,Centerpoint!BH16,'AEP Central'!BH16,TNMP!BH16,'AEP North'!BH16)</f>
        <v>483124</v>
      </c>
      <c r="BI16" s="16">
        <f>SUM(Oncor!BI16,Centerpoint!BI16,'AEP Central'!BI16,TNMP!BI16,'AEP North'!BI16)</f>
        <v>470196</v>
      </c>
      <c r="BJ16" s="21">
        <f>SUM(Oncor!BJ16,Centerpoint!BJ16,'AEP Central'!BJ16,TNMP!BJ16,'AEP North'!BJ16)</f>
        <v>460850</v>
      </c>
      <c r="BK16" s="16">
        <f>SUM(Oncor!BK16,Centerpoint!BK16,'AEP Central'!BK16,TNMP!BK16,'AEP North'!BK16)</f>
        <v>459530</v>
      </c>
      <c r="BL16" s="16">
        <f>SUM(Oncor!BL16,Centerpoint!BL16,'AEP Central'!BL16,TNMP!BL16,'AEP North'!BL16)</f>
        <v>447897</v>
      </c>
      <c r="BM16" s="16">
        <f>SUM(Oncor!BM16,Centerpoint!BM16,'AEP Central'!BM16,TNMP!BM16,'AEP North'!BM16)</f>
        <v>450370</v>
      </c>
      <c r="BN16" s="16">
        <f>SUM(Oncor!BN16,Centerpoint!BN16,'AEP Central'!BN16,TNMP!BN16,'AEP North'!BN16)</f>
        <v>440848</v>
      </c>
      <c r="BO16" s="16">
        <f>SUM(Oncor!BO16,Centerpoint!BO16,'AEP Central'!BO16,TNMP!BO16,'AEP North'!BO16)</f>
        <v>444523</v>
      </c>
      <c r="BP16" s="16">
        <f>SUM(Oncor!BP16,Centerpoint!BP16,'AEP Central'!BP16,TNMP!BP16,'AEP North'!BP16)</f>
        <v>439429</v>
      </c>
      <c r="BQ16" s="16">
        <f>SUM(Oncor!BQ16,Centerpoint!BQ16,'AEP Central'!BQ16,TNMP!BQ16,'AEP North'!BQ16)</f>
        <v>434376</v>
      </c>
      <c r="BR16" s="16">
        <f>SUM(Oncor!BR16,Centerpoint!BR16,'AEP Central'!BR16,TNMP!BR16,'AEP North'!BR16)</f>
        <v>435390</v>
      </c>
      <c r="BS16" s="16">
        <f>SUM(Oncor!BS16,Centerpoint!BS16,'AEP Central'!BS16,TNMP!BS16,'AEP North'!BS16)</f>
        <v>422075</v>
      </c>
      <c r="BT16" s="16">
        <f>SUM(Oncor!BT16,Centerpoint!BT16,'AEP Central'!BT16,TNMP!BT16,'AEP North'!BT16)</f>
        <v>423499</v>
      </c>
      <c r="BU16" s="16">
        <f>SUM(Oncor!BU16,Centerpoint!BU16,'AEP Central'!BU16,TNMP!BU16,'AEP North'!BU16)</f>
        <v>410406</v>
      </c>
      <c r="BV16" s="21">
        <f>SUM(Oncor!BV16,Centerpoint!BV16,'AEP Central'!BV16,TNMP!BV16,'AEP North'!BV16)</f>
        <v>415524</v>
      </c>
      <c r="BW16" s="16">
        <f>SUM(Oncor!BW16,Centerpoint!BW16,'AEP Central'!BW16,TNMP!BW16,'AEP North'!BW16)</f>
        <v>411850</v>
      </c>
      <c r="BX16" s="16">
        <f>SUM(Oncor!BX16,Centerpoint!BX16,'AEP Central'!BX16,TNMP!BX16,'AEP North'!BX16)</f>
        <v>409015</v>
      </c>
      <c r="BY16" s="16">
        <f>SUM(Oncor!BY16,Centerpoint!BY16,'AEP Central'!BY16,TNMP!BY16,'AEP North'!BY16)</f>
        <v>407688</v>
      </c>
      <c r="BZ16" s="16">
        <f>SUM(Oncor!BZ16,Centerpoint!BZ16,'AEP Central'!BZ16,TNMP!BZ16,'AEP North'!BZ16)</f>
        <v>405919</v>
      </c>
      <c r="CA16" s="16">
        <f>SUM(Oncor!CA16,Centerpoint!CA16,'AEP Central'!CA16,TNMP!CA16,'AEP North'!CA16)</f>
        <v>404758</v>
      </c>
      <c r="CB16" s="16">
        <f>SUM(Oncor!CB16,Centerpoint!CB16,'AEP Central'!CB16,TNMP!CB16,'AEP North'!CB16)</f>
        <v>401462</v>
      </c>
      <c r="CC16" s="69">
        <f>SUM(Oncor!CC16,Centerpoint!CC16,'AEP Central'!CC16,TNMP!CC16,'AEP North'!CC16)</f>
        <v>400040</v>
      </c>
      <c r="CD16" s="69">
        <f>SUM(Oncor!CD16,Centerpoint!CD16,'AEP Central'!CD16,TNMP!CD16,'AEP North'!CD16)</f>
        <v>394345</v>
      </c>
      <c r="CE16" s="69">
        <f>SUM(Oncor!CE16,Centerpoint!CE16,'AEP Central'!CE16,TNMP!CE16,'AEP North'!CE16)</f>
        <v>386723</v>
      </c>
      <c r="CF16" s="69">
        <f>SUM(Oncor!CF16,Centerpoint!CF16,'AEP Central'!CF16,TNMP!CF16,'AEP North'!CF16)</f>
        <v>383472</v>
      </c>
      <c r="CG16" s="69">
        <f>SUM(Oncor!CG16,Centerpoint!CG16,'AEP Central'!CG16,TNMP!CG16,'AEP North'!CG16)</f>
        <v>374046</v>
      </c>
      <c r="CH16" s="69">
        <f>SUM(Oncor!CH16,Centerpoint!CH16,'AEP Central'!CH16,TNMP!CH16,'AEP North'!CH16)</f>
        <v>371693</v>
      </c>
      <c r="CI16" s="88">
        <f>SUM(Oncor!CI16,Centerpoint!CI16,'AEP Central'!CI16,TNMP!CI16,'AEP North'!CI16)</f>
        <v>369334</v>
      </c>
      <c r="CJ16" s="69">
        <f>SUM(Oncor!CJ16,Centerpoint!CJ16,'AEP Central'!CJ16,TNMP!CJ16,'AEP North'!CJ16)</f>
        <v>366974</v>
      </c>
      <c r="CK16" s="69">
        <f>SUM(Oncor!CK16,Centerpoint!CK16,'AEP Central'!CK16,TNMP!CK16,'AEP North'!CK16)</f>
        <v>364243</v>
      </c>
      <c r="CL16" s="69">
        <f>SUM(Oncor!CL16,Centerpoint!CL16,'AEP Central'!CL16,TNMP!CL16,'AEP North'!CL16)</f>
        <v>361658</v>
      </c>
      <c r="CM16" s="69">
        <f>SUM(Oncor!CM16,Centerpoint!CM16,'AEP Central'!CM16,TNMP!CM16,'AEP North'!CM16)</f>
        <v>359015</v>
      </c>
      <c r="CN16" s="69">
        <f>SUM(Oncor!CN16,Centerpoint!CN16,'AEP Central'!CN16,TNMP!CN16,'AEP North'!CN16)</f>
        <v>357460</v>
      </c>
      <c r="CO16" s="69">
        <f>SUM(Oncor!CO16,Centerpoint!CO16,'AEP Central'!CO16,TNMP!CO16,'AEP North'!CO16)</f>
        <v>353359</v>
      </c>
      <c r="CP16" s="69">
        <f>SUM(Oncor!CP16,Centerpoint!CP16,'AEP Central'!CP16,TNMP!CP16,'AEP North'!CP16)</f>
        <v>350254</v>
      </c>
      <c r="CQ16" s="69">
        <f>SUM(Oncor!CQ16,Centerpoint!CQ16,'AEP Central'!CQ16,TNMP!CQ16,'AEP North'!CQ16)</f>
        <v>346632</v>
      </c>
      <c r="CR16" s="69">
        <f>SUM(Oncor!CR16,Centerpoint!CR16,'AEP Central'!CR16,TNMP!CR16,'AEP North'!CR16)</f>
        <v>341570</v>
      </c>
      <c r="CS16" s="69">
        <f>SUM(Oncor!CS16,Centerpoint!CS16,'AEP Central'!CS16,TNMP!CS16,'AEP North'!CS16)</f>
        <v>337538</v>
      </c>
      <c r="CT16" s="89">
        <f>SUM(Oncor!CT16,Centerpoint!CT16,'AEP Central'!CT16,TNMP!CT16,'AEP North'!CT16)</f>
        <v>334896</v>
      </c>
      <c r="CU16" s="69">
        <f>SUM(Oncor!CU16,Centerpoint!CU16,'AEP Central'!CU16,TNMP!CU16,'AEP North'!CU16)</f>
        <v>329386</v>
      </c>
      <c r="CV16" s="69">
        <f>SUM(Oncor!CV16,Centerpoint!CV16,'AEP Central'!CV16,TNMP!CV16,'AEP North'!CV16)</f>
        <v>331092</v>
      </c>
      <c r="CW16" s="69">
        <f>SUM(Oncor!CW16,Centerpoint!CW16,'AEP Central'!CW16,TNMP!CW16,'AEP North'!CW16)</f>
        <v>326803</v>
      </c>
      <c r="CX16" s="69">
        <f>SUM(Oncor!CX16,Centerpoint!CX16,'AEP Central'!CX16,TNMP!CX16,'AEP North'!CX16)</f>
        <v>327845</v>
      </c>
      <c r="CY16" s="69">
        <f>SUM(Oncor!CY16,Centerpoint!CY16,'AEP Central'!CY16,TNMP!CY16,'AEP North'!CY16)</f>
        <v>325261</v>
      </c>
      <c r="CZ16" s="69">
        <f>SUM(Oncor!CZ16,Centerpoint!CZ16,'AEP Central'!CZ16,TNMP!CZ16,'AEP North'!CZ16)</f>
        <v>322332</v>
      </c>
      <c r="DA16" s="69">
        <f>SUM(Oncor!DA16,Centerpoint!DA16,'AEP Central'!DA16,TNMP!DA16,'AEP North'!DA16)</f>
        <v>317406</v>
      </c>
      <c r="DB16" s="69">
        <f>SUM(Oncor!DB16,Centerpoint!DB16,'AEP Central'!DB16,TNMP!DB16,'AEP North'!DB16)</f>
        <v>313286</v>
      </c>
      <c r="DC16" s="69">
        <f>SUM(Oncor!DC16,Centerpoint!DC16,'AEP Central'!DC16,TNMP!DC16,'AEP North'!DC16)</f>
        <v>312683</v>
      </c>
      <c r="DD16" s="69">
        <f>SUM(Oncor!DD16,Centerpoint!DD16,'AEP Central'!DD16,TNMP!DD16,'AEP North'!DD16)</f>
        <v>308054</v>
      </c>
      <c r="DE16" s="69">
        <f>SUM(Oncor!DE16,Centerpoint!DE16,'AEP Central'!DE16,TNMP!DE16,'AEP North'!DE16)</f>
        <v>304802</v>
      </c>
      <c r="DF16" s="89">
        <f>SUM(Oncor!DF16,Centerpoint!DF16,'AEP Central'!DF16,TNMP!DF16,'AEP North'!DF16)</f>
        <v>302956</v>
      </c>
      <c r="DG16" s="69">
        <f>SUM(Oncor!DG16,Centerpoint!DG16,'AEP Central'!DG16,TNMP!DG16,'AEP North'!DG16)</f>
        <v>299169</v>
      </c>
      <c r="DH16" s="69">
        <f>SUM(Oncor!DH16,Centerpoint!DH16,'AEP Central'!DH16,TNMP!DH16,'AEP North'!DH16)</f>
        <v>299512</v>
      </c>
      <c r="DI16" s="69">
        <f>SUM(Oncor!DI16,Centerpoint!DI16,'AEP Central'!DI16,TNMP!DI16,'AEP North'!DI16)</f>
        <v>297666</v>
      </c>
      <c r="DJ16" s="69">
        <f>SUM(Oncor!DJ16,Centerpoint!DJ16,'AEP Central'!DJ16,TNMP!DJ16,'AEP North'!DJ16)</f>
        <v>294242</v>
      </c>
      <c r="DK16" s="69">
        <f>SUM(Oncor!DK16,Centerpoint!DK16,'AEP Central'!DK16,TNMP!DK16,'AEP North'!DK16)</f>
        <v>290706</v>
      </c>
      <c r="DL16" s="69">
        <f>SUM(Oncor!DL16,Centerpoint!DL16,'AEP Central'!DL16,TNMP!DL16,'AEP North'!DL16)</f>
        <v>291334</v>
      </c>
      <c r="DM16" s="69">
        <f>SUM(Oncor!DM16,Centerpoint!DM16,'AEP Central'!DM16,TNMP!DM16,'AEP North'!DM16)</f>
        <v>274351</v>
      </c>
      <c r="DN16" s="69">
        <f>SUM(Oncor!DN16,Centerpoint!DN16,'AEP Central'!DN16,TNMP!DN16,'AEP North'!DN16)</f>
        <v>287421</v>
      </c>
      <c r="DO16" s="69">
        <f>SUM(Oncor!DO16,Centerpoint!DO16,'AEP Central'!DO16,TNMP!DO16,'AEP North'!DO16)</f>
        <v>284335</v>
      </c>
      <c r="DP16" s="69">
        <f>SUM(Oncor!DP16,Centerpoint!DP16,'AEP Central'!DP16,TNMP!DP16,'AEP North'!DP16)</f>
        <v>281433</v>
      </c>
      <c r="DQ16" s="69">
        <f>SUM(Oncor!DQ16,Centerpoint!DQ16,'AEP Central'!DQ16,TNMP!DQ16,'AEP North'!DQ16)</f>
        <v>280416</v>
      </c>
      <c r="DR16" s="69">
        <f>SUM(Oncor!DR16,Centerpoint!DR16,'AEP Central'!DR16,TNMP!DR16,'AEP North'!DR16)</f>
        <v>275435</v>
      </c>
      <c r="DS16" s="69">
        <f>SUM(Oncor!DS16,Centerpoint!DS16,'AEP Central'!DS16,TNMP!DS16,'AEP North'!DS16)</f>
        <v>274761</v>
      </c>
      <c r="DT16" s="69">
        <f>SUM(Oncor!DT16,Centerpoint!DT16,'AEP Central'!DT16,TNMP!DT16,'AEP North'!DT16)</f>
        <v>276177</v>
      </c>
      <c r="DU16" s="69">
        <f>SUM(Oncor!DU16,Centerpoint!DU16,'AEP Central'!DU16,TNMP!DU16,'AEP North'!DU16)</f>
        <v>277822</v>
      </c>
      <c r="DV16" s="69">
        <f>SUM(Oncor!DV16,Centerpoint!DV16,'AEP Central'!DV16,TNMP!DV16,'AEP North'!DV16)</f>
        <v>277594</v>
      </c>
      <c r="DW16" s="69">
        <f>SUM(Oncor!DW16,Centerpoint!DW16,'AEP Central'!DW16,TNMP!DW16,'AEP North'!DW16)</f>
        <v>276383</v>
      </c>
      <c r="DX16" s="69">
        <f>SUM(Oncor!DX16,Centerpoint!DX16,'AEP Central'!DX16,TNMP!DX16,'AEP North'!DX16)</f>
        <v>270522</v>
      </c>
      <c r="DY16" s="69">
        <f>SUM(Oncor!DY16,Centerpoint!DY16,'AEP Central'!DY16,TNMP!DY16,'AEP North'!DY16)</f>
        <v>274645</v>
      </c>
      <c r="DZ16" s="69">
        <f>SUM(Oncor!DZ16,Centerpoint!DZ16,'AEP Central'!DZ16,TNMP!DZ16,'AEP North'!DZ16)</f>
        <v>278561</v>
      </c>
      <c r="EA16" s="69">
        <f>SUM(Oncor!EA16,Centerpoint!EA16,'AEP Central'!EA16,TNMP!EA16,'AEP North'!EA16)</f>
        <v>278326</v>
      </c>
      <c r="EB16" s="69">
        <f>SUM(Oncor!EB16,Centerpoint!EB16,'AEP Central'!EB16,TNMP!EB16,'AEP North'!EB16)</f>
        <v>277494</v>
      </c>
      <c r="EC16" s="69">
        <f>SUM(Oncor!EC16,Centerpoint!EC16,'AEP Central'!EC16,TNMP!EC16,'AEP North'!EC16)</f>
        <v>276084</v>
      </c>
      <c r="ED16" s="69">
        <f>SUM(Oncor!ED16,Centerpoint!ED16,'AEP Central'!ED16,TNMP!ED16,'AEP North'!ED16)</f>
        <v>276308</v>
      </c>
      <c r="EE16" s="69">
        <f>SUM(Oncor!EE16,Centerpoint!EE16,'AEP Central'!EE16,TNMP!EE16,'AEP North'!EE16)</f>
        <v>275761</v>
      </c>
      <c r="EF16" s="69">
        <f>SUM(Oncor!EF16,Centerpoint!EF16,'AEP Central'!EF16,TNMP!EF16,'AEP North'!EF16)</f>
        <v>275338</v>
      </c>
      <c r="EG16" s="69">
        <f>SUM(Oncor!EG16,Centerpoint!EG16,'AEP Central'!EG16,TNMP!EG16,'AEP North'!EG16)</f>
        <v>275080</v>
      </c>
      <c r="EH16" s="69">
        <f>SUM(Oncor!EH16,Centerpoint!EH16,'AEP Central'!EH16,TNMP!EH16,'AEP North'!EH16)</f>
        <v>274685</v>
      </c>
      <c r="EI16" s="69">
        <f>SUM(Oncor!EI16,Centerpoint!EI16,'AEP Central'!EI16,TNMP!EI16,'AEP North'!EI16)</f>
        <v>274291</v>
      </c>
      <c r="EJ16" s="69">
        <f>SUM(Oncor!EJ16,Centerpoint!EJ16,'AEP Central'!EJ16,TNMP!EJ16,'AEP North'!EJ16)</f>
        <v>273948</v>
      </c>
      <c r="EK16" s="69">
        <f>SUM(Oncor!EK16,Centerpoint!EK16,'AEP Central'!EK16,TNMP!EK16,'AEP North'!EK16)</f>
        <v>273679</v>
      </c>
      <c r="EL16" s="69">
        <f>SUM(Oncor!EL16,Centerpoint!EL16,'AEP Central'!EL16,TNMP!EL16,'AEP North'!EL16)</f>
        <v>273276</v>
      </c>
      <c r="EM16" s="69">
        <f>SUM(Oncor!EM16,Centerpoint!EM16,'AEP Central'!EM16,TNMP!EM16,'AEP North'!EM16)</f>
        <v>272026</v>
      </c>
      <c r="EN16" s="69">
        <f>SUM(Oncor!EN16,Centerpoint!EN16,'AEP Central'!EN16,TNMP!EN16,'AEP North'!EN16)</f>
        <v>271435</v>
      </c>
      <c r="EO16" s="69">
        <f>SUM(Oncor!EO16,Centerpoint!EO16,'AEP Central'!EO16,TNMP!EO16,'AEP North'!EO16)</f>
        <v>270549</v>
      </c>
      <c r="EP16" s="69">
        <f>SUM(Oncor!EP16,Centerpoint!EP16,'AEP Central'!EP16,TNMP!EP16,'AEP North'!EP16)</f>
        <v>269616</v>
      </c>
      <c r="EQ16" s="69">
        <f>SUM(Oncor!EQ16,Centerpoint!EQ16,'AEP Central'!EQ16,TNMP!EQ16,'AEP North'!EQ16)</f>
        <v>267613</v>
      </c>
      <c r="ER16" s="69">
        <f>SUM(Oncor!ER16,Centerpoint!ER16,'AEP Central'!ER16,TNMP!ER16,'AEP North'!ER16)</f>
        <v>263130</v>
      </c>
      <c r="ES16" s="69">
        <f>SUM(Oncor!ES16,Centerpoint!ES16,'AEP Central'!ES16,TNMP!ES16,'AEP North'!ES16)</f>
        <v>260038</v>
      </c>
      <c r="ET16" s="69">
        <f>SUM(Oncor!ET16,Centerpoint!ET16,'AEP Central'!ET16,TNMP!ET16,'AEP North'!ET16)</f>
        <v>260268</v>
      </c>
      <c r="EU16" s="69">
        <f>SUM(Oncor!EU16,Centerpoint!EU16,'AEP Central'!EU16,TNMP!EU16,'AEP North'!EU16)</f>
        <v>260987</v>
      </c>
      <c r="EV16" s="69">
        <f>SUM(Oncor!EV16,Centerpoint!EV16,'AEP Central'!EV16,TNMP!EV16,'AEP North'!EV16)</f>
        <v>261546</v>
      </c>
      <c r="EW16" s="69">
        <f>SUM(Oncor!EW16,Centerpoint!EW16,'AEP Central'!EW16,TNMP!EW16,'AEP North'!EW16)</f>
        <v>261138</v>
      </c>
      <c r="EX16" s="69">
        <f>SUM(Oncor!EX16,Centerpoint!EX16,'AEP Central'!EX16,TNMP!EX16,'AEP North'!EX16)</f>
        <v>261102</v>
      </c>
      <c r="EY16" s="69">
        <f>SUM(Oncor!EY16,Centerpoint!EY16,'AEP Central'!EY16,TNMP!EY16,'AEP North'!EY16)</f>
        <v>260848</v>
      </c>
      <c r="EZ16" s="69">
        <f>SUM(Oncor!EZ16,Centerpoint!EZ16,'AEP Central'!EZ16,TNMP!EZ16,'AEP North'!EZ16)</f>
        <v>260711</v>
      </c>
      <c r="FA16" s="69">
        <f>SUM(Oncor!FA16,Centerpoint!FA16,'AEP Central'!FA16,TNMP!FA16,'AEP North'!FA16)</f>
        <v>260367</v>
      </c>
      <c r="FB16" s="69">
        <f>SUM(Oncor!FB16,Centerpoint!FB16,'AEP Central'!FB16,TNMP!FB16,'AEP North'!FB16)</f>
        <v>259732</v>
      </c>
      <c r="FC16" s="69">
        <f>SUM(Oncor!FC16,Centerpoint!FC16,'AEP Central'!FC16,TNMP!FC16,'AEP North'!FC16)</f>
        <v>259342</v>
      </c>
      <c r="FD16" s="69">
        <f>SUM(Oncor!FD16,Centerpoint!FD16,'AEP Central'!FD16,TNMP!FD16,'AEP North'!FD16)</f>
        <v>262728</v>
      </c>
      <c r="FE16" s="69">
        <f>SUM(Oncor!FE16,Centerpoint!FE16,'AEP Central'!FE16,TNMP!FE16,'AEP North'!FE16)</f>
        <v>262710</v>
      </c>
      <c r="FF16" s="69">
        <f>SUM(Oncor!FF16,Centerpoint!FF16,'AEP Central'!FF16,TNMP!FF16,'AEP North'!FF16)</f>
        <v>263017</v>
      </c>
      <c r="FG16" s="69">
        <f>SUM(Oncor!FG16,Centerpoint!FG16,'AEP Central'!FG16,TNMP!FG16,'AEP North'!FG16)</f>
        <v>262930</v>
      </c>
      <c r="FH16" s="69">
        <f>SUM(Oncor!FH16,Centerpoint!FH16,'AEP Central'!FH16,TNMP!FH16,'AEP North'!FH16)</f>
        <v>260606</v>
      </c>
      <c r="FI16" s="69">
        <f>SUM(Oncor!FI16,Centerpoint!FI16,'AEP Central'!FI16,TNMP!FI16,'AEP North'!FI16)</f>
        <v>256945</v>
      </c>
      <c r="FJ16" s="69">
        <f>SUM(Oncor!FJ16,Centerpoint!FJ16,'AEP Central'!FJ16,TNMP!FJ16,'AEP North'!FJ16)</f>
        <v>253006</v>
      </c>
      <c r="FK16" s="69">
        <f>SUM(Oncor!FK16,Centerpoint!FK16,'AEP Central'!FK16,TNMP!FK16,'AEP North'!FK16)</f>
        <v>251843</v>
      </c>
      <c r="FL16" s="69">
        <f>SUM(Oncor!FL16,Centerpoint!FL16,'AEP Central'!FL16,TNMP!FL16,'AEP North'!FL16,'[1]Sharyland Utilities LP McAllen'!FL16, 'Sharyland Utilities LP McAllen'!FL16)</f>
        <v>251170</v>
      </c>
      <c r="FM16" s="69">
        <f>SUM(Oncor!FM16,Centerpoint!FM16,'AEP Central'!FM16,TNMP!FM16,'AEP North'!FM16,'[1]Sharyland Utilities LP McAllen'!FM16, 'Sharyland Utilities LP McAllen'!FM16)</f>
        <v>250287</v>
      </c>
      <c r="FN16" s="69">
        <f>SUM(Oncor!FN16,Centerpoint!FN16,'AEP Central'!FN16,TNMP!FN16,'AEP North'!FN16,'[1]Sharyland Utilities LP McAllen'!FN16, 'Sharyland Utilities LP McAllen'!FN16)</f>
        <v>249192</v>
      </c>
      <c r="FO16" s="69">
        <f>SUM(Oncor!FO16,Centerpoint!FO16,'AEP Central'!FO16,TNMP!FO16,'AEP North'!FO16,'[1]Sharyland Utilities LP McAllen'!FO16, 'Sharyland Utilities LP McAllen'!FO16)</f>
        <v>247822</v>
      </c>
      <c r="FP16" s="69">
        <f>SUM(Oncor!FP16,Centerpoint!FP16,'AEP Central'!FP16,TNMP!FP16,'AEP North'!FP16,'[1]Sharyland Utilities LP McAllen'!FP16, 'Sharyland Utilities LP McAllen'!FP16)</f>
        <v>241750</v>
      </c>
      <c r="FQ16" s="69">
        <f>SUM(Oncor!FQ16,Centerpoint!FQ16,'AEP Central'!FQ16,TNMP!FQ16,'AEP North'!FQ16,'[1]Sharyland Utilities LP McAllen'!FQ16, 'Sharyland Utilities LP McAllen'!FQ16)</f>
        <v>239996</v>
      </c>
      <c r="FR16" s="69">
        <f>SUM(Oncor!FR16,Centerpoint!FR16,'AEP Central'!FR16,TNMP!FR16,'AEP North'!FR16,'[1]Sharyland Utilities LP McAllen'!FR16, 'Sharyland Utilities LP McAllen'!FR16)</f>
        <v>239830</v>
      </c>
      <c r="FS16" s="69">
        <f>SUM(Oncor!FS16,Centerpoint!FS16,'AEP Central'!FS16,TNMP!FS16,'AEP North'!FS16,'[1]Sharyland Utilities LP McAllen'!FS16, 'Sharyland Utilities LP McAllen'!FS16)</f>
        <v>238695</v>
      </c>
      <c r="FT16" s="69">
        <f>SUM(Oncor!FT16,Centerpoint!FT16,'AEP Central'!FT16,TNMP!FT16,'AEP North'!FT16,'[1]Sharyland Utilities LP McAllen'!FT16, 'Sharyland Utilities LP McAllen'!FT16)</f>
        <v>238755</v>
      </c>
    </row>
    <row r="17" spans="1:176" ht="13.8" thickBot="1" x14ac:dyDescent="0.3">
      <c r="B17" s="5" t="s">
        <v>8</v>
      </c>
      <c r="C17" s="76">
        <f>SUM(Oncor!C17,Centerpoint!C17,'AEP Central'!C17,TNMP!C17,'AEP North'!C17)</f>
        <v>10123</v>
      </c>
      <c r="D17" s="17">
        <f>SUM(Oncor!D17,Centerpoint!D17,'AEP Central'!D17,TNMP!D17,'AEP North'!D17)</f>
        <v>25555</v>
      </c>
      <c r="E17" s="17">
        <f>SUM(Oncor!E17,Centerpoint!E17,'AEP Central'!E17,TNMP!E17,'AEP North'!E17)</f>
        <v>38001</v>
      </c>
      <c r="F17" s="17">
        <f>SUM(Oncor!F17,Centerpoint!F17,'AEP Central'!F17,TNMP!F17,'AEP North'!F17)</f>
        <v>42479</v>
      </c>
      <c r="G17" s="17">
        <f>SUM(Oncor!G17,Centerpoint!G17,'AEP Central'!G17,TNMP!G17,'AEP North'!G17)</f>
        <v>47340</v>
      </c>
      <c r="H17" s="17">
        <f>SUM(Oncor!H17,Centerpoint!H17,'AEP Central'!H17,TNMP!H17,'AEP North'!H17)</f>
        <v>54319</v>
      </c>
      <c r="I17" s="17">
        <f>SUM(Oncor!I17,Centerpoint!I17,'AEP Central'!I17,TNMP!I17,'AEP North'!I17)</f>
        <v>55798</v>
      </c>
      <c r="J17" s="17">
        <f>SUM(Oncor!J17,Centerpoint!J17,'AEP Central'!J17,TNMP!J17,'AEP North'!J17)</f>
        <v>68274</v>
      </c>
      <c r="K17" s="17">
        <f>SUM(Oncor!K17,Centerpoint!K17,'AEP Central'!K17,TNMP!K17,'AEP North'!K17)</f>
        <v>71832</v>
      </c>
      <c r="L17" s="17">
        <f>SUM(Oncor!L17,Centerpoint!L17,'AEP Central'!L17,TNMP!L17,'AEP North'!L17)</f>
        <v>78393</v>
      </c>
      <c r="M17" s="17">
        <f>SUM(Oncor!M17,Centerpoint!M17,'AEP Central'!M17,TNMP!M17,'AEP North'!M17)</f>
        <v>82626</v>
      </c>
      <c r="N17" s="17">
        <f>SUM(Oncor!N17,Centerpoint!N17,'AEP Central'!N17,TNMP!N17,'AEP North'!N17)</f>
        <v>87011</v>
      </c>
      <c r="O17" s="134">
        <f>SUM(Oncor!O17,Centerpoint!O17,'AEP Central'!O17,TNMP!O17,'AEP North'!O17)</f>
        <v>95375</v>
      </c>
      <c r="P17" s="17">
        <f>SUM(Oncor!P17,Centerpoint!P17,'AEP Central'!P17,TNMP!P17,'AEP North'!P17)</f>
        <v>98870</v>
      </c>
      <c r="Q17" s="17">
        <f>SUM(Oncor!Q17,Centerpoint!Q17,'AEP Central'!Q17,TNMP!Q17,'AEP North'!Q17)</f>
        <v>103845</v>
      </c>
      <c r="R17" s="17">
        <f>SUM(Oncor!R17,Centerpoint!R17,'AEP Central'!R17,TNMP!R17,'AEP North'!R17)</f>
        <v>104101</v>
      </c>
      <c r="S17" s="17">
        <f>SUM(Oncor!S17,Centerpoint!S17,'AEP Central'!S17,TNMP!S17,'AEP North'!S17)</f>
        <v>108109</v>
      </c>
      <c r="T17" s="17">
        <f>SUM(Oncor!T17,Centerpoint!T17,'AEP Central'!T17,TNMP!T17,'AEP North'!T17)</f>
        <v>113823</v>
      </c>
      <c r="U17" s="17">
        <f>SUM(Oncor!U17,Centerpoint!U17,'AEP Central'!U17,TNMP!U17,'AEP North'!U17)</f>
        <v>119113</v>
      </c>
      <c r="V17" s="17">
        <f>SUM(Oncor!V17,Centerpoint!V17,'AEP Central'!V17,TNMP!V17,'AEP North'!V17)</f>
        <v>122584</v>
      </c>
      <c r="W17" s="17">
        <f>SUM(Oncor!W17,Centerpoint!W17,'AEP Central'!W17,TNMP!W17,'AEP North'!W17)</f>
        <v>125695</v>
      </c>
      <c r="X17" s="17">
        <f>SUM(Oncor!X17,Centerpoint!X17,'AEP Central'!X17,TNMP!X17,'AEP North'!X17)</f>
        <v>133585</v>
      </c>
      <c r="Y17" s="17">
        <f>SUM(Oncor!Y17,Centerpoint!Y17,'AEP Central'!Y17,TNMP!Y17,'AEP North'!Y17)</f>
        <v>132617</v>
      </c>
      <c r="Z17" s="148">
        <f>SUM(Oncor!Z17,Centerpoint!Z17,'AEP Central'!Z17,TNMP!Z17,'AEP North'!Z17)</f>
        <v>145415</v>
      </c>
      <c r="AA17" s="134">
        <f>SUM(Oncor!AA17,Centerpoint!AA17,'AEP Central'!AA17,TNMP!AA17,'AEP North'!AA17)</f>
        <v>147398</v>
      </c>
      <c r="AB17" s="17">
        <f>SUM(Oncor!AB17,Centerpoint!AB17,'AEP Central'!AB17,TNMP!AB17,'AEP North'!AB17)</f>
        <v>149004</v>
      </c>
      <c r="AC17" s="17">
        <f>SUM(Oncor!AC17,Centerpoint!AC17,'AEP Central'!AC17,TNMP!AC17,'AEP North'!AC17)</f>
        <v>160358</v>
      </c>
      <c r="AD17" s="17">
        <f>SUM(Oncor!AD17,Centerpoint!AD17,'AEP Central'!AD17,TNMP!AD17,'AEP North'!AD17)</f>
        <v>158922</v>
      </c>
      <c r="AE17" s="17">
        <f>SUM(Oncor!AE17,Centerpoint!AE17,'AEP Central'!AE17,TNMP!AE17,'AEP North'!AE17)</f>
        <v>161065</v>
      </c>
      <c r="AF17" s="17">
        <f>SUM(Oncor!AF17,Centerpoint!AF17,'AEP Central'!AF17,TNMP!AF17,'AEP North'!AF17)</f>
        <v>171679</v>
      </c>
      <c r="AG17" s="17">
        <f>SUM(Oncor!AG17,Centerpoint!AG17,'AEP Central'!AG17,TNMP!AG17,'AEP North'!AG17)</f>
        <v>176985</v>
      </c>
      <c r="AH17" s="17">
        <f>SUM(Oncor!AH17,Centerpoint!AH17,'AEP Central'!AH17,TNMP!AH17,'AEP North'!AH17)</f>
        <v>186240</v>
      </c>
      <c r="AI17" s="17">
        <f>SUM(Oncor!AI17,Centerpoint!AI17,'AEP Central'!AI17,TNMP!AI17,'AEP North'!AI17)</f>
        <v>191365</v>
      </c>
      <c r="AJ17" s="17">
        <f>SUM(Oncor!AJ17,Centerpoint!AJ17,'AEP Central'!AJ17,TNMP!AJ17,'AEP North'!AJ17)</f>
        <v>197328</v>
      </c>
      <c r="AK17" s="17">
        <f>SUM(Oncor!AK17,Centerpoint!AK17,'AEP Central'!AK17,TNMP!AK17,'AEP North'!AK17)</f>
        <v>201648</v>
      </c>
      <c r="AL17" s="148">
        <f>SUM(Oncor!AL17,Centerpoint!AL17,'AEP Central'!AL17,TNMP!AL17,'AEP North'!AL17)</f>
        <v>205085</v>
      </c>
      <c r="AM17" s="17">
        <f>SUM(Oncor!AM17,Centerpoint!AM17,'AEP Central'!AM17,TNMP!AM17,'AEP North'!AM17)</f>
        <v>216902</v>
      </c>
      <c r="AN17" s="17">
        <f>SUM(Oncor!AN17,Centerpoint!AN17,'AEP Central'!AN17,TNMP!AN17,'AEP North'!AN17)</f>
        <v>214647</v>
      </c>
      <c r="AO17" s="17">
        <f>SUM(Oncor!AO17,Centerpoint!AO17,'AEP Central'!AO17,TNMP!AO17,'AEP North'!AO17)</f>
        <v>223765</v>
      </c>
      <c r="AP17" s="17">
        <f>SUM(Oncor!AP17,Centerpoint!AP17,'AEP Central'!AP17,TNMP!AP17,'AEP North'!AP17)</f>
        <v>234972</v>
      </c>
      <c r="AQ17" s="17">
        <f>SUM(Oncor!AQ17,Centerpoint!AQ17,'AEP Central'!AQ17,TNMP!AQ17,'AEP North'!AQ17)</f>
        <v>241624</v>
      </c>
      <c r="AR17" s="17">
        <f>SUM(Oncor!AR17,Centerpoint!AR17,'AEP Central'!AR17,TNMP!AR17,'AEP North'!AR17)</f>
        <v>253085</v>
      </c>
      <c r="AS17" s="17">
        <f>SUM(Oncor!AS17,Centerpoint!AS17,'AEP Central'!AS17,TNMP!AS17,'AEP North'!AS17)</f>
        <v>255586</v>
      </c>
      <c r="AT17" s="17">
        <f>SUM(Oncor!AT17,Centerpoint!AT17,'AEP Central'!AT17,TNMP!AT17,'AEP North'!AT17)</f>
        <v>269717</v>
      </c>
      <c r="AU17" s="17">
        <f>SUM(Oncor!AU17,Centerpoint!AU17,'AEP Central'!AU17,TNMP!AU17,'AEP North'!AU17)</f>
        <v>270276</v>
      </c>
      <c r="AV17" s="17">
        <f>SUM(Oncor!AV17,Centerpoint!AV17,'AEP Central'!AV17,TNMP!AV17,'AEP North'!AV17)</f>
        <v>272983</v>
      </c>
      <c r="AW17" s="17">
        <f>SUM(Oncor!AW17,Centerpoint!AW17,'AEP Central'!AW17,TNMP!AW17,'AEP North'!AW17)</f>
        <v>273399</v>
      </c>
      <c r="AX17" s="22">
        <f>SUM(Oncor!AX17,Centerpoint!AX17,'AEP Central'!AX17,TNMP!AX17,'AEP North'!AX17)</f>
        <v>278262</v>
      </c>
      <c r="AY17" s="17">
        <f>SUM(Oncor!AY17,Centerpoint!AY17,'AEP Central'!AY17,TNMP!AY17,'AEP North'!AY17)</f>
        <v>283962</v>
      </c>
      <c r="AZ17" s="17">
        <f>SUM(Oncor!AZ17,Centerpoint!AZ17,'AEP Central'!AZ17,TNMP!AZ17,'AEP North'!AZ17)</f>
        <v>281263</v>
      </c>
      <c r="BA17" s="17">
        <f>SUM(Oncor!BA17,Centerpoint!BA17,'AEP Central'!BA17,TNMP!BA17,'AEP North'!BA17)</f>
        <v>296602</v>
      </c>
      <c r="BB17" s="17">
        <f>SUM(Oncor!BB17,Centerpoint!BB17,'AEP Central'!BB17,TNMP!BB17,'AEP North'!BB17)</f>
        <v>290495</v>
      </c>
      <c r="BC17" s="17">
        <f>SUM(Oncor!BC17,Centerpoint!BC17,'AEP Central'!BC17,TNMP!BC17,'AEP North'!BC17)</f>
        <v>303861</v>
      </c>
      <c r="BD17" s="17">
        <f>SUM(Oncor!BD17,Centerpoint!BD17,'AEP Central'!BD17,TNMP!BD17,'AEP North'!BD17)</f>
        <v>308008</v>
      </c>
      <c r="BE17" s="17">
        <f>SUM(Oncor!BE17,Centerpoint!BE17,'AEP Central'!BE17,TNMP!BE17,'AEP North'!BE17)</f>
        <v>306717</v>
      </c>
      <c r="BF17" s="17">
        <f>SUM(Oncor!BF17,Centerpoint!BF17,'AEP Central'!BF17,TNMP!BF17,'AEP North'!BF17)</f>
        <v>319140</v>
      </c>
      <c r="BG17" s="17">
        <f>SUM(Oncor!BG17,Centerpoint!BG17,'AEP Central'!BG17,TNMP!BG17,'AEP North'!BG17)</f>
        <v>319484</v>
      </c>
      <c r="BH17" s="17">
        <f>SUM(Oncor!BH17,Centerpoint!BH17,'AEP Central'!BH17,TNMP!BH17,'AEP North'!BH17)</f>
        <v>331214</v>
      </c>
      <c r="BI17" s="17">
        <f>SUM(Oncor!BI17,Centerpoint!BI17,'AEP Central'!BI17,TNMP!BI17,'AEP North'!BI17)</f>
        <v>332962</v>
      </c>
      <c r="BJ17" s="22">
        <f>SUM(Oncor!BJ17,Centerpoint!BJ17,'AEP Central'!BJ17,TNMP!BJ17,'AEP North'!BJ17)</f>
        <v>332862</v>
      </c>
      <c r="BK17" s="17">
        <f>SUM(Oncor!BK17,Centerpoint!BK17,'AEP Central'!BK17,TNMP!BK17,'AEP North'!BK17)</f>
        <v>349292</v>
      </c>
      <c r="BL17" s="17">
        <f>SUM(Oncor!BL17,Centerpoint!BL17,'AEP Central'!BL17,TNMP!BL17,'AEP North'!BL17)</f>
        <v>352873</v>
      </c>
      <c r="BM17" s="17">
        <f>SUM(Oncor!BM17,Centerpoint!BM17,'AEP Central'!BM17,TNMP!BM17,'AEP North'!BM17)</f>
        <v>367095</v>
      </c>
      <c r="BN17" s="17">
        <f>SUM(Oncor!BN17,Centerpoint!BN17,'AEP Central'!BN17,TNMP!BN17,'AEP North'!BN17)</f>
        <v>363033</v>
      </c>
      <c r="BO17" s="17">
        <f>SUM(Oncor!BO17,Centerpoint!BO17,'AEP Central'!BO17,TNMP!BO17,'AEP North'!BO17)</f>
        <v>376193</v>
      </c>
      <c r="BP17" s="17">
        <f>SUM(Oncor!BP17,Centerpoint!BP17,'AEP Central'!BP17,TNMP!BP17,'AEP North'!BP17)</f>
        <v>376399</v>
      </c>
      <c r="BQ17" s="17">
        <f>SUM(Oncor!BQ17,Centerpoint!BQ17,'AEP Central'!BQ17,TNMP!BQ17,'AEP North'!BQ17)</f>
        <v>381725</v>
      </c>
      <c r="BR17" s="17">
        <f>SUM(Oncor!BR17,Centerpoint!BR17,'AEP Central'!BR17,TNMP!BR17,'AEP North'!BR17)</f>
        <v>391681</v>
      </c>
      <c r="BS17" s="17">
        <f>SUM(Oncor!BS17,Centerpoint!BS17,'AEP Central'!BS17,TNMP!BS17,'AEP North'!BS17)</f>
        <v>381924</v>
      </c>
      <c r="BT17" s="17">
        <f>SUM(Oncor!BT17,Centerpoint!BT17,'AEP Central'!BT17,TNMP!BT17,'AEP North'!BT17)</f>
        <v>394349</v>
      </c>
      <c r="BU17" s="17">
        <f>SUM(Oncor!BU17,Centerpoint!BU17,'AEP Central'!BU17,TNMP!BU17,'AEP North'!BU17)</f>
        <v>397673</v>
      </c>
      <c r="BV17" s="22">
        <f>SUM(Oncor!BV17,Centerpoint!BV17,'AEP Central'!BV17,TNMP!BV17,'AEP North'!BV17)</f>
        <v>402098</v>
      </c>
      <c r="BW17" s="17">
        <f>SUM(Oncor!BW17,Centerpoint!BW17,'AEP Central'!BW17,TNMP!BW17,'AEP North'!BW17)</f>
        <v>405002</v>
      </c>
      <c r="BX17" s="17">
        <f>SUM(Oncor!BX17,Centerpoint!BX17,'AEP Central'!BX17,TNMP!BX17,'AEP North'!BX17)</f>
        <v>407566</v>
      </c>
      <c r="BY17" s="17">
        <f>SUM(Oncor!BY17,Centerpoint!BY17,'AEP Central'!BY17,TNMP!BY17,'AEP North'!BY17)</f>
        <v>410415</v>
      </c>
      <c r="BZ17" s="17">
        <f>SUM(Oncor!BZ17,Centerpoint!BZ17,'AEP Central'!BZ17,TNMP!BZ17,'AEP North'!BZ17)</f>
        <v>413157</v>
      </c>
      <c r="CA17" s="17">
        <f>SUM(Oncor!CA17,Centerpoint!CA17,'AEP Central'!CA17,TNMP!CA17,'AEP North'!CA17)</f>
        <v>416231</v>
      </c>
      <c r="CB17" s="17">
        <f>SUM(Oncor!CB17,Centerpoint!CB17,'AEP Central'!CB17,TNMP!CB17,'AEP North'!CB17)</f>
        <v>420776</v>
      </c>
      <c r="CC17" s="92">
        <f>SUM(Oncor!CC17,Centerpoint!CC17,'AEP Central'!CC17,TNMP!CC17,'AEP North'!CC17)</f>
        <v>421994</v>
      </c>
      <c r="CD17" s="92">
        <f>SUM(Oncor!CD17,Centerpoint!CD17,'AEP Central'!CD17,TNMP!CD17,'AEP North'!CD17)</f>
        <v>428751</v>
      </c>
      <c r="CE17" s="92">
        <f>SUM(Oncor!CE17,Centerpoint!CE17,'AEP Central'!CE17,TNMP!CE17,'AEP North'!CE17)</f>
        <v>433946</v>
      </c>
      <c r="CF17" s="92">
        <f>SUM(Oncor!CF17,Centerpoint!CF17,'AEP Central'!CF17,TNMP!CF17,'AEP North'!CF17)</f>
        <v>436051</v>
      </c>
      <c r="CG17" s="92">
        <f>SUM(Oncor!CG17,Centerpoint!CG17,'AEP Central'!CG17,TNMP!CG17,'AEP North'!CG17)</f>
        <v>434496</v>
      </c>
      <c r="CH17" s="92">
        <f>SUM(Oncor!CH17,Centerpoint!CH17,'AEP Central'!CH17,TNMP!CH17,'AEP North'!CH17)</f>
        <v>445302</v>
      </c>
      <c r="CI17" s="91">
        <f>SUM(Oncor!CI17,Centerpoint!CI17,'AEP Central'!CI17,TNMP!CI17,'AEP North'!CI17)</f>
        <v>455209</v>
      </c>
      <c r="CJ17" s="92">
        <f>SUM(Oncor!CJ17,Centerpoint!CJ17,'AEP Central'!CJ17,TNMP!CJ17,'AEP North'!CJ17)</f>
        <v>451301</v>
      </c>
      <c r="CK17" s="92">
        <f>SUM(Oncor!CK17,Centerpoint!CK17,'AEP Central'!CK17,TNMP!CK17,'AEP North'!CK17)</f>
        <v>453632</v>
      </c>
      <c r="CL17" s="92">
        <f>SUM(Oncor!CL17,Centerpoint!CL17,'AEP Central'!CL17,TNMP!CL17,'AEP North'!CL17)</f>
        <v>457752</v>
      </c>
      <c r="CM17" s="92">
        <f>SUM(Oncor!CM17,Centerpoint!CM17,'AEP Central'!CM17,TNMP!CM17,'AEP North'!CM17)</f>
        <v>462367</v>
      </c>
      <c r="CN17" s="92">
        <f>SUM(Oncor!CN17,Centerpoint!CN17,'AEP Central'!CN17,TNMP!CN17,'AEP North'!CN17)</f>
        <v>464521</v>
      </c>
      <c r="CO17" s="92">
        <f>SUM(Oncor!CO17,Centerpoint!CO17,'AEP Central'!CO17,TNMP!CO17,'AEP North'!CO17)</f>
        <v>467261</v>
      </c>
      <c r="CP17" s="92">
        <f>SUM(Oncor!CP17,Centerpoint!CP17,'AEP Central'!CP17,TNMP!CP17,'AEP North'!CP17)</f>
        <v>471596</v>
      </c>
      <c r="CQ17" s="92">
        <f>SUM(Oncor!CQ17,Centerpoint!CQ17,'AEP Central'!CQ17,TNMP!CQ17,'AEP North'!CQ17)</f>
        <v>477900</v>
      </c>
      <c r="CR17" s="92">
        <f>SUM(Oncor!CR17,Centerpoint!CR17,'AEP Central'!CR17,TNMP!CR17,'AEP North'!CR17)</f>
        <v>482383</v>
      </c>
      <c r="CS17" s="92">
        <f>SUM(Oncor!CS17,Centerpoint!CS17,'AEP Central'!CS17,TNMP!CS17,'AEP North'!CS17)</f>
        <v>485778</v>
      </c>
      <c r="CT17" s="93">
        <f>SUM(Oncor!CT17,Centerpoint!CT17,'AEP Central'!CT17,TNMP!CT17,'AEP North'!CT17)</f>
        <v>488863</v>
      </c>
      <c r="CU17" s="92">
        <f>SUM(Oncor!CU17,Centerpoint!CU17,'AEP Central'!CU17,TNMP!CU17,'AEP North'!CU17)</f>
        <v>480495</v>
      </c>
      <c r="CV17" s="92">
        <f>SUM(Oncor!CV17,Centerpoint!CV17,'AEP Central'!CV17,TNMP!CV17,'AEP North'!CV17)</f>
        <v>492984</v>
      </c>
      <c r="CW17" s="92">
        <f>SUM(Oncor!CW17,Centerpoint!CW17,'AEP Central'!CW17,TNMP!CW17,'AEP North'!CW17)</f>
        <v>493414</v>
      </c>
      <c r="CX17" s="92">
        <f>SUM(Oncor!CX17,Centerpoint!CX17,'AEP Central'!CX17,TNMP!CX17,'AEP North'!CX17)</f>
        <v>498149</v>
      </c>
      <c r="CY17" s="92">
        <f>SUM(Oncor!CY17,Centerpoint!CY17,'AEP Central'!CY17,TNMP!CY17,'AEP North'!CY17)</f>
        <v>501154</v>
      </c>
      <c r="CZ17" s="92">
        <f>SUM(Oncor!CZ17,Centerpoint!CZ17,'AEP Central'!CZ17,TNMP!CZ17,'AEP North'!CZ17)</f>
        <v>504389</v>
      </c>
      <c r="DA17" s="92">
        <f>SUM(Oncor!DA17,Centerpoint!DA17,'AEP Central'!DA17,TNMP!DA17,'AEP North'!DA17)</f>
        <v>508754</v>
      </c>
      <c r="DB17" s="92">
        <f>SUM(Oncor!DB17,Centerpoint!DB17,'AEP Central'!DB17,TNMP!DB17,'AEP North'!DB17)</f>
        <v>507048</v>
      </c>
      <c r="DC17" s="92">
        <f>SUM(Oncor!DC17,Centerpoint!DC17,'AEP Central'!DC17,TNMP!DC17,'AEP North'!DC17)</f>
        <v>514700</v>
      </c>
      <c r="DD17" s="92">
        <f>SUM(Oncor!DD17,Centerpoint!DD17,'AEP Central'!DD17,TNMP!DD17,'AEP North'!DD17)</f>
        <v>511514</v>
      </c>
      <c r="DE17" s="92">
        <f>SUM(Oncor!DE17,Centerpoint!DE17,'AEP Central'!DE17,TNMP!DE17,'AEP North'!DE17)</f>
        <v>517589</v>
      </c>
      <c r="DF17" s="93">
        <f>SUM(Oncor!DF17,Centerpoint!DF17,'AEP Central'!DF17,TNMP!DF17,'AEP North'!DF17)</f>
        <v>524868</v>
      </c>
      <c r="DG17" s="92">
        <f>SUM(Oncor!DG17,Centerpoint!DG17,'AEP Central'!DG17,TNMP!DG17,'AEP North'!DG17)</f>
        <v>515021</v>
      </c>
      <c r="DH17" s="92">
        <f>SUM(Oncor!DH17,Centerpoint!DH17,'AEP Central'!DH17,TNMP!DH17,'AEP North'!DH17)</f>
        <v>529085</v>
      </c>
      <c r="DI17" s="92">
        <f>SUM(Oncor!DI17,Centerpoint!DI17,'AEP Central'!DI17,TNMP!DI17,'AEP North'!DI17)</f>
        <v>531819</v>
      </c>
      <c r="DJ17" s="92">
        <f>SUM(Oncor!DJ17,Centerpoint!DJ17,'AEP Central'!DJ17,TNMP!DJ17,'AEP North'!DJ17)</f>
        <v>530715</v>
      </c>
      <c r="DK17" s="69">
        <f>SUM(Oncor!DK17,Centerpoint!DK17,'AEP Central'!DK17,TNMP!DK17,'AEP North'!DK17)</f>
        <v>529157</v>
      </c>
      <c r="DL17" s="69">
        <f>SUM(Oncor!DL17,Centerpoint!DL17,'AEP Central'!DL17,TNMP!DL17,'AEP North'!DL17)</f>
        <v>546123</v>
      </c>
      <c r="DM17" s="69">
        <f>SUM(Oncor!DM17,Centerpoint!DM17,'AEP Central'!DM17,TNMP!DM17,'AEP North'!DM17)</f>
        <v>543793</v>
      </c>
      <c r="DN17" s="69">
        <f>SUM(Oncor!DN17,Centerpoint!DN17,'AEP Central'!DN17,TNMP!DN17,'AEP North'!DN17)</f>
        <v>551903</v>
      </c>
      <c r="DO17" s="69">
        <f>SUM(Oncor!DO17,Centerpoint!DO17,'AEP Central'!DO17,TNMP!DO17,'AEP North'!DO17)</f>
        <v>548474</v>
      </c>
      <c r="DP17" s="69">
        <f>SUM(Oncor!DP17,Centerpoint!DP17,'AEP Central'!DP17,TNMP!DP17,'AEP North'!DP17)</f>
        <v>547785</v>
      </c>
      <c r="DQ17" s="69">
        <f>SUM(Oncor!DQ17,Centerpoint!DQ17,'AEP Central'!DQ17,TNMP!DQ17,'AEP North'!DQ17)</f>
        <v>555662</v>
      </c>
      <c r="DR17" s="69">
        <f>SUM(Oncor!DR17,Centerpoint!DR17,'AEP Central'!DR17,TNMP!DR17,'AEP North'!DR17)</f>
        <v>547751</v>
      </c>
      <c r="DS17" s="69">
        <f>SUM(Oncor!DS17,Centerpoint!DS17,'AEP Central'!DS17,TNMP!DS17,'AEP North'!DS17)</f>
        <v>553487</v>
      </c>
      <c r="DT17" s="69">
        <f>SUM(Oncor!DT17,Centerpoint!DT17,'AEP Central'!DT17,TNMP!DT17,'AEP North'!DT17)</f>
        <v>561648</v>
      </c>
      <c r="DU17" s="69">
        <f>SUM(Oncor!DU17,Centerpoint!DU17,'AEP Central'!DU17,TNMP!DU17,'AEP North'!DU17)</f>
        <v>568367</v>
      </c>
      <c r="DV17" s="69">
        <f>SUM(Oncor!DV17,Centerpoint!DV17,'AEP Central'!DV17,TNMP!DV17,'AEP North'!DV17)</f>
        <v>571013</v>
      </c>
      <c r="DW17" s="69">
        <f>SUM(Oncor!DW17,Centerpoint!DW17,'AEP Central'!DW17,TNMP!DW17,'AEP North'!DW17)</f>
        <v>573742</v>
      </c>
      <c r="DX17" s="69">
        <f>SUM(Oncor!DX17,Centerpoint!DX17,'AEP Central'!DX17,TNMP!DX17,'AEP North'!DX17)</f>
        <v>582296</v>
      </c>
      <c r="DY17" s="69">
        <f>SUM(Oncor!DY17,Centerpoint!DY17,'AEP Central'!DY17,TNMP!DY17,'AEP North'!DY17)</f>
        <v>585947</v>
      </c>
      <c r="DZ17" s="69">
        <f>SUM(Oncor!DZ17,Centerpoint!DZ17,'AEP Central'!DZ17,TNMP!DZ17,'AEP North'!DZ17)</f>
        <v>580781</v>
      </c>
      <c r="EA17" s="69">
        <f>SUM(Oncor!EA17,Centerpoint!EA17,'AEP Central'!EA17,TNMP!EA17,'AEP North'!EA17)</f>
        <v>584552</v>
      </c>
      <c r="EB17" s="69">
        <f>SUM(Oncor!EB17,Centerpoint!EB17,'AEP Central'!EB17,TNMP!EB17,'AEP North'!EB17)</f>
        <v>582744</v>
      </c>
      <c r="EC17" s="69">
        <f>SUM(Oncor!EC17,Centerpoint!EC17,'AEP Central'!EC17,TNMP!EC17,'AEP North'!EC17)</f>
        <v>583900</v>
      </c>
      <c r="ED17" s="69">
        <f>SUM(Oncor!ED17,Centerpoint!ED17,'AEP Central'!ED17,TNMP!ED17,'AEP North'!ED17)</f>
        <v>584939</v>
      </c>
      <c r="EE17" s="69">
        <f>SUM(Oncor!EE17,Centerpoint!EE17,'AEP Central'!EE17,TNMP!EE17,'AEP North'!EE17)</f>
        <v>586304</v>
      </c>
      <c r="EF17" s="69">
        <f>SUM(Oncor!EF17,Centerpoint!EF17,'AEP Central'!EF17,TNMP!EF17,'AEP North'!EF17)</f>
        <v>587709</v>
      </c>
      <c r="EG17" s="69">
        <f>SUM(Oncor!EG17,Centerpoint!EG17,'AEP Central'!EG17,TNMP!EG17,'AEP North'!EG17)</f>
        <v>588907</v>
      </c>
      <c r="EH17" s="69">
        <f>SUM(Oncor!EH17,Centerpoint!EH17,'AEP Central'!EH17,TNMP!EH17,'AEP North'!EH17)</f>
        <v>591098</v>
      </c>
      <c r="EI17" s="69">
        <f>SUM(Oncor!EI17,Centerpoint!EI17,'AEP Central'!EI17,TNMP!EI17,'AEP North'!EI17)</f>
        <v>592365</v>
      </c>
      <c r="EJ17" s="69">
        <f>SUM(Oncor!EJ17,Centerpoint!EJ17,'AEP Central'!EJ17,TNMP!EJ17,'AEP North'!EJ17)</f>
        <v>602016</v>
      </c>
      <c r="EK17" s="69">
        <f>SUM(Oncor!EK17,Centerpoint!EK17,'AEP Central'!EK17,TNMP!EK17,'AEP North'!EK17)</f>
        <v>599481</v>
      </c>
      <c r="EL17" s="69">
        <f>SUM(Oncor!EL17,Centerpoint!EL17,'AEP Central'!EL17,TNMP!EL17,'AEP North'!EL17)</f>
        <v>600532</v>
      </c>
      <c r="EM17" s="69">
        <f>SUM(Oncor!EM17,Centerpoint!EM17,'AEP Central'!EM17,TNMP!EM17,'AEP North'!EM17)</f>
        <v>602152</v>
      </c>
      <c r="EN17" s="69">
        <f>SUM(Oncor!EN17,Centerpoint!EN17,'AEP Central'!EN17,TNMP!EN17,'AEP North'!EN17)</f>
        <v>603952</v>
      </c>
      <c r="EO17" s="69">
        <f>SUM(Oncor!EO17,Centerpoint!EO17,'AEP Central'!EO17,TNMP!EO17,'AEP North'!EO17)</f>
        <v>616018</v>
      </c>
      <c r="EP17" s="69">
        <f>SUM(Oncor!EP17,Centerpoint!EP17,'AEP Central'!EP17,TNMP!EP17,'AEP North'!EP17)</f>
        <v>607762</v>
      </c>
      <c r="EQ17" s="69">
        <f>SUM(Oncor!EQ17,Centerpoint!EQ17,'AEP Central'!EQ17,TNMP!EQ17,'AEP North'!EQ17)</f>
        <v>601176</v>
      </c>
      <c r="ER17" s="69">
        <f>SUM(Oncor!ER17,Centerpoint!ER17,'AEP Central'!ER17,TNMP!ER17,'AEP North'!ER17)</f>
        <v>612701</v>
      </c>
      <c r="ES17" s="69">
        <f>SUM(Oncor!ES17,Centerpoint!ES17,'AEP Central'!ES17,TNMP!ES17,'AEP North'!ES17)</f>
        <v>617037</v>
      </c>
      <c r="ET17" s="69">
        <f>SUM(Oncor!ET17,Centerpoint!ET17,'AEP Central'!ET17,TNMP!ET17,'AEP North'!ET17)</f>
        <v>621156</v>
      </c>
      <c r="EU17" s="69">
        <f>SUM(Oncor!EU17,Centerpoint!EU17,'AEP Central'!EU17,TNMP!EU17,'AEP North'!EU17)</f>
        <v>622419</v>
      </c>
      <c r="EV17" s="69">
        <f>SUM(Oncor!EV17,Centerpoint!EV17,'AEP Central'!EV17,TNMP!EV17,'AEP North'!EV17)</f>
        <v>622789</v>
      </c>
      <c r="EW17" s="69">
        <f>SUM(Oncor!EW17,Centerpoint!EW17,'AEP Central'!EW17,TNMP!EW17,'AEP North'!EW17)</f>
        <v>625803</v>
      </c>
      <c r="EX17" s="69">
        <f>SUM(Oncor!EX17,Centerpoint!EX17,'AEP Central'!EX17,TNMP!EX17,'AEP North'!EX17)</f>
        <v>626659</v>
      </c>
      <c r="EY17" s="69">
        <f>SUM(Oncor!EY17,Centerpoint!EY17,'AEP Central'!EY17,TNMP!EY17,'AEP North'!EY17)</f>
        <v>627755</v>
      </c>
      <c r="EZ17" s="69">
        <f>SUM(Oncor!EZ17,Centerpoint!EZ17,'AEP Central'!EZ17,TNMP!EZ17,'AEP North'!EZ17)</f>
        <v>627713</v>
      </c>
      <c r="FA17" s="69">
        <f>SUM(Oncor!FA17,Centerpoint!FA17,'AEP Central'!FA17,TNMP!FA17,'AEP North'!FA17)</f>
        <v>631490</v>
      </c>
      <c r="FB17" s="69">
        <f>SUM(Oncor!FB17,Centerpoint!FB17,'AEP Central'!FB17,TNMP!FB17,'AEP North'!FB17)</f>
        <v>632838</v>
      </c>
      <c r="FC17" s="69">
        <f>SUM(Oncor!FC17,Centerpoint!FC17,'AEP Central'!FC17,TNMP!FC17,'AEP North'!FC17)</f>
        <v>631889</v>
      </c>
      <c r="FD17" s="69">
        <f>SUM(Oncor!FD17,Centerpoint!FD17,'AEP Central'!FD17,TNMP!FD17,'AEP North'!FD17)</f>
        <v>630298</v>
      </c>
      <c r="FE17" s="69">
        <f>SUM(Oncor!FE17,Centerpoint!FE17,'AEP Central'!FE17,TNMP!FE17,'AEP North'!FE17)</f>
        <v>631258</v>
      </c>
      <c r="FF17" s="69">
        <f>SUM(Oncor!FF17,Centerpoint!FF17,'AEP Central'!FF17,TNMP!FF17,'AEP North'!FF17)</f>
        <v>632912</v>
      </c>
      <c r="FG17" s="69">
        <f>SUM(Oncor!FG17,Centerpoint!FG17,'AEP Central'!FG17,TNMP!FG17,'AEP North'!FG17)</f>
        <v>634202</v>
      </c>
      <c r="FH17" s="69">
        <f>SUM(Oncor!FH17,Centerpoint!FH17,'AEP Central'!FH17,TNMP!FH17,'AEP North'!FH17)</f>
        <v>638981</v>
      </c>
      <c r="FI17" s="69">
        <f>SUM(Oncor!FI17,Centerpoint!FI17,'AEP Central'!FI17,TNMP!FI17,'AEP North'!FI17)</f>
        <v>643570</v>
      </c>
      <c r="FJ17" s="69">
        <f>SUM(Oncor!FJ17,Centerpoint!FJ17,'AEP Central'!FJ17,TNMP!FJ17,'AEP North'!FJ17)</f>
        <v>648376</v>
      </c>
      <c r="FK17" s="69">
        <f>SUM(Oncor!FK17,Centerpoint!FK17,'AEP Central'!FK17,TNMP!FK17,'AEP North'!FK17)</f>
        <v>649499</v>
      </c>
      <c r="FL17" s="69">
        <f>SUM(Oncor!FL17,Centerpoint!FL17,'AEP Central'!FL17,TNMP!FL17,'AEP North'!FL17,'[1]Sharyland Utilities LP '!FL17,'Sharyland Utilities LP McAllen'!FL17)</f>
        <v>673396</v>
      </c>
      <c r="FM17" s="69">
        <f>SUM(Oncor!FM17,Centerpoint!FM17,'AEP Central'!FM17,TNMP!FM17,'AEP North'!FM17,'[1]Sharyland Utilities LP '!FM17,'Sharyland Utilities LP McAllen'!FM17)</f>
        <v>674138</v>
      </c>
      <c r="FN17" s="69">
        <f>SUM(Oncor!FN17,Centerpoint!FN17,'AEP Central'!FN17,TNMP!FN17,'AEP North'!FN17,'[1]Sharyland Utilities LP '!FN17,'Sharyland Utilities LP McAllen'!FN17)</f>
        <v>676710</v>
      </c>
      <c r="FO17" s="69">
        <f>SUM(Oncor!FO17,Centerpoint!FO17,'AEP Central'!FO17,TNMP!FO17,'AEP North'!FO17,'[1]Sharyland Utilities LP '!FO17,'Sharyland Utilities LP McAllen'!FO17)</f>
        <v>675368</v>
      </c>
      <c r="FP17" s="69">
        <f>SUM(Oncor!FP17,Centerpoint!FP17,'AEP Central'!FP17,TNMP!FP17,'AEP North'!FP17,'[1]Sharyland Utilities LP '!FP17,'Sharyland Utilities LP McAllen'!FP17)</f>
        <v>686031</v>
      </c>
      <c r="FQ17" s="69">
        <f>SUM(Oncor!FQ17,Centerpoint!FQ17,'AEP Central'!FQ17,TNMP!FQ17,'AEP North'!FQ17,'[1]Sharyland Utilities LP '!FQ17,'Sharyland Utilities LP McAllen'!FQ17)</f>
        <v>689623</v>
      </c>
      <c r="FR17" s="69">
        <f>SUM(Oncor!FR17,Centerpoint!FR17,'AEP Central'!FR17,TNMP!FR17,'AEP North'!FR17,'[1]Sharyland Utilities LP '!FR17,'Sharyland Utilities LP McAllen'!FR17)</f>
        <v>689332</v>
      </c>
      <c r="FS17" s="69">
        <f>SUM(Oncor!FS17,Centerpoint!FS17,'AEP Central'!FS17,TNMP!FS17,'AEP North'!FS17,'[1]Sharyland Utilities LP '!FS17,'Sharyland Utilities LP McAllen'!FS17)</f>
        <v>692938</v>
      </c>
      <c r="FT17" s="69">
        <f>SUM(Oncor!FT17,Centerpoint!FT17,'AEP Central'!FT17,TNMP!FT17,'AEP North'!FT17,'[1]Sharyland Utilities LP '!FT17,'Sharyland Utilities LP McAllen'!FT17)</f>
        <v>695032</v>
      </c>
    </row>
    <row r="18" spans="1:176" ht="13.8" thickTop="1" x14ac:dyDescent="0.25">
      <c r="B18" s="3" t="s">
        <v>9</v>
      </c>
      <c r="C18" s="77">
        <f t="shared" ref="C18:K18" si="40">SUM(C16:C17)</f>
        <v>622585</v>
      </c>
      <c r="D18" s="8">
        <f t="shared" si="40"/>
        <v>638411</v>
      </c>
      <c r="E18" s="8">
        <f t="shared" si="40"/>
        <v>709666</v>
      </c>
      <c r="F18" s="8">
        <f t="shared" si="40"/>
        <v>713986</v>
      </c>
      <c r="G18" s="8">
        <f t="shared" si="40"/>
        <v>716354</v>
      </c>
      <c r="H18" s="8">
        <f t="shared" si="40"/>
        <v>746650</v>
      </c>
      <c r="I18" s="8">
        <f t="shared" si="40"/>
        <v>747605</v>
      </c>
      <c r="J18" s="8">
        <f t="shared" si="40"/>
        <v>754137</v>
      </c>
      <c r="K18" s="8">
        <f t="shared" si="40"/>
        <v>754299</v>
      </c>
      <c r="L18" s="8">
        <f t="shared" ref="L18:Q18" si="41">SUM(L16:L17)</f>
        <v>755734</v>
      </c>
      <c r="M18" s="8">
        <f t="shared" si="41"/>
        <v>755910</v>
      </c>
      <c r="N18" s="80">
        <f t="shared" si="41"/>
        <v>756410</v>
      </c>
      <c r="O18" s="135">
        <f t="shared" si="41"/>
        <v>759135</v>
      </c>
      <c r="P18" s="8">
        <f t="shared" si="41"/>
        <v>746178</v>
      </c>
      <c r="Q18" s="8">
        <f t="shared" si="41"/>
        <v>758110</v>
      </c>
      <c r="R18" s="8">
        <f t="shared" ref="R18:W18" si="42">SUM(R16:R17)</f>
        <v>757538</v>
      </c>
      <c r="S18" s="8">
        <f t="shared" si="42"/>
        <v>758665</v>
      </c>
      <c r="T18" s="8">
        <f t="shared" si="42"/>
        <v>760621</v>
      </c>
      <c r="U18" s="8">
        <f t="shared" si="42"/>
        <v>768491</v>
      </c>
      <c r="V18" s="8">
        <f t="shared" si="42"/>
        <v>761587</v>
      </c>
      <c r="W18" s="8">
        <f t="shared" si="42"/>
        <v>762454</v>
      </c>
      <c r="X18" s="8">
        <f t="shared" ref="X18:AC18" si="43">SUM(X16:X17)</f>
        <v>775720</v>
      </c>
      <c r="Y18" s="8">
        <f t="shared" si="43"/>
        <v>744948</v>
      </c>
      <c r="Z18" s="149">
        <f t="shared" si="43"/>
        <v>766106</v>
      </c>
      <c r="AA18" s="135">
        <f t="shared" si="43"/>
        <v>767335</v>
      </c>
      <c r="AB18" s="8">
        <f t="shared" si="43"/>
        <v>760237</v>
      </c>
      <c r="AC18" s="8">
        <f t="shared" si="43"/>
        <v>783608</v>
      </c>
      <c r="AD18" s="8">
        <f t="shared" ref="AD18:AI18" si="44">SUM(AD16:AD17)</f>
        <v>769544</v>
      </c>
      <c r="AE18" s="8">
        <f t="shared" si="44"/>
        <v>764662</v>
      </c>
      <c r="AF18" s="8">
        <f t="shared" si="44"/>
        <v>779886</v>
      </c>
      <c r="AG18" s="8">
        <f t="shared" si="44"/>
        <v>769506</v>
      </c>
      <c r="AH18" s="8">
        <f t="shared" si="44"/>
        <v>782704</v>
      </c>
      <c r="AI18" s="8">
        <f t="shared" si="44"/>
        <v>777731</v>
      </c>
      <c r="AJ18" s="8">
        <f t="shared" ref="AJ18:AO18" si="45">SUM(AJ16:AJ17)</f>
        <v>776930</v>
      </c>
      <c r="AK18" s="8">
        <f t="shared" si="45"/>
        <v>773173</v>
      </c>
      <c r="AL18" s="149">
        <f t="shared" si="45"/>
        <v>769227</v>
      </c>
      <c r="AM18" s="8">
        <f t="shared" si="45"/>
        <v>772374</v>
      </c>
      <c r="AN18" s="8">
        <f t="shared" si="45"/>
        <v>754829</v>
      </c>
      <c r="AO18" s="8">
        <f t="shared" si="45"/>
        <v>769347</v>
      </c>
      <c r="AP18" s="8">
        <f t="shared" ref="AP18:AX18" si="46">SUM(AP16:AP17)</f>
        <v>773716</v>
      </c>
      <c r="AQ18" s="8">
        <f t="shared" si="46"/>
        <v>778775</v>
      </c>
      <c r="AR18" s="8">
        <f t="shared" si="46"/>
        <v>786369</v>
      </c>
      <c r="AS18" s="8">
        <f t="shared" si="46"/>
        <v>780783</v>
      </c>
      <c r="AT18" s="8">
        <f t="shared" si="46"/>
        <v>801867</v>
      </c>
      <c r="AU18" s="8">
        <f t="shared" si="46"/>
        <v>791613</v>
      </c>
      <c r="AV18" s="8">
        <f t="shared" si="46"/>
        <v>790590</v>
      </c>
      <c r="AW18" s="8">
        <f t="shared" si="46"/>
        <v>785930</v>
      </c>
      <c r="AX18" s="9">
        <f t="shared" si="46"/>
        <v>788888</v>
      </c>
      <c r="AY18" s="8">
        <f t="shared" ref="AY18:BJ18" si="47">SUM(AY16:AY17)</f>
        <v>797343</v>
      </c>
      <c r="AZ18" s="8">
        <f t="shared" si="47"/>
        <v>785468</v>
      </c>
      <c r="BA18" s="8">
        <f t="shared" si="47"/>
        <v>813297</v>
      </c>
      <c r="BB18" s="8">
        <f t="shared" si="47"/>
        <v>791028</v>
      </c>
      <c r="BC18" s="8">
        <f t="shared" si="47"/>
        <v>808446</v>
      </c>
      <c r="BD18" s="8">
        <f t="shared" si="47"/>
        <v>809217</v>
      </c>
      <c r="BE18" s="8">
        <f t="shared" si="47"/>
        <v>798144</v>
      </c>
      <c r="BF18" s="8">
        <f t="shared" si="47"/>
        <v>816455</v>
      </c>
      <c r="BG18" s="8">
        <f t="shared" si="47"/>
        <v>809806</v>
      </c>
      <c r="BH18" s="8">
        <f t="shared" si="47"/>
        <v>814338</v>
      </c>
      <c r="BI18" s="8">
        <f t="shared" si="47"/>
        <v>803158</v>
      </c>
      <c r="BJ18" s="9">
        <f t="shared" si="47"/>
        <v>793712</v>
      </c>
      <c r="BK18" s="8">
        <f t="shared" ref="BK18:BP18" si="48">SUM(BK16:BK17)</f>
        <v>808822</v>
      </c>
      <c r="BL18" s="8">
        <f t="shared" si="48"/>
        <v>800770</v>
      </c>
      <c r="BM18" s="8">
        <f t="shared" si="48"/>
        <v>817465</v>
      </c>
      <c r="BN18" s="8">
        <f t="shared" si="48"/>
        <v>803881</v>
      </c>
      <c r="BO18" s="8">
        <f t="shared" si="48"/>
        <v>820716</v>
      </c>
      <c r="BP18" s="8">
        <f t="shared" si="48"/>
        <v>815828</v>
      </c>
      <c r="BQ18" s="8">
        <f t="shared" ref="BQ18:CB18" si="49">SUM(BQ16:BQ17)</f>
        <v>816101</v>
      </c>
      <c r="BR18" s="8">
        <f t="shared" si="49"/>
        <v>827071</v>
      </c>
      <c r="BS18" s="8">
        <f t="shared" si="49"/>
        <v>803999</v>
      </c>
      <c r="BT18" s="8">
        <f t="shared" si="49"/>
        <v>817848</v>
      </c>
      <c r="BU18" s="8">
        <f t="shared" si="49"/>
        <v>808079</v>
      </c>
      <c r="BV18" s="9">
        <f t="shared" si="49"/>
        <v>817622</v>
      </c>
      <c r="BW18" s="8">
        <f t="shared" si="49"/>
        <v>816852</v>
      </c>
      <c r="BX18" s="8">
        <f t="shared" si="49"/>
        <v>816581</v>
      </c>
      <c r="BY18" s="8">
        <f t="shared" si="49"/>
        <v>818103</v>
      </c>
      <c r="BZ18" s="8">
        <f t="shared" si="49"/>
        <v>819076</v>
      </c>
      <c r="CA18" s="8">
        <f t="shared" si="49"/>
        <v>820989</v>
      </c>
      <c r="CB18" s="8">
        <f t="shared" si="49"/>
        <v>822238</v>
      </c>
      <c r="CC18" s="94">
        <f>SUM(CC16:CC17)</f>
        <v>822034</v>
      </c>
      <c r="CD18" s="94">
        <f>SUM(CD16:CD17)</f>
        <v>823096</v>
      </c>
      <c r="CE18" s="94">
        <f>SUM(CE16:CE17)</f>
        <v>820669</v>
      </c>
      <c r="CF18" s="94">
        <f t="shared" ref="CF18:CQ18" si="50">SUM(CF16:CF17)</f>
        <v>819523</v>
      </c>
      <c r="CG18" s="94">
        <f t="shared" si="50"/>
        <v>808542</v>
      </c>
      <c r="CH18" s="94">
        <f t="shared" si="50"/>
        <v>816995</v>
      </c>
      <c r="CI18" s="87">
        <f t="shared" si="50"/>
        <v>824543</v>
      </c>
      <c r="CJ18" s="94">
        <f t="shared" si="50"/>
        <v>818275</v>
      </c>
      <c r="CK18" s="94">
        <f t="shared" si="50"/>
        <v>817875</v>
      </c>
      <c r="CL18" s="94">
        <f t="shared" si="50"/>
        <v>819410</v>
      </c>
      <c r="CM18" s="94">
        <f t="shared" si="50"/>
        <v>821382</v>
      </c>
      <c r="CN18" s="94">
        <f t="shared" si="50"/>
        <v>821981</v>
      </c>
      <c r="CO18" s="94">
        <f t="shared" si="50"/>
        <v>820620</v>
      </c>
      <c r="CP18" s="94">
        <f t="shared" si="50"/>
        <v>821850</v>
      </c>
      <c r="CQ18" s="94">
        <f t="shared" si="50"/>
        <v>824532</v>
      </c>
      <c r="CR18" s="94">
        <f t="shared" ref="CR18:FC18" si="51">SUM(CR16:CR17)</f>
        <v>823953</v>
      </c>
      <c r="CS18" s="94">
        <f t="shared" si="51"/>
        <v>823316</v>
      </c>
      <c r="CT18" s="107">
        <f t="shared" si="51"/>
        <v>823759</v>
      </c>
      <c r="CU18" s="95">
        <f t="shared" si="51"/>
        <v>809881</v>
      </c>
      <c r="CV18" s="95">
        <f t="shared" si="51"/>
        <v>824076</v>
      </c>
      <c r="CW18" s="95">
        <f t="shared" si="51"/>
        <v>820217</v>
      </c>
      <c r="CX18" s="95">
        <f t="shared" si="51"/>
        <v>825994</v>
      </c>
      <c r="CY18" s="95">
        <f t="shared" si="51"/>
        <v>826415</v>
      </c>
      <c r="CZ18" s="95">
        <f t="shared" si="51"/>
        <v>826721</v>
      </c>
      <c r="DA18" s="95">
        <f t="shared" si="51"/>
        <v>826160</v>
      </c>
      <c r="DB18" s="95">
        <f t="shared" si="51"/>
        <v>820334</v>
      </c>
      <c r="DC18" s="95">
        <f t="shared" si="51"/>
        <v>827383</v>
      </c>
      <c r="DD18" s="95">
        <f t="shared" si="51"/>
        <v>819568</v>
      </c>
      <c r="DE18" s="95">
        <f t="shared" si="51"/>
        <v>822391</v>
      </c>
      <c r="DF18" s="107">
        <f t="shared" si="51"/>
        <v>827824</v>
      </c>
      <c r="DG18" s="95">
        <f t="shared" si="51"/>
        <v>814190</v>
      </c>
      <c r="DH18" s="95">
        <f t="shared" si="51"/>
        <v>828597</v>
      </c>
      <c r="DI18" s="95">
        <f t="shared" si="51"/>
        <v>829485</v>
      </c>
      <c r="DJ18" s="95">
        <f t="shared" si="51"/>
        <v>824957</v>
      </c>
      <c r="DK18" s="95">
        <f t="shared" si="51"/>
        <v>819863</v>
      </c>
      <c r="DL18" s="95">
        <f t="shared" si="51"/>
        <v>837457</v>
      </c>
      <c r="DM18" s="95">
        <f t="shared" si="51"/>
        <v>818144</v>
      </c>
      <c r="DN18" s="95">
        <f t="shared" si="51"/>
        <v>839324</v>
      </c>
      <c r="DO18" s="95">
        <f t="shared" si="51"/>
        <v>832809</v>
      </c>
      <c r="DP18" s="95">
        <f t="shared" si="51"/>
        <v>829218</v>
      </c>
      <c r="DQ18" s="95">
        <f t="shared" si="51"/>
        <v>836078</v>
      </c>
      <c r="DR18" s="95">
        <f t="shared" si="51"/>
        <v>823186</v>
      </c>
      <c r="DS18" s="95">
        <f t="shared" si="51"/>
        <v>828248</v>
      </c>
      <c r="DT18" s="95">
        <f t="shared" si="51"/>
        <v>837825</v>
      </c>
      <c r="DU18" s="95">
        <f t="shared" si="51"/>
        <v>846189</v>
      </c>
      <c r="DV18" s="95">
        <f t="shared" si="51"/>
        <v>848607</v>
      </c>
      <c r="DW18" s="95">
        <f t="shared" si="51"/>
        <v>850125</v>
      </c>
      <c r="DX18" s="95">
        <f t="shared" si="51"/>
        <v>852818</v>
      </c>
      <c r="DY18" s="95">
        <f t="shared" si="51"/>
        <v>860592</v>
      </c>
      <c r="DZ18" s="95">
        <f t="shared" si="51"/>
        <v>859342</v>
      </c>
      <c r="EA18" s="95">
        <f t="shared" si="51"/>
        <v>862878</v>
      </c>
      <c r="EB18" s="95">
        <f t="shared" si="51"/>
        <v>860238</v>
      </c>
      <c r="EC18" s="95">
        <f t="shared" si="51"/>
        <v>859984</v>
      </c>
      <c r="ED18" s="95">
        <f t="shared" si="51"/>
        <v>861247</v>
      </c>
      <c r="EE18" s="95">
        <f t="shared" si="51"/>
        <v>862065</v>
      </c>
      <c r="EF18" s="95">
        <f t="shared" si="51"/>
        <v>863047</v>
      </c>
      <c r="EG18" s="95">
        <f t="shared" si="51"/>
        <v>863987</v>
      </c>
      <c r="EH18" s="95">
        <f t="shared" si="51"/>
        <v>865783</v>
      </c>
      <c r="EI18" s="95">
        <f t="shared" si="51"/>
        <v>866656</v>
      </c>
      <c r="EJ18" s="95">
        <f t="shared" si="51"/>
        <v>875964</v>
      </c>
      <c r="EK18" s="95">
        <f t="shared" si="51"/>
        <v>873160</v>
      </c>
      <c r="EL18" s="95">
        <f t="shared" si="51"/>
        <v>873808</v>
      </c>
      <c r="EM18" s="95">
        <f t="shared" si="51"/>
        <v>874178</v>
      </c>
      <c r="EN18" s="95">
        <f t="shared" si="51"/>
        <v>875387</v>
      </c>
      <c r="EO18" s="95">
        <f t="shared" si="51"/>
        <v>886567</v>
      </c>
      <c r="EP18" s="95">
        <f t="shared" si="51"/>
        <v>877378</v>
      </c>
      <c r="EQ18" s="95">
        <f t="shared" si="51"/>
        <v>868789</v>
      </c>
      <c r="ER18" s="95">
        <f t="shared" si="51"/>
        <v>875831</v>
      </c>
      <c r="ES18" s="95">
        <f t="shared" si="51"/>
        <v>877075</v>
      </c>
      <c r="ET18" s="95">
        <f t="shared" si="51"/>
        <v>881424</v>
      </c>
      <c r="EU18" s="95">
        <f t="shared" si="51"/>
        <v>883406</v>
      </c>
      <c r="EV18" s="95">
        <f t="shared" si="51"/>
        <v>884335</v>
      </c>
      <c r="EW18" s="95">
        <f t="shared" si="51"/>
        <v>886941</v>
      </c>
      <c r="EX18" s="95">
        <f t="shared" si="51"/>
        <v>887761</v>
      </c>
      <c r="EY18" s="95">
        <f t="shared" si="51"/>
        <v>888603</v>
      </c>
      <c r="EZ18" s="95">
        <f t="shared" si="51"/>
        <v>888424</v>
      </c>
      <c r="FA18" s="95">
        <f t="shared" si="51"/>
        <v>891857</v>
      </c>
      <c r="FB18" s="95">
        <f t="shared" si="51"/>
        <v>892570</v>
      </c>
      <c r="FC18" s="95">
        <f t="shared" si="51"/>
        <v>891231</v>
      </c>
      <c r="FD18" s="95">
        <f>SUM(FD16:FD17)</f>
        <v>893026</v>
      </c>
      <c r="FE18" s="95">
        <f>SUM(FE16:FE17)</f>
        <v>893968</v>
      </c>
      <c r="FF18" s="95">
        <f>SUM(FF16:FF17)</f>
        <v>895929</v>
      </c>
      <c r="FG18" s="95">
        <f>SUM(FG16:FG17)</f>
        <v>897132</v>
      </c>
      <c r="FH18" s="95">
        <f>SUM(FH16:FH17)</f>
        <v>899587</v>
      </c>
      <c r="FI18" s="95">
        <f t="shared" ref="FI18:FT18" si="52">SUM(FI16:FI17)</f>
        <v>900515</v>
      </c>
      <c r="FJ18" s="95">
        <f t="shared" si="52"/>
        <v>901382</v>
      </c>
      <c r="FK18" s="95">
        <f t="shared" si="52"/>
        <v>901342</v>
      </c>
      <c r="FL18" s="95">
        <f t="shared" si="52"/>
        <v>924566</v>
      </c>
      <c r="FM18" s="95">
        <f t="shared" si="52"/>
        <v>924425</v>
      </c>
      <c r="FN18" s="95">
        <f t="shared" si="52"/>
        <v>925902</v>
      </c>
      <c r="FO18" s="95">
        <f t="shared" si="52"/>
        <v>923190</v>
      </c>
      <c r="FP18" s="95">
        <f t="shared" si="52"/>
        <v>927781</v>
      </c>
      <c r="FQ18" s="95">
        <f t="shared" si="52"/>
        <v>929619</v>
      </c>
      <c r="FR18" s="95">
        <f t="shared" si="52"/>
        <v>929162</v>
      </c>
      <c r="FS18" s="95">
        <f t="shared" si="52"/>
        <v>931633</v>
      </c>
      <c r="FT18" s="95">
        <f t="shared" si="52"/>
        <v>933787</v>
      </c>
    </row>
    <row r="19" spans="1:176" x14ac:dyDescent="0.25">
      <c r="B19" s="3" t="s">
        <v>10</v>
      </c>
      <c r="C19" s="78">
        <f t="shared" ref="C19:Q19" si="53">SUM(C16)/C18</f>
        <v>0.98374037280050108</v>
      </c>
      <c r="D19" s="14">
        <f t="shared" si="53"/>
        <v>0.95997092781922622</v>
      </c>
      <c r="E19" s="14">
        <f t="shared" si="53"/>
        <v>0.94645227473205706</v>
      </c>
      <c r="F19" s="14">
        <f t="shared" si="53"/>
        <v>0.94050443566120345</v>
      </c>
      <c r="G19" s="14">
        <f t="shared" si="53"/>
        <v>0.93391535469893372</v>
      </c>
      <c r="H19" s="14">
        <f t="shared" si="53"/>
        <v>0.92724971539543288</v>
      </c>
      <c r="I19" s="14">
        <f t="shared" si="53"/>
        <v>0.92536433009410046</v>
      </c>
      <c r="J19" s="14">
        <f t="shared" si="53"/>
        <v>0.90946737794326493</v>
      </c>
      <c r="K19" s="14">
        <f t="shared" si="53"/>
        <v>0.90476985916725328</v>
      </c>
      <c r="L19" s="14">
        <f t="shared" si="53"/>
        <v>0.89626905763138887</v>
      </c>
      <c r="M19" s="14">
        <f t="shared" si="53"/>
        <v>0.8906933365083145</v>
      </c>
      <c r="N19" s="14">
        <f t="shared" si="53"/>
        <v>0.88496846948083707</v>
      </c>
      <c r="O19" s="136">
        <f t="shared" si="53"/>
        <v>0.87436358486962129</v>
      </c>
      <c r="P19" s="14">
        <f t="shared" si="53"/>
        <v>0.86749810366963376</v>
      </c>
      <c r="Q19" s="14">
        <f t="shared" si="53"/>
        <v>0.86302119745155714</v>
      </c>
      <c r="R19" s="14">
        <f t="shared" ref="R19:W19" si="54">SUM(R16)/R18</f>
        <v>0.862579830978776</v>
      </c>
      <c r="S19" s="14">
        <f t="shared" si="54"/>
        <v>0.85750100505493199</v>
      </c>
      <c r="T19" s="14">
        <f t="shared" si="54"/>
        <v>0.85035517031478225</v>
      </c>
      <c r="U19" s="14">
        <f t="shared" si="54"/>
        <v>0.84500404038563892</v>
      </c>
      <c r="V19" s="14">
        <f t="shared" si="54"/>
        <v>0.83904137019145553</v>
      </c>
      <c r="W19" s="14">
        <f t="shared" si="54"/>
        <v>0.8351441529587359</v>
      </c>
      <c r="X19" s="14">
        <f t="shared" ref="X19:AC19" si="55">SUM(X16)/X18</f>
        <v>0.82779224462434897</v>
      </c>
      <c r="Y19" s="14">
        <f t="shared" si="55"/>
        <v>0.82197817834264941</v>
      </c>
      <c r="Z19" s="150">
        <f t="shared" si="55"/>
        <v>0.81018945159024991</v>
      </c>
      <c r="AA19" s="136">
        <f t="shared" si="55"/>
        <v>0.80790919220418722</v>
      </c>
      <c r="AB19" s="14">
        <f t="shared" si="55"/>
        <v>0.80400322531000201</v>
      </c>
      <c r="AC19" s="14">
        <f t="shared" si="55"/>
        <v>0.79535941440107805</v>
      </c>
      <c r="AD19" s="14">
        <f t="shared" ref="AD19:AI19" si="56">SUM(AD16)/AD18</f>
        <v>0.79348549270736957</v>
      </c>
      <c r="AE19" s="14">
        <f t="shared" si="56"/>
        <v>0.78936445122158549</v>
      </c>
      <c r="AF19" s="14">
        <f t="shared" si="56"/>
        <v>0.77986654459754379</v>
      </c>
      <c r="AG19" s="14">
        <f t="shared" si="56"/>
        <v>0.77000179335833641</v>
      </c>
      <c r="AH19" s="14">
        <f t="shared" si="56"/>
        <v>0.7620556430016967</v>
      </c>
      <c r="AI19" s="14">
        <f t="shared" si="56"/>
        <v>0.75394448723273211</v>
      </c>
      <c r="AJ19" s="14">
        <f t="shared" ref="AJ19:AO19" si="57">SUM(AJ16)/AJ18</f>
        <v>0.7460157285727157</v>
      </c>
      <c r="AK19" s="14">
        <f t="shared" si="57"/>
        <v>0.73919420362583799</v>
      </c>
      <c r="AL19" s="150">
        <f t="shared" si="57"/>
        <v>0.73338819360214869</v>
      </c>
      <c r="AM19" s="14">
        <f t="shared" si="57"/>
        <v>0.71917490749300206</v>
      </c>
      <c r="AN19" s="14">
        <f t="shared" si="57"/>
        <v>0.71563493188523497</v>
      </c>
      <c r="AO19" s="14">
        <f t="shared" si="57"/>
        <v>0.70914944751847997</v>
      </c>
      <c r="AP19" s="14">
        <f t="shared" ref="AP19:AX19" si="58">SUM(AP16)/AP18</f>
        <v>0.69630717214068216</v>
      </c>
      <c r="AQ19" s="14">
        <f t="shared" si="58"/>
        <v>0.68973837115983438</v>
      </c>
      <c r="AR19" s="14">
        <f t="shared" si="58"/>
        <v>0.67815999867746568</v>
      </c>
      <c r="AS19" s="14">
        <f t="shared" si="58"/>
        <v>0.67265424580197064</v>
      </c>
      <c r="AT19" s="14">
        <f t="shared" si="58"/>
        <v>0.66363873310661248</v>
      </c>
      <c r="AU19" s="14">
        <f t="shared" si="58"/>
        <v>0.65857559186117454</v>
      </c>
      <c r="AV19" s="14">
        <f t="shared" si="58"/>
        <v>0.65470977371330275</v>
      </c>
      <c r="AW19" s="14">
        <f t="shared" si="58"/>
        <v>0.65213314162838931</v>
      </c>
      <c r="AX19" s="23">
        <f t="shared" si="58"/>
        <v>0.6472731236880267</v>
      </c>
      <c r="AY19" s="14">
        <f t="shared" ref="AY19:BJ19" si="59">SUM(AY16)/AY18</f>
        <v>0.64386468558700582</v>
      </c>
      <c r="AZ19" s="14">
        <f t="shared" si="59"/>
        <v>0.64191666624229127</v>
      </c>
      <c r="BA19" s="14">
        <f t="shared" si="59"/>
        <v>0.63530911831717074</v>
      </c>
      <c r="BB19" s="14">
        <f t="shared" si="59"/>
        <v>0.63276268349540088</v>
      </c>
      <c r="BC19" s="14">
        <f t="shared" si="59"/>
        <v>0.62414187218441308</v>
      </c>
      <c r="BD19" s="14">
        <f t="shared" si="59"/>
        <v>0.61937527264009529</v>
      </c>
      <c r="BE19" s="14">
        <f t="shared" si="59"/>
        <v>0.61571220230935775</v>
      </c>
      <c r="BF19" s="14">
        <f t="shared" si="59"/>
        <v>0.60911501552443181</v>
      </c>
      <c r="BG19" s="14">
        <f t="shared" si="59"/>
        <v>0.60548081886278937</v>
      </c>
      <c r="BH19" s="14">
        <f t="shared" si="59"/>
        <v>0.59327208112601892</v>
      </c>
      <c r="BI19" s="14">
        <f t="shared" si="59"/>
        <v>0.58543399928781137</v>
      </c>
      <c r="BJ19" s="23">
        <f t="shared" si="59"/>
        <v>0.58062622210575121</v>
      </c>
      <c r="BK19" s="14">
        <f t="shared" ref="BK19:BP19" si="60">SUM(BK16)/BK18</f>
        <v>0.56814725613299344</v>
      </c>
      <c r="BL19" s="14">
        <f t="shared" si="60"/>
        <v>0.55933289209136205</v>
      </c>
      <c r="BM19" s="14">
        <f t="shared" si="60"/>
        <v>0.55093490241172405</v>
      </c>
      <c r="BN19" s="14">
        <f t="shared" si="60"/>
        <v>0.54839957655424121</v>
      </c>
      <c r="BO19" s="14">
        <f t="shared" si="60"/>
        <v>0.54162828554579168</v>
      </c>
      <c r="BP19" s="14">
        <f t="shared" si="60"/>
        <v>0.53862946601489525</v>
      </c>
      <c r="BQ19" s="14">
        <f t="shared" ref="BQ19:CB19" si="61">SUM(BQ16)/BQ18</f>
        <v>0.53225764948211063</v>
      </c>
      <c r="BR19" s="14">
        <f t="shared" si="61"/>
        <v>0.52642397085619008</v>
      </c>
      <c r="BS19" s="14">
        <f t="shared" si="61"/>
        <v>0.52496955841984883</v>
      </c>
      <c r="BT19" s="14">
        <f t="shared" si="61"/>
        <v>0.51782115992213718</v>
      </c>
      <c r="BU19" s="14">
        <f t="shared" si="61"/>
        <v>0.50787856137828113</v>
      </c>
      <c r="BV19" s="23">
        <f t="shared" si="61"/>
        <v>0.50821039551284086</v>
      </c>
      <c r="BW19" s="14">
        <f t="shared" si="61"/>
        <v>0.50419170180155037</v>
      </c>
      <c r="BX19" s="14">
        <f t="shared" si="61"/>
        <v>0.50088723592638085</v>
      </c>
      <c r="BY19" s="14">
        <f t="shared" si="61"/>
        <v>0.49833333944503322</v>
      </c>
      <c r="BZ19" s="14">
        <f t="shared" si="61"/>
        <v>0.49558160659084138</v>
      </c>
      <c r="CA19" s="14">
        <f t="shared" si="61"/>
        <v>0.49301269566340111</v>
      </c>
      <c r="CB19" s="14">
        <f t="shared" si="61"/>
        <v>0.48825522537270233</v>
      </c>
      <c r="CC19" s="14">
        <f>SUM(CC16)/CC18</f>
        <v>0.48664653773444894</v>
      </c>
      <c r="CD19" s="14">
        <f>SUM(CD16)/CD18</f>
        <v>0.4790996432979871</v>
      </c>
      <c r="CE19" s="14">
        <f>SUM(CE16)/CE18</f>
        <v>0.47122896076249987</v>
      </c>
      <c r="CF19" s="14">
        <f t="shared" ref="CF19:CQ19" si="62">SUM(CF16)/CF18</f>
        <v>0.46792097354192624</v>
      </c>
      <c r="CG19" s="14">
        <f t="shared" si="62"/>
        <v>0.46261789740050607</v>
      </c>
      <c r="CH19" s="14">
        <f t="shared" si="62"/>
        <v>0.45495137669141184</v>
      </c>
      <c r="CI19" s="78">
        <f t="shared" si="62"/>
        <v>0.44792569944805788</v>
      </c>
      <c r="CJ19" s="14">
        <f t="shared" si="62"/>
        <v>0.44847270172008186</v>
      </c>
      <c r="CK19" s="14">
        <f t="shared" si="62"/>
        <v>0.44535289622497326</v>
      </c>
      <c r="CL19" s="14">
        <f t="shared" si="62"/>
        <v>0.44136390817783527</v>
      </c>
      <c r="CM19" s="14">
        <f t="shared" si="62"/>
        <v>0.43708652003574461</v>
      </c>
      <c r="CN19" s="14">
        <f t="shared" si="62"/>
        <v>0.43487623193236824</v>
      </c>
      <c r="CO19" s="14">
        <f t="shared" si="62"/>
        <v>0.43060003412054298</v>
      </c>
      <c r="CP19" s="14">
        <f t="shared" si="62"/>
        <v>0.42617752631258743</v>
      </c>
      <c r="CQ19" s="14">
        <f t="shared" si="62"/>
        <v>0.42039848059262708</v>
      </c>
      <c r="CR19" s="14">
        <f t="shared" ref="CR19:FC19" si="63">SUM(CR16)/CR18</f>
        <v>0.41455034449780509</v>
      </c>
      <c r="CS19" s="14">
        <f t="shared" si="63"/>
        <v>0.40997381321388143</v>
      </c>
      <c r="CT19" s="23">
        <f t="shared" si="63"/>
        <v>0.4065460893295248</v>
      </c>
      <c r="CU19" s="14">
        <f t="shared" si="63"/>
        <v>0.4067091338110167</v>
      </c>
      <c r="CV19" s="14">
        <f t="shared" si="63"/>
        <v>0.40177362282119611</v>
      </c>
      <c r="CW19" s="14">
        <f t="shared" si="63"/>
        <v>0.39843480444809115</v>
      </c>
      <c r="CX19" s="14">
        <f t="shared" si="63"/>
        <v>0.39690966278205408</v>
      </c>
      <c r="CY19" s="14">
        <f t="shared" si="63"/>
        <v>0.39358070702976106</v>
      </c>
      <c r="CZ19" s="14">
        <f t="shared" si="63"/>
        <v>0.38989211596173318</v>
      </c>
      <c r="DA19" s="14">
        <f t="shared" si="63"/>
        <v>0.38419434492108068</v>
      </c>
      <c r="DB19" s="14">
        <f t="shared" si="63"/>
        <v>0.38190054294957909</v>
      </c>
      <c r="DC19" s="14">
        <f t="shared" si="63"/>
        <v>0.37791808630344109</v>
      </c>
      <c r="DD19" s="14">
        <f t="shared" si="63"/>
        <v>0.37587363098608045</v>
      </c>
      <c r="DE19" s="14">
        <f t="shared" si="63"/>
        <v>0.37062905600863821</v>
      </c>
      <c r="DF19" s="23">
        <f t="shared" si="63"/>
        <v>0.36596667890759388</v>
      </c>
      <c r="DG19" s="14">
        <f t="shared" si="63"/>
        <v>0.36744371706849754</v>
      </c>
      <c r="DH19" s="14">
        <f t="shared" si="63"/>
        <v>0.3614688443235976</v>
      </c>
      <c r="DI19" s="14">
        <f t="shared" si="63"/>
        <v>0.35885639884988879</v>
      </c>
      <c r="DJ19" s="14">
        <f t="shared" si="63"/>
        <v>0.35667556005949402</v>
      </c>
      <c r="DK19" s="14">
        <f t="shared" si="63"/>
        <v>0.35457875279162493</v>
      </c>
      <c r="DL19" s="14">
        <f t="shared" si="63"/>
        <v>0.34787935380562823</v>
      </c>
      <c r="DM19" s="14">
        <f t="shared" si="63"/>
        <v>0.33533338874330193</v>
      </c>
      <c r="DN19" s="14">
        <f t="shared" si="63"/>
        <v>0.34244344257998105</v>
      </c>
      <c r="DO19" s="14">
        <f t="shared" si="63"/>
        <v>0.341416819462806</v>
      </c>
      <c r="DP19" s="14">
        <f t="shared" si="63"/>
        <v>0.33939567158455314</v>
      </c>
      <c r="DQ19" s="14">
        <f t="shared" si="63"/>
        <v>0.3353945445281421</v>
      </c>
      <c r="DR19" s="14">
        <f t="shared" si="63"/>
        <v>0.33459631237654675</v>
      </c>
      <c r="DS19" s="14">
        <f t="shared" si="63"/>
        <v>0.33173759550279625</v>
      </c>
      <c r="DT19" s="14">
        <f t="shared" si="63"/>
        <v>0.3296356637722675</v>
      </c>
      <c r="DU19" s="14">
        <f t="shared" si="63"/>
        <v>0.32832145064518681</v>
      </c>
      <c r="DV19" s="14">
        <f t="shared" si="63"/>
        <v>0.32711726393960927</v>
      </c>
      <c r="DW19" s="14">
        <f t="shared" si="63"/>
        <v>0.32510866049110426</v>
      </c>
      <c r="DX19" s="14">
        <f t="shared" si="63"/>
        <v>0.31720953356988246</v>
      </c>
      <c r="DY19" s="14">
        <f t="shared" si="63"/>
        <v>0.31913496755721643</v>
      </c>
      <c r="DZ19" s="14">
        <f t="shared" si="63"/>
        <v>0.32415615668732589</v>
      </c>
      <c r="EA19" s="14">
        <f t="shared" si="63"/>
        <v>0.32255544816300796</v>
      </c>
      <c r="EB19" s="14">
        <f t="shared" si="63"/>
        <v>0.32257817022730917</v>
      </c>
      <c r="EC19" s="14">
        <f t="shared" si="63"/>
        <v>0.32103387970008745</v>
      </c>
      <c r="ED19" s="14">
        <f t="shared" si="63"/>
        <v>0.32082317848422115</v>
      </c>
      <c r="EE19" s="14">
        <f t="shared" si="63"/>
        <v>0.31988423146746475</v>
      </c>
      <c r="EF19" s="14">
        <f t="shared" si="63"/>
        <v>0.31903013393245094</v>
      </c>
      <c r="EG19" s="14">
        <f t="shared" si="63"/>
        <v>0.31838442013595114</v>
      </c>
      <c r="EH19" s="14">
        <f t="shared" si="63"/>
        <v>0.31726772181943974</v>
      </c>
      <c r="EI19" s="14">
        <f t="shared" si="63"/>
        <v>0.31649351068936232</v>
      </c>
      <c r="EJ19" s="14">
        <f t="shared" si="63"/>
        <v>0.31273887967998687</v>
      </c>
      <c r="EK19" s="14">
        <f t="shared" si="63"/>
        <v>0.31343510925832607</v>
      </c>
      <c r="EL19" s="14">
        <f t="shared" si="63"/>
        <v>0.31274147181074102</v>
      </c>
      <c r="EM19" s="14">
        <f t="shared" si="63"/>
        <v>0.31117918776267534</v>
      </c>
      <c r="EN19" s="14">
        <f t="shared" si="63"/>
        <v>0.31007428714385754</v>
      </c>
      <c r="EO19" s="14">
        <f t="shared" si="63"/>
        <v>0.30516475348168837</v>
      </c>
      <c r="EP19" s="14">
        <f t="shared" si="63"/>
        <v>0.30729742482715544</v>
      </c>
      <c r="EQ19" s="14">
        <f t="shared" si="63"/>
        <v>0.30802991290175175</v>
      </c>
      <c r="ER19" s="14">
        <f t="shared" si="63"/>
        <v>0.30043467289922371</v>
      </c>
      <c r="ES19" s="14">
        <f t="shared" si="63"/>
        <v>0.29648319698999515</v>
      </c>
      <c r="ET19" s="14">
        <f t="shared" si="63"/>
        <v>0.29528127212329142</v>
      </c>
      <c r="EU19" s="14">
        <f t="shared" si="63"/>
        <v>0.29543267761369063</v>
      </c>
      <c r="EV19" s="14">
        <f t="shared" si="63"/>
        <v>0.29575443694979842</v>
      </c>
      <c r="EW19" s="14">
        <f t="shared" si="63"/>
        <v>0.29442544656296193</v>
      </c>
      <c r="EX19" s="14">
        <f t="shared" si="63"/>
        <v>0.29411294255999082</v>
      </c>
      <c r="EY19" s="14">
        <f t="shared" si="63"/>
        <v>0.29354841250817293</v>
      </c>
      <c r="EZ19" s="14">
        <f t="shared" si="63"/>
        <v>0.29345335110262666</v>
      </c>
      <c r="FA19" s="14">
        <f t="shared" si="63"/>
        <v>0.29193805733430361</v>
      </c>
      <c r="FB19" s="14">
        <f t="shared" si="63"/>
        <v>0.2909934234849928</v>
      </c>
      <c r="FC19" s="14">
        <f t="shared" si="63"/>
        <v>0.29099301976704134</v>
      </c>
      <c r="FD19" s="14">
        <f>SUM(FD16)/FD18</f>
        <v>0.29419972094877417</v>
      </c>
      <c r="FE19" s="14">
        <f>SUM(FE16)/FE18</f>
        <v>0.29386957922431228</v>
      </c>
      <c r="FF19" s="14">
        <f>SUM(FF16)/FF18</f>
        <v>0.29356902165238541</v>
      </c>
      <c r="FG19" s="14">
        <f>SUM(FG16)/FG18</f>
        <v>0.29307838757284321</v>
      </c>
      <c r="FH19" s="14">
        <f>SUM(FH16)/FH18</f>
        <v>0.28969516011236268</v>
      </c>
      <c r="FI19" s="14">
        <f t="shared" ref="FI19:FT19" si="64">SUM(FI16)/FI18</f>
        <v>0.28533117160735799</v>
      </c>
      <c r="FJ19" s="14">
        <f t="shared" si="64"/>
        <v>0.2806867676523383</v>
      </c>
      <c r="FK19" s="14">
        <f t="shared" si="64"/>
        <v>0.27940892580174898</v>
      </c>
      <c r="FL19" s="14">
        <f t="shared" si="64"/>
        <v>0.27166259628842071</v>
      </c>
      <c r="FM19" s="14">
        <f t="shared" si="64"/>
        <v>0.27074884387592285</v>
      </c>
      <c r="FN19" s="14">
        <f t="shared" si="64"/>
        <v>0.26913431443068486</v>
      </c>
      <c r="FO19" s="14">
        <f t="shared" si="64"/>
        <v>0.26844094931704199</v>
      </c>
      <c r="FP19" s="14">
        <f t="shared" si="64"/>
        <v>0.26056795730889076</v>
      </c>
      <c r="FQ19" s="14">
        <f t="shared" si="64"/>
        <v>0.25816597982614381</v>
      </c>
      <c r="FR19" s="14">
        <f t="shared" si="64"/>
        <v>0.25811430084312531</v>
      </c>
      <c r="FS19" s="14">
        <f t="shared" si="64"/>
        <v>0.25621140513485463</v>
      </c>
      <c r="FT19" s="14">
        <f t="shared" si="64"/>
        <v>0.2556846475695207</v>
      </c>
    </row>
    <row r="20" spans="1:176" ht="13.8" thickBot="1" x14ac:dyDescent="0.3">
      <c r="B20" s="4" t="s">
        <v>11</v>
      </c>
      <c r="C20" s="79">
        <f t="shared" ref="C20:Q20" si="65">SUM(C17/C18)</f>
        <v>1.6259627199498864E-2</v>
      </c>
      <c r="D20" s="15">
        <f t="shared" si="65"/>
        <v>4.0029072180773825E-2</v>
      </c>
      <c r="E20" s="15">
        <f t="shared" si="65"/>
        <v>5.354772526794295E-2</v>
      </c>
      <c r="F20" s="15">
        <f t="shared" si="65"/>
        <v>5.9495564338796561E-2</v>
      </c>
      <c r="G20" s="15">
        <f t="shared" si="65"/>
        <v>6.6084645301066239E-2</v>
      </c>
      <c r="H20" s="15">
        <f t="shared" si="65"/>
        <v>7.2750284604567061E-2</v>
      </c>
      <c r="I20" s="15">
        <f t="shared" si="65"/>
        <v>7.463566990589951E-2</v>
      </c>
      <c r="J20" s="15">
        <f t="shared" si="65"/>
        <v>9.0532622056735054E-2</v>
      </c>
      <c r="K20" s="15">
        <f t="shared" si="65"/>
        <v>9.5230140832746696E-2</v>
      </c>
      <c r="L20" s="15">
        <f t="shared" si="65"/>
        <v>0.10373094236861118</v>
      </c>
      <c r="M20" s="15">
        <f t="shared" si="65"/>
        <v>0.10930666349168552</v>
      </c>
      <c r="N20" s="15">
        <f t="shared" si="65"/>
        <v>0.11503153051916289</v>
      </c>
      <c r="O20" s="137">
        <f t="shared" si="65"/>
        <v>0.12563641513037865</v>
      </c>
      <c r="P20" s="15">
        <f t="shared" si="65"/>
        <v>0.13250189633036621</v>
      </c>
      <c r="Q20" s="15">
        <f t="shared" si="65"/>
        <v>0.13697880254844283</v>
      </c>
      <c r="R20" s="15">
        <f t="shared" ref="R20:W20" si="66">SUM(R17/R18)</f>
        <v>0.13742016902122403</v>
      </c>
      <c r="S20" s="15">
        <f t="shared" si="66"/>
        <v>0.14249899494506799</v>
      </c>
      <c r="T20" s="15">
        <f t="shared" si="66"/>
        <v>0.14964482968521772</v>
      </c>
      <c r="U20" s="15">
        <f t="shared" si="66"/>
        <v>0.15499595961436113</v>
      </c>
      <c r="V20" s="15">
        <f t="shared" si="66"/>
        <v>0.16095862980854453</v>
      </c>
      <c r="W20" s="15">
        <f t="shared" si="66"/>
        <v>0.16485584704126413</v>
      </c>
      <c r="X20" s="15">
        <f t="shared" ref="X20:AC20" si="67">SUM(X17/X18)</f>
        <v>0.172207755375651</v>
      </c>
      <c r="Y20" s="15">
        <f t="shared" si="67"/>
        <v>0.17802182165735059</v>
      </c>
      <c r="Z20" s="151">
        <f t="shared" si="67"/>
        <v>0.18981054840975009</v>
      </c>
      <c r="AA20" s="137">
        <f t="shared" si="67"/>
        <v>0.19209080779581278</v>
      </c>
      <c r="AB20" s="15">
        <f t="shared" si="67"/>
        <v>0.19599677468999799</v>
      </c>
      <c r="AC20" s="15">
        <f t="shared" si="67"/>
        <v>0.2046405855989219</v>
      </c>
      <c r="AD20" s="15">
        <f t="shared" ref="AD20:AI20" si="68">SUM(AD17/AD18)</f>
        <v>0.20651450729263043</v>
      </c>
      <c r="AE20" s="15">
        <f t="shared" si="68"/>
        <v>0.21063554877841451</v>
      </c>
      <c r="AF20" s="15">
        <f t="shared" si="68"/>
        <v>0.22013345540245627</v>
      </c>
      <c r="AG20" s="15">
        <f t="shared" si="68"/>
        <v>0.22999820664166362</v>
      </c>
      <c r="AH20" s="15">
        <f t="shared" si="68"/>
        <v>0.23794435699830332</v>
      </c>
      <c r="AI20" s="15">
        <f t="shared" si="68"/>
        <v>0.24605551276726786</v>
      </c>
      <c r="AJ20" s="15">
        <f t="shared" ref="AJ20:AO20" si="69">SUM(AJ17/AJ18)</f>
        <v>0.2539842714272843</v>
      </c>
      <c r="AK20" s="15">
        <f t="shared" si="69"/>
        <v>0.26080579637416207</v>
      </c>
      <c r="AL20" s="151">
        <f t="shared" si="69"/>
        <v>0.26661180639785137</v>
      </c>
      <c r="AM20" s="15">
        <f t="shared" si="69"/>
        <v>0.28082509250699789</v>
      </c>
      <c r="AN20" s="15">
        <f t="shared" si="69"/>
        <v>0.28436506811476508</v>
      </c>
      <c r="AO20" s="15">
        <f t="shared" si="69"/>
        <v>0.29085055248152003</v>
      </c>
      <c r="AP20" s="15">
        <f t="shared" ref="AP20:BA20" si="70">SUM(AP17/AP18)</f>
        <v>0.30369282785931789</v>
      </c>
      <c r="AQ20" s="15">
        <f t="shared" si="70"/>
        <v>0.31026162884016567</v>
      </c>
      <c r="AR20" s="15">
        <f t="shared" si="70"/>
        <v>0.32184000132253432</v>
      </c>
      <c r="AS20" s="15">
        <f t="shared" si="70"/>
        <v>0.32734575419802941</v>
      </c>
      <c r="AT20" s="15">
        <f t="shared" si="70"/>
        <v>0.33636126689338758</v>
      </c>
      <c r="AU20" s="15">
        <f t="shared" si="70"/>
        <v>0.34142440813882541</v>
      </c>
      <c r="AV20" s="15">
        <f t="shared" si="70"/>
        <v>0.34529022628669725</v>
      </c>
      <c r="AW20" s="15">
        <f t="shared" si="70"/>
        <v>0.34786685837161069</v>
      </c>
      <c r="AX20" s="24">
        <f t="shared" si="70"/>
        <v>0.3527268763119733</v>
      </c>
      <c r="AY20" s="15">
        <f t="shared" si="70"/>
        <v>0.35613531441299418</v>
      </c>
      <c r="AZ20" s="15">
        <f t="shared" si="70"/>
        <v>0.35808333375770879</v>
      </c>
      <c r="BA20" s="15">
        <f t="shared" si="70"/>
        <v>0.36469088168282926</v>
      </c>
      <c r="BB20" s="15">
        <f t="shared" ref="BB20:BM20" si="71">SUM(BB17/BB18)</f>
        <v>0.36723731650459907</v>
      </c>
      <c r="BC20" s="15">
        <f t="shared" si="71"/>
        <v>0.37585812781558692</v>
      </c>
      <c r="BD20" s="15">
        <f t="shared" si="71"/>
        <v>0.38062472735990471</v>
      </c>
      <c r="BE20" s="15">
        <f t="shared" si="71"/>
        <v>0.38428779769064231</v>
      </c>
      <c r="BF20" s="15">
        <f t="shared" si="71"/>
        <v>0.39088498447556813</v>
      </c>
      <c r="BG20" s="15">
        <f t="shared" si="71"/>
        <v>0.39451918113721063</v>
      </c>
      <c r="BH20" s="15">
        <f t="shared" si="71"/>
        <v>0.40672791887398108</v>
      </c>
      <c r="BI20" s="15">
        <f t="shared" si="71"/>
        <v>0.41456600071218863</v>
      </c>
      <c r="BJ20" s="24">
        <f t="shared" si="71"/>
        <v>0.41937377789424879</v>
      </c>
      <c r="BK20" s="15">
        <f t="shared" si="71"/>
        <v>0.43185274386700656</v>
      </c>
      <c r="BL20" s="15">
        <f t="shared" si="71"/>
        <v>0.44066710790863795</v>
      </c>
      <c r="BM20" s="15">
        <f t="shared" si="71"/>
        <v>0.44906509758827595</v>
      </c>
      <c r="BN20" s="15">
        <f t="shared" ref="BN20:BS20" si="72">SUM(BN17/BN18)</f>
        <v>0.45160042344575874</v>
      </c>
      <c r="BO20" s="15">
        <f t="shared" si="72"/>
        <v>0.45837171445420827</v>
      </c>
      <c r="BP20" s="15">
        <f t="shared" si="72"/>
        <v>0.46137053398510469</v>
      </c>
      <c r="BQ20" s="15">
        <f t="shared" si="72"/>
        <v>0.46774235051788932</v>
      </c>
      <c r="BR20" s="15">
        <f t="shared" si="72"/>
        <v>0.47357602914380992</v>
      </c>
      <c r="BS20" s="15">
        <f t="shared" si="72"/>
        <v>0.47503044158015123</v>
      </c>
      <c r="BT20" s="15">
        <f>SUM(BT17/BT18)</f>
        <v>0.48217884007786288</v>
      </c>
      <c r="BU20" s="15">
        <f>SUM(BU17/BU18)</f>
        <v>0.49212143862171892</v>
      </c>
      <c r="BV20" s="24">
        <f>SUM(BV17/BV18)</f>
        <v>0.49178960448715908</v>
      </c>
      <c r="BW20" s="15">
        <f t="shared" ref="BW20:CB20" si="73">SUM(BW17/BW18)</f>
        <v>0.49580829819844968</v>
      </c>
      <c r="BX20" s="15">
        <f t="shared" si="73"/>
        <v>0.49911276407361915</v>
      </c>
      <c r="BY20" s="15">
        <f t="shared" si="73"/>
        <v>0.50166666055496678</v>
      </c>
      <c r="BZ20" s="15">
        <f t="shared" si="73"/>
        <v>0.50441839340915862</v>
      </c>
      <c r="CA20" s="15">
        <f t="shared" si="73"/>
        <v>0.50698730433659889</v>
      </c>
      <c r="CB20" s="15">
        <f t="shared" si="73"/>
        <v>0.51174477462729773</v>
      </c>
      <c r="CC20" s="15">
        <f>SUM(CC17/CC18)</f>
        <v>0.51335346226555101</v>
      </c>
      <c r="CD20" s="15">
        <f>SUM(CD17/CD18)</f>
        <v>0.52090035670201285</v>
      </c>
      <c r="CE20" s="15">
        <f>SUM(CE17/CE18)</f>
        <v>0.52877103923750013</v>
      </c>
      <c r="CF20" s="15">
        <f t="shared" ref="CF20:CQ20" si="74">SUM(CF17/CF18)</f>
        <v>0.53207902645807381</v>
      </c>
      <c r="CG20" s="15">
        <f t="shared" si="74"/>
        <v>0.53738210259949393</v>
      </c>
      <c r="CH20" s="15">
        <f t="shared" si="74"/>
        <v>0.54504862330858816</v>
      </c>
      <c r="CI20" s="79">
        <f t="shared" si="74"/>
        <v>0.55207430055194207</v>
      </c>
      <c r="CJ20" s="15">
        <f t="shared" si="74"/>
        <v>0.55152729827991809</v>
      </c>
      <c r="CK20" s="15">
        <f t="shared" si="74"/>
        <v>0.5546471037750268</v>
      </c>
      <c r="CL20" s="15">
        <f t="shared" si="74"/>
        <v>0.55863609182216478</v>
      </c>
      <c r="CM20" s="15">
        <f t="shared" si="74"/>
        <v>0.56291347996425534</v>
      </c>
      <c r="CN20" s="15">
        <f t="shared" si="74"/>
        <v>0.56512376806763176</v>
      </c>
      <c r="CO20" s="15">
        <f t="shared" si="74"/>
        <v>0.56939996587945696</v>
      </c>
      <c r="CP20" s="15">
        <f t="shared" si="74"/>
        <v>0.57382247368741257</v>
      </c>
      <c r="CQ20" s="15">
        <f t="shared" si="74"/>
        <v>0.57960151940737292</v>
      </c>
      <c r="CR20" s="15">
        <f t="shared" ref="CR20:FC20" si="75">SUM(CR17/CR18)</f>
        <v>0.58544965550219485</v>
      </c>
      <c r="CS20" s="15">
        <f t="shared" si="75"/>
        <v>0.59002618678611862</v>
      </c>
      <c r="CT20" s="24">
        <f t="shared" si="75"/>
        <v>0.59345391067047526</v>
      </c>
      <c r="CU20" s="15">
        <f t="shared" si="75"/>
        <v>0.5932908661889833</v>
      </c>
      <c r="CV20" s="15">
        <f t="shared" si="75"/>
        <v>0.59822637717880389</v>
      </c>
      <c r="CW20" s="15">
        <f t="shared" si="75"/>
        <v>0.60156519555190879</v>
      </c>
      <c r="CX20" s="15">
        <f t="shared" si="75"/>
        <v>0.60309033721794592</v>
      </c>
      <c r="CY20" s="15">
        <f t="shared" si="75"/>
        <v>0.60641929297023889</v>
      </c>
      <c r="CZ20" s="15">
        <f t="shared" si="75"/>
        <v>0.61010788403826688</v>
      </c>
      <c r="DA20" s="15">
        <f t="shared" si="75"/>
        <v>0.61580565507891938</v>
      </c>
      <c r="DB20" s="15">
        <f t="shared" si="75"/>
        <v>0.61809945705042091</v>
      </c>
      <c r="DC20" s="15">
        <f t="shared" si="75"/>
        <v>0.62208191369655896</v>
      </c>
      <c r="DD20" s="15">
        <f t="shared" si="75"/>
        <v>0.62412636901391949</v>
      </c>
      <c r="DE20" s="15">
        <f t="shared" si="75"/>
        <v>0.62937094399136173</v>
      </c>
      <c r="DF20" s="24">
        <f t="shared" si="75"/>
        <v>0.63403332109240607</v>
      </c>
      <c r="DG20" s="15">
        <f t="shared" si="75"/>
        <v>0.63255628293150246</v>
      </c>
      <c r="DH20" s="15">
        <f t="shared" si="75"/>
        <v>0.6385311556764024</v>
      </c>
      <c r="DI20" s="15">
        <f t="shared" si="75"/>
        <v>0.64114360115011126</v>
      </c>
      <c r="DJ20" s="15">
        <f t="shared" si="75"/>
        <v>0.64332443994050603</v>
      </c>
      <c r="DK20" s="15">
        <f t="shared" si="75"/>
        <v>0.64542124720837502</v>
      </c>
      <c r="DL20" s="15">
        <f t="shared" si="75"/>
        <v>0.65212064619437182</v>
      </c>
      <c r="DM20" s="15">
        <f t="shared" si="75"/>
        <v>0.66466661125669813</v>
      </c>
      <c r="DN20" s="15">
        <f t="shared" si="75"/>
        <v>0.65755655742001895</v>
      </c>
      <c r="DO20" s="15">
        <f t="shared" si="75"/>
        <v>0.658583180537194</v>
      </c>
      <c r="DP20" s="15">
        <f t="shared" si="75"/>
        <v>0.66060432841544681</v>
      </c>
      <c r="DQ20" s="15">
        <f t="shared" si="75"/>
        <v>0.6646054554718579</v>
      </c>
      <c r="DR20" s="15">
        <f t="shared" si="75"/>
        <v>0.66540368762345325</v>
      </c>
      <c r="DS20" s="15">
        <f t="shared" si="75"/>
        <v>0.66826240449720375</v>
      </c>
      <c r="DT20" s="15">
        <f t="shared" si="75"/>
        <v>0.6703643362277325</v>
      </c>
      <c r="DU20" s="15">
        <f t="shared" si="75"/>
        <v>0.67167854935481319</v>
      </c>
      <c r="DV20" s="15">
        <f t="shared" si="75"/>
        <v>0.67288273606039073</v>
      </c>
      <c r="DW20" s="15">
        <f t="shared" si="75"/>
        <v>0.67489133950889579</v>
      </c>
      <c r="DX20" s="15">
        <f t="shared" si="75"/>
        <v>0.68279046643011754</v>
      </c>
      <c r="DY20" s="15">
        <f t="shared" si="75"/>
        <v>0.68086503244278362</v>
      </c>
      <c r="DZ20" s="15">
        <f t="shared" si="75"/>
        <v>0.67584384331267411</v>
      </c>
      <c r="EA20" s="15">
        <f t="shared" si="75"/>
        <v>0.67744455183699204</v>
      </c>
      <c r="EB20" s="15">
        <f t="shared" si="75"/>
        <v>0.67742182977269083</v>
      </c>
      <c r="EC20" s="15">
        <f t="shared" si="75"/>
        <v>0.67896612029991255</v>
      </c>
      <c r="ED20" s="15">
        <f t="shared" si="75"/>
        <v>0.67917682151577885</v>
      </c>
      <c r="EE20" s="15">
        <f t="shared" si="75"/>
        <v>0.6801157685325353</v>
      </c>
      <c r="EF20" s="15">
        <f t="shared" si="75"/>
        <v>0.68096986606754906</v>
      </c>
      <c r="EG20" s="15">
        <f t="shared" si="75"/>
        <v>0.68161557986404886</v>
      </c>
      <c r="EH20" s="15">
        <f t="shared" si="75"/>
        <v>0.68273227818056026</v>
      </c>
      <c r="EI20" s="15">
        <f t="shared" si="75"/>
        <v>0.68350648931063762</v>
      </c>
      <c r="EJ20" s="15">
        <f t="shared" si="75"/>
        <v>0.68726112032001319</v>
      </c>
      <c r="EK20" s="15">
        <f t="shared" si="75"/>
        <v>0.68656489074167393</v>
      </c>
      <c r="EL20" s="15">
        <f t="shared" si="75"/>
        <v>0.68725852818925892</v>
      </c>
      <c r="EM20" s="15">
        <f t="shared" si="75"/>
        <v>0.68882081223732461</v>
      </c>
      <c r="EN20" s="15">
        <f t="shared" si="75"/>
        <v>0.68992571285614246</v>
      </c>
      <c r="EO20" s="15">
        <f t="shared" si="75"/>
        <v>0.69483524651831163</v>
      </c>
      <c r="EP20" s="15">
        <f t="shared" si="75"/>
        <v>0.6927025751728445</v>
      </c>
      <c r="EQ20" s="15">
        <f t="shared" si="75"/>
        <v>0.69197008709824825</v>
      </c>
      <c r="ER20" s="15">
        <f t="shared" si="75"/>
        <v>0.69956532710077635</v>
      </c>
      <c r="ES20" s="15">
        <f t="shared" si="75"/>
        <v>0.70351680301000485</v>
      </c>
      <c r="ET20" s="15">
        <f t="shared" si="75"/>
        <v>0.70471872787670864</v>
      </c>
      <c r="EU20" s="15">
        <f t="shared" si="75"/>
        <v>0.70456732238630937</v>
      </c>
      <c r="EV20" s="15">
        <f t="shared" si="75"/>
        <v>0.70424556305020158</v>
      </c>
      <c r="EW20" s="15">
        <f t="shared" si="75"/>
        <v>0.70557455343703812</v>
      </c>
      <c r="EX20" s="15">
        <f t="shared" si="75"/>
        <v>0.70588705744000924</v>
      </c>
      <c r="EY20" s="15">
        <f t="shared" si="75"/>
        <v>0.70645158749182702</v>
      </c>
      <c r="EZ20" s="15">
        <f t="shared" si="75"/>
        <v>0.70654664889737329</v>
      </c>
      <c r="FA20" s="15">
        <f t="shared" si="75"/>
        <v>0.70806194266569644</v>
      </c>
      <c r="FB20" s="15">
        <f t="shared" si="75"/>
        <v>0.7090065765150072</v>
      </c>
      <c r="FC20" s="15">
        <f t="shared" si="75"/>
        <v>0.70900698023295872</v>
      </c>
      <c r="FD20" s="15">
        <f>SUM(FD17/FD18)</f>
        <v>0.70580027905122589</v>
      </c>
      <c r="FE20" s="15">
        <f>SUM(FE17/FE18)</f>
        <v>0.70613042077568777</v>
      </c>
      <c r="FF20" s="15">
        <f>SUM(FF17/FF18)</f>
        <v>0.70643097834761459</v>
      </c>
      <c r="FG20" s="15">
        <f>SUM(FG17/FG18)</f>
        <v>0.70692161242715679</v>
      </c>
      <c r="FH20" s="15">
        <f>SUM(FH17/FH18)</f>
        <v>0.71030483988763737</v>
      </c>
      <c r="FI20" s="15">
        <f t="shared" ref="FI20:FT20" si="76">SUM(FI17/FI18)</f>
        <v>0.71466882839264201</v>
      </c>
      <c r="FJ20" s="15">
        <f t="shared" si="76"/>
        <v>0.71931323234766165</v>
      </c>
      <c r="FK20" s="15">
        <f t="shared" si="76"/>
        <v>0.72059107419825108</v>
      </c>
      <c r="FL20" s="15">
        <f t="shared" si="76"/>
        <v>0.72833740371157929</v>
      </c>
      <c r="FM20" s="15">
        <f t="shared" si="76"/>
        <v>0.72925115612407709</v>
      </c>
      <c r="FN20" s="15">
        <f t="shared" si="76"/>
        <v>0.73086568556931508</v>
      </c>
      <c r="FO20" s="15">
        <f t="shared" si="76"/>
        <v>0.73155905068295801</v>
      </c>
      <c r="FP20" s="15">
        <f t="shared" si="76"/>
        <v>0.73943204269110918</v>
      </c>
      <c r="FQ20" s="15">
        <f t="shared" si="76"/>
        <v>0.74183402017385613</v>
      </c>
      <c r="FR20" s="15">
        <f t="shared" si="76"/>
        <v>0.74188569915687463</v>
      </c>
      <c r="FS20" s="15">
        <f t="shared" si="76"/>
        <v>0.74378859486514537</v>
      </c>
      <c r="FT20" s="15">
        <f t="shared" si="76"/>
        <v>0.7443153524304793</v>
      </c>
    </row>
    <row r="21" spans="1:176" ht="13.95" customHeight="1" x14ac:dyDescent="0.25">
      <c r="A21" s="20"/>
      <c r="C21" s="74"/>
      <c r="D21" s="18"/>
      <c r="E21" s="18"/>
      <c r="F21" s="18"/>
      <c r="G21" s="18"/>
      <c r="H21" s="19"/>
      <c r="I21" s="18"/>
      <c r="J21" s="18"/>
      <c r="K21" s="18"/>
      <c r="L21" s="18"/>
      <c r="M21" s="18"/>
      <c r="N21" s="18"/>
      <c r="O21" s="138"/>
      <c r="P21" s="18"/>
      <c r="Q21" s="18"/>
      <c r="U21" s="18"/>
      <c r="V21" s="18"/>
      <c r="W21" s="18"/>
      <c r="X21" s="18"/>
      <c r="Y21" s="18"/>
      <c r="Z21" s="146"/>
      <c r="AA21" s="13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46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20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20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20"/>
      <c r="BW21" s="18"/>
      <c r="BX21" s="18"/>
      <c r="BY21" s="18"/>
      <c r="BZ21" s="18"/>
      <c r="CA21" s="18"/>
      <c r="CB21" s="18"/>
      <c r="CC21" s="69"/>
      <c r="CD21" s="69"/>
      <c r="CE21" s="69"/>
      <c r="CF21" s="69"/>
      <c r="CG21" s="69"/>
      <c r="CH21" s="69"/>
      <c r="CI21" s="88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69"/>
      <c r="DH21" s="69"/>
      <c r="DI21" s="69"/>
      <c r="DJ21" s="69"/>
    </row>
    <row r="22" spans="1:176" x14ac:dyDescent="0.25">
      <c r="A22" s="20"/>
      <c r="B22" s="279" t="s">
        <v>49</v>
      </c>
      <c r="C22" s="81" t="s">
        <v>61</v>
      </c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161"/>
      <c r="P22" s="18"/>
      <c r="Q22" s="18"/>
      <c r="U22" s="18"/>
      <c r="V22" s="18"/>
      <c r="W22" s="18"/>
      <c r="X22" s="18"/>
      <c r="Y22" s="18"/>
      <c r="Z22" s="146"/>
      <c r="AA22" s="13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46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20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20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20"/>
      <c r="BW22" s="18"/>
      <c r="BX22" s="18"/>
      <c r="BY22" s="18"/>
      <c r="BZ22" s="18"/>
      <c r="CA22" s="18"/>
      <c r="CB22" s="18"/>
      <c r="CC22" s="69"/>
      <c r="CD22" s="69"/>
      <c r="CE22" s="69"/>
      <c r="CF22" s="69"/>
      <c r="CG22" s="69"/>
      <c r="CH22" s="69"/>
      <c r="CI22" s="88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69"/>
      <c r="DH22" s="69"/>
      <c r="DI22" s="69"/>
      <c r="DJ22" s="69"/>
    </row>
    <row r="23" spans="1:176" x14ac:dyDescent="0.25">
      <c r="B23" s="114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161"/>
      <c r="P23" s="18"/>
      <c r="Q23" s="18"/>
      <c r="U23" s="18"/>
      <c r="V23" s="18"/>
      <c r="W23" s="18"/>
      <c r="X23" s="18"/>
      <c r="Y23" s="18"/>
      <c r="Z23" s="146"/>
      <c r="AA23" s="13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46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20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20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20"/>
      <c r="BW23" s="18"/>
      <c r="BX23" s="18"/>
      <c r="BY23" s="18"/>
      <c r="BZ23" s="18"/>
      <c r="CA23" s="18"/>
      <c r="CB23" s="18"/>
      <c r="CC23" s="69"/>
      <c r="CD23" s="69"/>
      <c r="CE23" s="69"/>
      <c r="CF23" s="69"/>
      <c r="CG23" s="69"/>
      <c r="CH23" s="69"/>
      <c r="CI23" s="88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69"/>
      <c r="DH23" s="69"/>
      <c r="DI23" s="69"/>
      <c r="DJ23" s="69"/>
    </row>
    <row r="24" spans="1:176" x14ac:dyDescent="0.25">
      <c r="B24" s="114" t="s">
        <v>1</v>
      </c>
      <c r="C24" s="75">
        <f>SUM(Oncor!C24,Centerpoint!C24,'AEP Central'!C24,TNMP!C24,'AEP North'!C24)</f>
        <v>5196</v>
      </c>
      <c r="D24" s="16">
        <f>SUM(Oncor!D24,Centerpoint!D24,'AEP Central'!D24,TNMP!D24,'AEP North'!D24)</f>
        <v>5188</v>
      </c>
      <c r="E24" s="16">
        <f>SUM(Oncor!E24,Centerpoint!E24,'AEP Central'!E24,TNMP!E24,'AEP North'!E24)</f>
        <v>6374</v>
      </c>
      <c r="F24" s="16">
        <f>SUM(Oncor!F24,Centerpoint!F24,'AEP Central'!F24,TNMP!F24,'AEP North'!F24)</f>
        <v>6455</v>
      </c>
      <c r="G24" s="16">
        <f>SUM(Oncor!G24,Centerpoint!G24,'AEP Central'!G24,TNMP!G24,'AEP North'!G24)</f>
        <v>6285</v>
      </c>
      <c r="H24" s="16">
        <f>SUM(Oncor!H24,Centerpoint!H24,'AEP Central'!H24,TNMP!H24,'AEP North'!H24)</f>
        <v>6771</v>
      </c>
      <c r="I24" s="16">
        <f>SUM(Oncor!I24,Centerpoint!I24,'AEP Central'!I24,TNMP!I24,'AEP North'!I24)</f>
        <v>7006</v>
      </c>
      <c r="J24" s="16">
        <f>SUM(Oncor!J24,Centerpoint!J24,'AEP Central'!J24,TNMP!J24,'AEP North'!J24)</f>
        <v>6596</v>
      </c>
      <c r="K24" s="16">
        <f>SUM(Oncor!K24,Centerpoint!K24,'AEP Central'!K24,TNMP!K24,'AEP North'!K24)</f>
        <v>6547</v>
      </c>
      <c r="L24" s="16">
        <f>SUM(Oncor!L24,Centerpoint!L24,'AEP Central'!L24,TNMP!L24,'AEP North'!L24)</f>
        <v>6555</v>
      </c>
      <c r="M24" s="16">
        <f>SUM(Oncor!M24,Centerpoint!M24,'AEP Central'!M24,TNMP!M24,'AEP North'!M24)</f>
        <v>6472</v>
      </c>
      <c r="N24" s="16">
        <f>SUM(Oncor!N24,Centerpoint!N24,'AEP Central'!N24,TNMP!N24,'AEP North'!N24)</f>
        <v>6437</v>
      </c>
      <c r="O24" s="133">
        <f>SUM(Oncor!O24,Centerpoint!O24,'AEP Central'!O24,TNMP!O24,'AEP North'!O24)</f>
        <v>5893</v>
      </c>
      <c r="P24" s="16">
        <f>SUM(Oncor!P24,Centerpoint!P24,'AEP Central'!P24,TNMP!P24,'AEP North'!P24)</f>
        <v>5661</v>
      </c>
      <c r="Q24" s="16">
        <f>SUM(Oncor!Q24,Centerpoint!Q24,'AEP Central'!Q24,TNMP!Q24,'AEP North'!Q24)</f>
        <v>5680</v>
      </c>
      <c r="R24" s="16">
        <f>SUM(Oncor!R24,Centerpoint!R24,'AEP Central'!R24,TNMP!R24,'AEP North'!R24)</f>
        <v>5660</v>
      </c>
      <c r="S24" s="16">
        <f>SUM(Oncor!S24,Centerpoint!S24,'AEP Central'!S24,TNMP!S24,'AEP North'!S24)</f>
        <v>5570</v>
      </c>
      <c r="T24" s="16">
        <f>SUM(Oncor!T24,Centerpoint!T24,'AEP Central'!T24,TNMP!T24,'AEP North'!T24)</f>
        <v>5388</v>
      </c>
      <c r="U24" s="16">
        <f>SUM(Oncor!U24,Centerpoint!U24,'AEP Central'!U24,TNMP!U24,'AEP North'!U24)</f>
        <v>5354</v>
      </c>
      <c r="V24" s="16">
        <f>SUM(Oncor!V24,Centerpoint!V24,'AEP Central'!V24,TNMP!V24,'AEP North'!V24)</f>
        <v>5335</v>
      </c>
      <c r="W24" s="16">
        <f>SUM(Oncor!W24,Centerpoint!W24,'AEP Central'!W24,TNMP!W24,'AEP North'!W24)</f>
        <v>5222</v>
      </c>
      <c r="X24" s="16">
        <f>SUM(Oncor!X24,Centerpoint!X24,'AEP Central'!X24,TNMP!X24,'AEP North'!X24)</f>
        <v>5223</v>
      </c>
      <c r="Y24" s="16">
        <f>SUM(Oncor!Y24,Centerpoint!Y24,'AEP Central'!Y24,TNMP!Y24,'AEP North'!Y24)</f>
        <v>5081</v>
      </c>
      <c r="Z24" s="147">
        <f>SUM(Oncor!Z24,Centerpoint!Z24,'AEP Central'!Z24,TNMP!Z24,'AEP North'!Z24)</f>
        <v>5072</v>
      </c>
      <c r="AA24" s="133">
        <f>SUM(Oncor!AA24,Centerpoint!AA24,'AEP Central'!AA24,TNMP!AA24,'AEP North'!AA24)</f>
        <v>5154</v>
      </c>
      <c r="AB24" s="16">
        <f>SUM(Oncor!AB24,Centerpoint!AB24,'AEP Central'!AB24,TNMP!AB24,'AEP North'!AB24)</f>
        <v>5091</v>
      </c>
      <c r="AC24" s="16">
        <f>SUM(Oncor!AC24,Centerpoint!AC24,'AEP Central'!AC24,TNMP!AC24,'AEP North'!AC24)</f>
        <v>5162</v>
      </c>
      <c r="AD24" s="16">
        <f>SUM(Oncor!AD24,Centerpoint!AD24,'AEP Central'!AD24,TNMP!AD24,'AEP North'!AD24)</f>
        <v>5027</v>
      </c>
      <c r="AE24" s="16">
        <f>SUM(Oncor!AE24,Centerpoint!AE24,'AEP Central'!AE24,TNMP!AE24,'AEP North'!AE24)</f>
        <v>4940</v>
      </c>
      <c r="AF24" s="16">
        <f>SUM(Oncor!AF24,Centerpoint!AF24,'AEP Central'!AF24,TNMP!AF24,'AEP North'!AF24)</f>
        <v>4900</v>
      </c>
      <c r="AG24" s="16">
        <f>SUM(Oncor!AG24,Centerpoint!AG24,'AEP Central'!AG24,TNMP!AG24,'AEP North'!AG24)</f>
        <v>4823</v>
      </c>
      <c r="AH24" s="16">
        <f>SUM(Oncor!AH24,Centerpoint!AH24,'AEP Central'!AH24,TNMP!AH24,'AEP North'!AH24)</f>
        <v>4784</v>
      </c>
      <c r="AI24" s="16">
        <f>SUM(Oncor!AI24,Centerpoint!AI24,'AEP Central'!AI24,TNMP!AI24,'AEP North'!AI24)</f>
        <v>4702</v>
      </c>
      <c r="AJ24" s="16">
        <f>SUM(Oncor!AJ24,Centerpoint!AJ24,'AEP Central'!AJ24,TNMP!AJ24,'AEP North'!AJ24)</f>
        <v>4634</v>
      </c>
      <c r="AK24" s="16">
        <f>SUM(Oncor!AK24,Centerpoint!AK24,'AEP Central'!AK24,TNMP!AK24,'AEP North'!AK24)</f>
        <v>4591</v>
      </c>
      <c r="AL24" s="147">
        <f>SUM(Oncor!AL24,Centerpoint!AL24,'AEP Central'!AL24,TNMP!AL24,'AEP North'!AL24)</f>
        <v>4495</v>
      </c>
      <c r="AM24" s="16">
        <f>SUM(Oncor!AM24,Centerpoint!AM24,'AEP Central'!AM24,TNMP!AM24,'AEP North'!AM24)</f>
        <v>4320</v>
      </c>
      <c r="AN24" s="16">
        <f>SUM(Oncor!AN24,Centerpoint!AN24,'AEP Central'!AN24,TNMP!AN24,'AEP North'!AN24)</f>
        <v>4217</v>
      </c>
      <c r="AO24" s="16">
        <f>SUM(Oncor!AO24,Centerpoint!AO24,'AEP Central'!AO24,TNMP!AO24,'AEP North'!AO24)</f>
        <v>4115</v>
      </c>
      <c r="AP24" s="16">
        <f>SUM(Oncor!AP24,Centerpoint!AP24,'AEP Central'!AP24,TNMP!AP24,'AEP North'!AP24)</f>
        <v>4049</v>
      </c>
      <c r="AQ24" s="16">
        <f>SUM(Oncor!AQ24,Centerpoint!AQ24,'AEP Central'!AQ24,TNMP!AQ24,'AEP North'!AQ24)</f>
        <v>3997</v>
      </c>
      <c r="AR24" s="16">
        <f>SUM(Oncor!AR24,Centerpoint!AR24,'AEP Central'!AR24,TNMP!AR24,'AEP North'!AR24)</f>
        <v>3709</v>
      </c>
      <c r="AS24" s="16">
        <f>SUM(Oncor!AS24,Centerpoint!AS24,'AEP Central'!AS24,TNMP!AS24,'AEP North'!AS24)</f>
        <v>3580</v>
      </c>
      <c r="AT24" s="16">
        <f>SUM(Oncor!AT24,Centerpoint!AT24,'AEP Central'!AT24,TNMP!AT24,'AEP North'!AT24)</f>
        <v>3582</v>
      </c>
      <c r="AU24" s="16">
        <f>SUM(Oncor!AU24,Centerpoint!AU24,'AEP Central'!AU24,TNMP!AU24,'AEP North'!AU24)</f>
        <v>3498</v>
      </c>
      <c r="AV24" s="16">
        <f>SUM(Oncor!AV24,Centerpoint!AV24,'AEP Central'!AV24,TNMP!AV24,'AEP North'!AV24)</f>
        <v>3454</v>
      </c>
      <c r="AW24" s="16">
        <f>SUM(Oncor!AW24,Centerpoint!AW24,'AEP Central'!AW24,TNMP!AW24,'AEP North'!AW24)</f>
        <v>3397</v>
      </c>
      <c r="AX24" s="21">
        <f>SUM(Oncor!AX24,Centerpoint!AX24,'AEP Central'!AX24,TNMP!AX24,'AEP North'!AX24)</f>
        <v>3372</v>
      </c>
      <c r="AY24" s="16">
        <f>SUM(Oncor!AY24,Centerpoint!AY24,'AEP Central'!AY24,TNMP!AY24,'AEP North'!AY24)</f>
        <v>3384</v>
      </c>
      <c r="AZ24" s="16">
        <f>SUM(Oncor!AZ24,Centerpoint!AZ24,'AEP Central'!AZ24,TNMP!AZ24,'AEP North'!AZ24)</f>
        <v>3348</v>
      </c>
      <c r="BA24" s="16">
        <f>SUM(Oncor!BA24,Centerpoint!BA24,'AEP Central'!BA24,TNMP!BA24,'AEP North'!BA24)</f>
        <v>3396</v>
      </c>
      <c r="BB24" s="16">
        <f>SUM(Oncor!BB24,Centerpoint!BB24,'AEP Central'!BB24,TNMP!BB24,'AEP North'!BB24)</f>
        <v>3310</v>
      </c>
      <c r="BC24" s="16">
        <f>SUM(Oncor!BC24,Centerpoint!BC24,'AEP Central'!BC24,TNMP!BC24,'AEP North'!BC24)</f>
        <v>3375</v>
      </c>
      <c r="BD24" s="16">
        <f>SUM(Oncor!BD24,Centerpoint!BD24,'AEP Central'!BD24,TNMP!BD24,'AEP North'!BD24)</f>
        <v>3342</v>
      </c>
      <c r="BE24" s="16">
        <f>SUM(Oncor!BE24,Centerpoint!BE24,'AEP Central'!BE24,TNMP!BE24,'AEP North'!BE24)</f>
        <v>3301</v>
      </c>
      <c r="BF24" s="16">
        <f>SUM(Oncor!BF24,Centerpoint!BF24,'AEP Central'!BF24,TNMP!BF24,'AEP North'!BF24)</f>
        <v>3335</v>
      </c>
      <c r="BG24" s="16">
        <f>SUM(Oncor!BG24,Centerpoint!BG24,'AEP Central'!BG24,TNMP!BG24,'AEP North'!BG24)</f>
        <v>3250</v>
      </c>
      <c r="BH24" s="16">
        <f>SUM(Oncor!BH24,Centerpoint!BH24,'AEP Central'!BH24,TNMP!BH24,'AEP North'!BH24)</f>
        <v>3272</v>
      </c>
      <c r="BI24" s="16">
        <f>SUM(Oncor!BI24,Centerpoint!BI24,'AEP Central'!BI24,TNMP!BI24,'AEP North'!BI24)</f>
        <v>3215</v>
      </c>
      <c r="BJ24" s="21">
        <f>SUM(Oncor!BJ24,Centerpoint!BJ24,'AEP Central'!BJ24,TNMP!BJ24,'AEP North'!BJ24)</f>
        <v>3167</v>
      </c>
      <c r="BK24" s="16">
        <f>SUM(Oncor!BK24,Centerpoint!BK24,'AEP Central'!BK24,TNMP!BK24,'AEP North'!BK24)</f>
        <v>3205</v>
      </c>
      <c r="BL24" s="16">
        <f>SUM(Oncor!BL24,Centerpoint!BL24,'AEP Central'!BL24,TNMP!BL24,'AEP North'!BL24)</f>
        <v>3094</v>
      </c>
      <c r="BM24" s="16">
        <f>SUM(Oncor!BM24,Centerpoint!BM24,'AEP Central'!BM24,TNMP!BM24,'AEP North'!BM24)</f>
        <v>3123</v>
      </c>
      <c r="BN24" s="16">
        <f>SUM(Oncor!BN24,Centerpoint!BN24,'AEP Central'!BN24,TNMP!BN24,'AEP North'!BN24)</f>
        <v>3062</v>
      </c>
      <c r="BO24" s="16">
        <f>SUM(Oncor!BO24,Centerpoint!BO24,'AEP Central'!BO24,TNMP!BO24,'AEP North'!BO24)</f>
        <v>3089</v>
      </c>
      <c r="BP24" s="16">
        <f>SUM(Oncor!BP24,Centerpoint!BP24,'AEP Central'!BP24,TNMP!BP24,'AEP North'!BP24)</f>
        <v>3068</v>
      </c>
      <c r="BQ24" s="16">
        <f>SUM(Oncor!BQ24,Centerpoint!BQ24,'AEP Central'!BQ24,TNMP!BQ24,'AEP North'!BQ24)</f>
        <v>3058</v>
      </c>
      <c r="BR24" s="16">
        <f>SUM(Oncor!BR24,Centerpoint!BR24,'AEP Central'!BR24,TNMP!BR24,'AEP North'!BR24)</f>
        <v>3058</v>
      </c>
      <c r="BS24" s="16">
        <f>SUM(Oncor!BS24,Centerpoint!BS24,'AEP Central'!BS24,TNMP!BS24,'AEP North'!BS24)</f>
        <v>2969</v>
      </c>
      <c r="BT24" s="16">
        <f>SUM(Oncor!BT24,Centerpoint!BT24,'AEP Central'!BT24,TNMP!BT24,'AEP North'!BT24)</f>
        <v>2973</v>
      </c>
      <c r="BU24" s="16">
        <f>SUM(Oncor!BU24,Centerpoint!BU24,'AEP Central'!BU24,TNMP!BU24,'AEP North'!BU24)</f>
        <v>2963</v>
      </c>
      <c r="BV24" s="21">
        <f>SUM(Oncor!BV24,Centerpoint!BV24,'AEP Central'!BV24,TNMP!BV24,'AEP North'!BV24)</f>
        <v>2962</v>
      </c>
      <c r="BW24" s="16">
        <f>SUM(Oncor!BW24,Centerpoint!BW24,'AEP Central'!BW24,TNMP!BW24,'AEP North'!BW24)</f>
        <v>2943</v>
      </c>
      <c r="BX24" s="16">
        <f>SUM(Oncor!BX24,Centerpoint!BX24,'AEP Central'!BX24,TNMP!BX24,'AEP North'!BX24)</f>
        <v>2946</v>
      </c>
      <c r="BY24" s="16">
        <f>SUM(Oncor!BY24,Centerpoint!BY24,'AEP Central'!BY24,TNMP!BY24,'AEP North'!BY24)</f>
        <v>2950</v>
      </c>
      <c r="BZ24" s="16">
        <f>SUM(Oncor!BZ24,Centerpoint!BZ24,'AEP Central'!BZ24,TNMP!BZ24,'AEP North'!BZ24)</f>
        <v>2948</v>
      </c>
      <c r="CA24" s="16">
        <f>SUM(Oncor!CA24,Centerpoint!CA24,'AEP Central'!CA24,TNMP!CA24,'AEP North'!CA24)</f>
        <v>2952</v>
      </c>
      <c r="CB24" s="16">
        <f>SUM(Oncor!CB24,Centerpoint!CB24,'AEP Central'!CB24,TNMP!CB24,'AEP North'!CB24)</f>
        <v>2935</v>
      </c>
      <c r="CC24" s="69">
        <f>SUM(Oncor!CC24,Centerpoint!CC24,'AEP Central'!CC24,TNMP!CC24,'AEP North'!CC24)</f>
        <v>2929</v>
      </c>
      <c r="CD24" s="69">
        <f>SUM(Oncor!CD24,Centerpoint!CD24,'AEP Central'!CD24,TNMP!CD24,'AEP North'!CD24)</f>
        <v>2935</v>
      </c>
      <c r="CE24" s="69">
        <f>SUM(Oncor!CE24,Centerpoint!CE24,'AEP Central'!CE24,TNMP!CE24,'AEP North'!CE24)</f>
        <v>2931</v>
      </c>
      <c r="CF24" s="69">
        <f>SUM(Oncor!CF24,Centerpoint!CF24,'AEP Central'!CF24,TNMP!CF24,'AEP North'!CF24)</f>
        <v>2909</v>
      </c>
      <c r="CG24" s="69">
        <f>SUM(Oncor!CG24,Centerpoint!CG24,'AEP Central'!CG24,TNMP!CG24,'AEP North'!CG24)</f>
        <v>2897</v>
      </c>
      <c r="CH24" s="69">
        <f>SUM(Oncor!CH24,Centerpoint!CH24,'AEP Central'!CH24,TNMP!CH24,'AEP North'!CH24)</f>
        <v>2904</v>
      </c>
      <c r="CI24" s="88">
        <f>SUM(Oncor!CI24,Centerpoint!CI24,'AEP Central'!CI24,TNMP!CI24,'AEP North'!CI24)</f>
        <v>2916</v>
      </c>
      <c r="CJ24" s="69">
        <f>SUM(Oncor!CJ24,Centerpoint!CJ24,'AEP Central'!CJ24,TNMP!CJ24,'AEP North'!CJ24)</f>
        <v>2892</v>
      </c>
      <c r="CK24" s="69">
        <f>SUM(Oncor!CK24,Centerpoint!CK24,'AEP Central'!CK24,TNMP!CK24,'AEP North'!CK24)</f>
        <v>2892</v>
      </c>
      <c r="CL24" s="69">
        <f>SUM(Oncor!CL24,Centerpoint!CL24,'AEP Central'!CL24,TNMP!CL24,'AEP North'!CL24)</f>
        <v>2876</v>
      </c>
      <c r="CM24" s="69">
        <f>SUM(Oncor!CM24,Centerpoint!CM24,'AEP Central'!CM24,TNMP!CM24,'AEP North'!CM24)</f>
        <v>2850</v>
      </c>
      <c r="CN24" s="69">
        <f>SUM(Oncor!CN24,Centerpoint!CN24,'AEP Central'!CN24,TNMP!CN24,'AEP North'!CN24)</f>
        <v>2843</v>
      </c>
      <c r="CO24" s="69">
        <f>SUM(Oncor!CO24,Centerpoint!CO24,'AEP Central'!CO24,TNMP!CO24,'AEP North'!CO24)</f>
        <v>2820</v>
      </c>
      <c r="CP24" s="69">
        <f>SUM(Oncor!CP24,Centerpoint!CP24,'AEP Central'!CP24,TNMP!CP24,'AEP North'!CP24)</f>
        <v>2741</v>
      </c>
      <c r="CQ24" s="69">
        <f>SUM(Oncor!CQ24,Centerpoint!CQ24,'AEP Central'!CQ24,TNMP!CQ24,'AEP North'!CQ24)</f>
        <v>2719</v>
      </c>
      <c r="CR24" s="69">
        <f>SUM(Oncor!CR24,Centerpoint!CR24,'AEP Central'!CR24,TNMP!CR24,'AEP North'!CR24)</f>
        <v>2666</v>
      </c>
      <c r="CS24" s="69">
        <f>SUM(Oncor!CS24,Centerpoint!CS24,'AEP Central'!CS24,TNMP!CS24,'AEP North'!CS24)</f>
        <v>2657</v>
      </c>
      <c r="CT24" s="89">
        <f>SUM(Oncor!CT24,Centerpoint!CT24,'AEP Central'!CT24,TNMP!CT24,'AEP North'!CT24)</f>
        <v>2652</v>
      </c>
      <c r="CU24" s="69">
        <f>SUM(Oncor!CU24,Centerpoint!CU24,'AEP Central'!CU24,TNMP!CU24,'AEP North'!CU24)</f>
        <v>2654</v>
      </c>
      <c r="CV24" s="69">
        <f>SUM(Oncor!CV24,Centerpoint!CV24,'AEP Central'!CV24,TNMP!CV24,'AEP North'!CV24)</f>
        <v>2686</v>
      </c>
      <c r="CW24" s="69">
        <f>SUM(Oncor!CW24,Centerpoint!CW24,'AEP Central'!CW24,TNMP!CW24,'AEP North'!CW24)</f>
        <v>2664</v>
      </c>
      <c r="CX24" s="69">
        <f>SUM(Oncor!CX24,Centerpoint!CX24,'AEP Central'!CX24,TNMP!CX24,'AEP North'!CX24)</f>
        <v>2656</v>
      </c>
      <c r="CY24" s="69">
        <f>SUM(Oncor!CY24,Centerpoint!CY24,'AEP Central'!CY24,TNMP!CY24,'AEP North'!CY24)</f>
        <v>2632</v>
      </c>
      <c r="CZ24" s="69">
        <f>SUM(Oncor!CZ24,Centerpoint!CZ24,'AEP Central'!CZ24,TNMP!CZ24,'AEP North'!CZ24)</f>
        <v>2601</v>
      </c>
      <c r="DA24" s="69">
        <f>SUM(Oncor!DA24,Centerpoint!DA24,'AEP Central'!DA24,TNMP!DA24,'AEP North'!DA24)</f>
        <v>2580</v>
      </c>
      <c r="DB24" s="69">
        <f>SUM(Oncor!DB24,Centerpoint!DB24,'AEP Central'!DB24,TNMP!DB24,'AEP North'!DB24)</f>
        <v>2544</v>
      </c>
      <c r="DC24" s="69">
        <f>SUM(Oncor!DC24,Centerpoint!DC24,'AEP Central'!DC24,TNMP!DC24,'AEP North'!DC24)</f>
        <v>2531</v>
      </c>
      <c r="DD24" s="69">
        <f>SUM(Oncor!DD24,Centerpoint!DD24,'AEP Central'!DD24,TNMP!DD24,'AEP North'!DD24)</f>
        <v>2491</v>
      </c>
      <c r="DE24" s="69">
        <f>SUM(Oncor!DE24,Centerpoint!DE24,'AEP Central'!DE24,TNMP!DE24,'AEP North'!DE24)</f>
        <v>2488</v>
      </c>
      <c r="DF24" s="89">
        <f>SUM(Oncor!DF24,Centerpoint!DF24,'AEP Central'!DF24,TNMP!DF24,'AEP North'!DF24)</f>
        <v>2477</v>
      </c>
      <c r="DG24" s="69">
        <f>SUM(Oncor!DG24,Centerpoint!DG24,'AEP Central'!DG24,TNMP!DG24,'AEP North'!DG24)</f>
        <v>2542</v>
      </c>
      <c r="DH24" s="69">
        <f>SUM(Oncor!DH24,Centerpoint!DH24,'AEP Central'!DH24,TNMP!DH24,'AEP North'!DH24)</f>
        <v>2518</v>
      </c>
      <c r="DI24" s="69">
        <f>SUM(Oncor!DI24,Centerpoint!DI24,'AEP Central'!DI24,TNMP!DI24,'AEP North'!DI24)</f>
        <v>2492</v>
      </c>
      <c r="DJ24" s="69">
        <f>SUM(Oncor!DJ24,Centerpoint!DJ24,'AEP Central'!DJ24,TNMP!DJ24,'AEP North'!DJ24)</f>
        <v>2483</v>
      </c>
      <c r="DK24" s="69">
        <f>SUM(Oncor!DK24,Centerpoint!DK24,'AEP Central'!DK24,TNMP!DK24,'AEP North'!DK24)</f>
        <v>2476</v>
      </c>
      <c r="DL24" s="69">
        <f>SUM(Oncor!DL24,Centerpoint!DL24,'AEP Central'!DL24,TNMP!DL24,'AEP North'!DL24)</f>
        <v>2408</v>
      </c>
      <c r="DM24" s="69">
        <f>SUM(Oncor!DM24,Centerpoint!DM24,'AEP Central'!DM24,TNMP!DM24,'AEP North'!DM24)</f>
        <v>2397</v>
      </c>
      <c r="DN24" s="69">
        <f>SUM(Oncor!DN24,Centerpoint!DN24,'AEP Central'!DN24,TNMP!DN24,'AEP North'!DN24)</f>
        <v>2391</v>
      </c>
      <c r="DO24" s="69">
        <f>SUM(Oncor!DO24,Centerpoint!DO24,'AEP Central'!DO24,TNMP!DO24,'AEP North'!DO24)</f>
        <v>2367</v>
      </c>
      <c r="DP24" s="69">
        <f>SUM(Oncor!DP24,Centerpoint!DP24,'AEP Central'!DP24,TNMP!DP24,'AEP North'!DP24)</f>
        <v>2352</v>
      </c>
      <c r="DQ24" s="69">
        <f>SUM(Oncor!DQ24,Centerpoint!DQ24,'AEP Central'!DQ24,TNMP!DQ24,'AEP North'!DQ24)</f>
        <v>2337</v>
      </c>
      <c r="DR24" s="69">
        <f>SUM(Oncor!DR24,Centerpoint!DR24,'AEP Central'!DR24,TNMP!DR24,'AEP North'!DR24)</f>
        <v>2313</v>
      </c>
      <c r="DS24" s="69">
        <f>SUM(Oncor!DS24,Centerpoint!DS24,'AEP Central'!DS24,TNMP!DS24,'AEP North'!DS24)</f>
        <v>2308</v>
      </c>
      <c r="DT24" s="69">
        <f>SUM(Oncor!DT24,Centerpoint!DT24,'AEP Central'!DT24,TNMP!DT24,'AEP North'!DT24)</f>
        <v>2299</v>
      </c>
      <c r="DU24" s="69">
        <f>SUM(Oncor!DU24,Centerpoint!DU24,'AEP Central'!DU24,TNMP!DU24,'AEP North'!DU24)</f>
        <v>2298</v>
      </c>
      <c r="DV24" s="69">
        <f>SUM(Oncor!DV24,Centerpoint!DV24,'AEP Central'!DV24,TNMP!DV24,'AEP North'!DV24)</f>
        <v>2291</v>
      </c>
      <c r="DW24" s="69">
        <f>SUM(Oncor!DW24,Centerpoint!DW24,'AEP Central'!DW24,TNMP!DW24,'AEP North'!DW24)</f>
        <v>2255</v>
      </c>
      <c r="DX24" s="69">
        <f>SUM(Oncor!DX24,Centerpoint!DX24,'AEP Central'!DX24,TNMP!DX24,'AEP North'!DX24)</f>
        <v>2190</v>
      </c>
      <c r="DY24" s="69">
        <f>SUM(Oncor!DY24,Centerpoint!DY24,'AEP Central'!DY24,TNMP!DY24,'AEP North'!DY24)</f>
        <v>2120</v>
      </c>
      <c r="DZ24" s="69">
        <f>SUM(Oncor!DZ24,Centerpoint!DZ24,'AEP Central'!DZ24,TNMP!DZ24,'AEP North'!DZ24)</f>
        <v>2104</v>
      </c>
      <c r="EA24" s="69">
        <f>SUM(Oncor!EA24,Centerpoint!EA24,'AEP Central'!EA24,TNMP!EA24,'AEP North'!EA24)</f>
        <v>2097</v>
      </c>
      <c r="EB24" s="69">
        <f>SUM(Oncor!EB24,Centerpoint!EB24,'AEP Central'!EB24,TNMP!EB24,'AEP North'!EB24)</f>
        <v>2126</v>
      </c>
      <c r="EC24" s="69">
        <f>SUM(Oncor!EC24,Centerpoint!EC24,'AEP Central'!EC24,TNMP!EC24,'AEP North'!EC24)</f>
        <v>2110</v>
      </c>
      <c r="ED24" s="69">
        <f>SUM(Oncor!ED24,Centerpoint!ED24,'AEP Central'!ED24,TNMP!ED24,'AEP North'!ED24)</f>
        <v>2112</v>
      </c>
      <c r="EE24" s="69">
        <f>SUM(Oncor!EE24,Centerpoint!EE24,'AEP Central'!EE24,TNMP!EE24,'AEP North'!EE24)</f>
        <v>2152</v>
      </c>
      <c r="EF24" s="69">
        <f>SUM(Oncor!EF24,Centerpoint!EF24,'AEP Central'!EF24,TNMP!EF24,'AEP North'!EF24)</f>
        <v>2149</v>
      </c>
      <c r="EG24" s="69">
        <f>SUM(Oncor!EG24,Centerpoint!EG24,'AEP Central'!EG24,TNMP!EG24,'AEP North'!EG24)</f>
        <v>2141</v>
      </c>
      <c r="EH24" s="69">
        <f>SUM(Oncor!EH24,Centerpoint!EH24,'AEP Central'!EH24,TNMP!EH24,'AEP North'!EH24)</f>
        <v>2138</v>
      </c>
      <c r="EI24" s="69">
        <f>SUM(Oncor!EI24,Centerpoint!EI24,'AEP Central'!EI24,TNMP!EI24,'AEP North'!EI24)</f>
        <v>2110</v>
      </c>
      <c r="EJ24" s="69">
        <f>SUM(Oncor!EJ24,Centerpoint!EJ24,'AEP Central'!EJ24,TNMP!EJ24,'AEP North'!EJ24)</f>
        <v>2099</v>
      </c>
      <c r="EK24" s="69">
        <f>SUM(Oncor!EK24,Centerpoint!EK24,'AEP Central'!EK24,TNMP!EK24,'AEP North'!EK24)</f>
        <v>2114</v>
      </c>
      <c r="EL24" s="69">
        <f>SUM(Oncor!EL24,Centerpoint!EL24,'AEP Central'!EL24,TNMP!EL24,'AEP North'!EL24)</f>
        <v>2113</v>
      </c>
      <c r="EM24" s="69">
        <f>SUM(Oncor!EM24,Centerpoint!EM24,'AEP Central'!EM24,TNMP!EM24,'AEP North'!EM24)</f>
        <v>2121</v>
      </c>
      <c r="EN24" s="69">
        <f>SUM(Oncor!EN24,Centerpoint!EN24,'AEP Central'!EN24,TNMP!EN24,'AEP North'!EN24)</f>
        <v>2123</v>
      </c>
      <c r="EO24" s="69">
        <f>SUM(Oncor!EO24,Centerpoint!EO24,'AEP Central'!EO24,TNMP!EO24,'AEP North'!EO24)</f>
        <v>2128</v>
      </c>
      <c r="EP24" s="69">
        <f>SUM(Oncor!EP24,Centerpoint!EP24,'AEP Central'!EP24,TNMP!EP24,'AEP North'!EP24)</f>
        <v>2119</v>
      </c>
      <c r="EQ24" s="69">
        <f>SUM(Oncor!EQ24,Centerpoint!EQ24,'AEP Central'!EQ24,TNMP!EQ24,'AEP North'!EQ24)</f>
        <v>2140</v>
      </c>
      <c r="ER24" s="69">
        <f>SUM(Oncor!ER24,Centerpoint!ER24,'AEP Central'!ER24,TNMP!ER24,'AEP North'!ER24)</f>
        <v>2123</v>
      </c>
      <c r="ES24" s="69">
        <f>SUM(Oncor!ES24,Centerpoint!ES24,'AEP Central'!ES24,TNMP!ES24,'AEP North'!ES24)</f>
        <v>2126</v>
      </c>
      <c r="ET24" s="69">
        <f>SUM(Oncor!ET24,Centerpoint!ET24,'AEP Central'!ET24,TNMP!ET24,'AEP North'!ET24)</f>
        <v>2148</v>
      </c>
      <c r="EU24" s="69">
        <f>SUM(Oncor!EU24,Centerpoint!EU24,'AEP Central'!EU24,TNMP!EU24,'AEP North'!EU24)</f>
        <v>2144</v>
      </c>
      <c r="EV24" s="69">
        <f>SUM(Oncor!EV24,Centerpoint!EV24,'AEP Central'!EV24,TNMP!EV24,'AEP North'!EV24)</f>
        <v>2153</v>
      </c>
      <c r="EW24" s="69">
        <f>SUM(Oncor!EW24,Centerpoint!EW24,'AEP Central'!EW24,TNMP!EW24,'AEP North'!EW24)</f>
        <v>2159</v>
      </c>
      <c r="EX24" s="69">
        <f>SUM(Oncor!EX24,Centerpoint!EX24,'AEP Central'!EX24,TNMP!EX24,'AEP North'!EX24)</f>
        <v>2163</v>
      </c>
      <c r="EY24" s="69">
        <f>SUM(Oncor!EY24,Centerpoint!EY24,'AEP Central'!EY24,TNMP!EY24,'AEP North'!EY24)</f>
        <v>2158</v>
      </c>
      <c r="EZ24" s="69">
        <f>SUM(Oncor!EZ24,Centerpoint!EZ24,'AEP Central'!EZ24,TNMP!EZ24,'AEP North'!EZ24)</f>
        <v>2154</v>
      </c>
      <c r="FA24" s="69">
        <f>SUM(Oncor!FA24,Centerpoint!FA24,'AEP Central'!FA24,TNMP!FA24,'AEP North'!FA24)</f>
        <v>2148</v>
      </c>
      <c r="FB24" s="69">
        <f>SUM(Oncor!FB24,Centerpoint!FB24,'AEP Central'!FB24,TNMP!FB24,'AEP North'!FB24)</f>
        <v>2158</v>
      </c>
      <c r="FC24" s="69">
        <f>SUM(Oncor!FC24,Centerpoint!FC24,'AEP Central'!FC24,TNMP!FC24,'AEP North'!FC24)</f>
        <v>2154</v>
      </c>
      <c r="FD24" s="69">
        <f>SUM(Oncor!FD24,Centerpoint!FD24,'AEP Central'!FD24,TNMP!FD24,'AEP North'!FD24)</f>
        <v>2148</v>
      </c>
      <c r="FE24" s="69">
        <f>SUM(Oncor!FE24,Centerpoint!FE24,'AEP Central'!FE24,TNMP!FE24,'AEP North'!FE24)</f>
        <v>2146</v>
      </c>
      <c r="FF24" s="69">
        <f>SUM(Oncor!FF24,Centerpoint!FF24,'AEP Central'!FF24,TNMP!FF24,'AEP North'!FF24)</f>
        <v>2142</v>
      </c>
      <c r="FG24" s="69">
        <f>SUM(Oncor!FG24,Centerpoint!FG24,'AEP Central'!FG24,TNMP!FG24,'AEP North'!FG24)</f>
        <v>2117</v>
      </c>
      <c r="FH24" s="69">
        <f>SUM(Oncor!FH24,Centerpoint!FH24,'AEP Central'!FH24,TNMP!FH24,'AEP North'!FH24)</f>
        <v>2118</v>
      </c>
      <c r="FI24" s="69">
        <f>SUM(Oncor!FI24,Centerpoint!FI24,'AEP Central'!FI24,TNMP!FI24,'AEP North'!FI24)</f>
        <v>2110</v>
      </c>
      <c r="FJ24" s="69">
        <f>SUM(Oncor!FJ24,Centerpoint!FJ24,'AEP Central'!FJ24,TNMP!FJ24,'AEP North'!FJ24)</f>
        <v>2114</v>
      </c>
      <c r="FK24" s="69">
        <f>SUM(Oncor!FK24,Centerpoint!FK24,'AEP Central'!FK24,TNMP!FK24,'AEP North'!FK24)</f>
        <v>2109</v>
      </c>
      <c r="FL24" s="69">
        <f>SUM(Oncor!FL24,Centerpoint!FL24,'AEP Central'!FL24,TNMP!FL24,'AEP North'!FL24,'[1]Sharyland Utilities LP '!FL24,'Sharyland Utilities LP McAllen'!FL24)</f>
        <v>2108</v>
      </c>
      <c r="FM24" s="69">
        <f>SUM(Oncor!FM24,Centerpoint!FM24,'AEP Central'!FM24,TNMP!FM24,'AEP North'!FM24,'[1]Sharyland Utilities LP '!FM24,'Sharyland Utilities LP McAllen'!FM24)</f>
        <v>2120</v>
      </c>
      <c r="FN24" s="69">
        <f>SUM(Oncor!FN24,Centerpoint!FN24,'AEP Central'!FN24,TNMP!FN24,'AEP North'!FN24,'[1]Sharyland Utilities LP '!FN24,'Sharyland Utilities LP McAllen'!FN24)</f>
        <v>2115</v>
      </c>
      <c r="FO24" s="69">
        <f>SUM(Oncor!FO24,Centerpoint!FO24,'AEP Central'!FO24,TNMP!FO24,'AEP North'!FO24,'[1]Sharyland Utilities LP '!FO24,'Sharyland Utilities LP McAllen'!FO24)</f>
        <v>2120</v>
      </c>
      <c r="FP24" s="69">
        <f>SUM(Oncor!FP24,Centerpoint!FP24,'AEP Central'!FP24,TNMP!FP24,'AEP North'!FP24,'[1]Sharyland Utilities LP '!FP24,'Sharyland Utilities LP McAllen'!FP24)</f>
        <v>2099</v>
      </c>
      <c r="FQ24" s="69">
        <f>SUM(Oncor!FQ24,Centerpoint!FQ24,'AEP Central'!FQ24,TNMP!FQ24,'AEP North'!FQ24,'[1]Sharyland Utilities LP '!FQ24,'Sharyland Utilities LP McAllen'!FQ24)</f>
        <v>2083</v>
      </c>
      <c r="FR24" s="69">
        <f>SUM(Oncor!FR24,Centerpoint!FR24,'AEP Central'!FR24,TNMP!FR24,'AEP North'!FR24,'[1]Sharyland Utilities LP '!FR24,'Sharyland Utilities LP McAllen'!FR24)</f>
        <v>2063</v>
      </c>
      <c r="FS24" s="69">
        <f>SUM(Oncor!FS24,Centerpoint!FS24,'AEP Central'!FS24,TNMP!FS24,'AEP North'!FS24,'[1]Sharyland Utilities LP '!FS24,'Sharyland Utilities LP McAllen'!FS24)</f>
        <v>2057</v>
      </c>
      <c r="FT24" s="69">
        <f>SUM(Oncor!FT24,Centerpoint!FT24,'AEP Central'!FT24,TNMP!FT24,'AEP North'!FT24,'[1]Sharyland Utilities LP '!FT24,'Sharyland Utilities LP McAllen'!FT24)</f>
        <v>2026</v>
      </c>
    </row>
    <row r="25" spans="1:176" ht="13.8" thickBot="1" x14ac:dyDescent="0.3">
      <c r="B25" s="119" t="s">
        <v>8</v>
      </c>
      <c r="C25" s="76">
        <f>SUM(Oncor!C25,Centerpoint!C25,'AEP Central'!C25,TNMP!C25,'AEP North'!C25)</f>
        <v>266</v>
      </c>
      <c r="D25" s="17">
        <f>SUM(Oncor!D25,Centerpoint!D25,'AEP Central'!D25,TNMP!D25,'AEP North'!D25)</f>
        <v>565</v>
      </c>
      <c r="E25" s="17">
        <f>SUM(Oncor!E25,Centerpoint!E25,'AEP Central'!E25,TNMP!E25,'AEP North'!E25)</f>
        <v>772</v>
      </c>
      <c r="F25" s="17">
        <f>SUM(Oncor!F25,Centerpoint!F25,'AEP Central'!F25,TNMP!F25,'AEP North'!F25)</f>
        <v>876</v>
      </c>
      <c r="G25" s="17">
        <f>SUM(Oncor!G25,Centerpoint!G25,'AEP Central'!G25,TNMP!G25,'AEP North'!G25)</f>
        <v>922</v>
      </c>
      <c r="H25" s="17">
        <f>SUM(Oncor!H25,Centerpoint!H25,'AEP Central'!H25,TNMP!H25,'AEP North'!H25)</f>
        <v>1176</v>
      </c>
      <c r="I25" s="17">
        <f>SUM(Oncor!I25,Centerpoint!I25,'AEP Central'!I25,TNMP!I25,'AEP North'!I25)</f>
        <v>1184</v>
      </c>
      <c r="J25" s="17">
        <f>SUM(Oncor!J25,Centerpoint!J25,'AEP Central'!J25,TNMP!J25,'AEP North'!J25)</f>
        <v>1272</v>
      </c>
      <c r="K25" s="17">
        <f>SUM(Oncor!K25,Centerpoint!K25,'AEP Central'!K25,TNMP!K25,'AEP North'!K25)</f>
        <v>1322</v>
      </c>
      <c r="L25" s="17">
        <f>SUM(Oncor!L25,Centerpoint!L25,'AEP Central'!L25,TNMP!L25,'AEP North'!L25)</f>
        <v>1436</v>
      </c>
      <c r="M25" s="17">
        <f>SUM(Oncor!M25,Centerpoint!M25,'AEP Central'!M25,TNMP!M25,'AEP North'!M25)</f>
        <v>1454</v>
      </c>
      <c r="N25" s="17">
        <f>SUM(Oncor!N25,Centerpoint!N25,'AEP Central'!N25,TNMP!N25,'AEP North'!N25)</f>
        <v>1459</v>
      </c>
      <c r="O25" s="134">
        <f>SUM(Oncor!O25,Centerpoint!O25,'AEP Central'!O25,TNMP!O25,'AEP North'!O25)</f>
        <v>2045</v>
      </c>
      <c r="P25" s="17">
        <f>SUM(Oncor!P25,Centerpoint!P25,'AEP Central'!P25,TNMP!P25,'AEP North'!P25)</f>
        <v>2205</v>
      </c>
      <c r="Q25" s="17">
        <f>SUM(Oncor!Q25,Centerpoint!Q25,'AEP Central'!Q25,TNMP!Q25,'AEP North'!Q25)</f>
        <v>2239</v>
      </c>
      <c r="R25" s="17">
        <f>SUM(Oncor!R25,Centerpoint!R25,'AEP Central'!R25,TNMP!R25,'AEP North'!R25)</f>
        <v>2272</v>
      </c>
      <c r="S25" s="17">
        <f>SUM(Oncor!S25,Centerpoint!S25,'AEP Central'!S25,TNMP!S25,'AEP North'!S25)</f>
        <v>2349</v>
      </c>
      <c r="T25" s="17">
        <f>SUM(Oncor!T25,Centerpoint!T25,'AEP Central'!T25,TNMP!T25,'AEP North'!T25)</f>
        <v>2482</v>
      </c>
      <c r="U25" s="17">
        <f>SUM(Oncor!U25,Centerpoint!U25,'AEP Central'!U25,TNMP!U25,'AEP North'!U25)</f>
        <v>2551</v>
      </c>
      <c r="V25" s="17">
        <f>SUM(Oncor!V25,Centerpoint!V25,'AEP Central'!V25,TNMP!V25,'AEP North'!V25)</f>
        <v>2554</v>
      </c>
      <c r="W25" s="17">
        <f>SUM(Oncor!W25,Centerpoint!W25,'AEP Central'!W25,TNMP!W25,'AEP North'!W25)</f>
        <v>2615</v>
      </c>
      <c r="X25" s="17">
        <f>SUM(Oncor!X25,Centerpoint!X25,'AEP Central'!X25,TNMP!X25,'AEP North'!X25)</f>
        <v>2700</v>
      </c>
      <c r="Y25" s="17">
        <f>SUM(Oncor!Y25,Centerpoint!Y25,'AEP Central'!Y25,TNMP!Y25,'AEP North'!Y25)</f>
        <v>2604</v>
      </c>
      <c r="Z25" s="148">
        <f>SUM(Oncor!Z25,Centerpoint!Z25,'AEP Central'!Z25,TNMP!Z25,'AEP North'!Z25)</f>
        <v>2733</v>
      </c>
      <c r="AA25" s="134">
        <f>SUM(Oncor!AA25,Centerpoint!AA25,'AEP Central'!AA25,TNMP!AA25,'AEP North'!AA25)</f>
        <v>2958</v>
      </c>
      <c r="AB25" s="17">
        <f>SUM(Oncor!AB25,Centerpoint!AB25,'AEP Central'!AB25,TNMP!AB25,'AEP North'!AB25)</f>
        <v>2929</v>
      </c>
      <c r="AC25" s="17">
        <f>SUM(Oncor!AC25,Centerpoint!AC25,'AEP Central'!AC25,TNMP!AC25,'AEP North'!AC25)</f>
        <v>3143</v>
      </c>
      <c r="AD25" s="17">
        <f>SUM(Oncor!AD25,Centerpoint!AD25,'AEP Central'!AD25,TNMP!AD25,'AEP North'!AD25)</f>
        <v>3141</v>
      </c>
      <c r="AE25" s="17">
        <f>SUM(Oncor!AE25,Centerpoint!AE25,'AEP Central'!AE25,TNMP!AE25,'AEP North'!AE25)</f>
        <v>3191</v>
      </c>
      <c r="AF25" s="17">
        <f>SUM(Oncor!AF25,Centerpoint!AF25,'AEP Central'!AF25,TNMP!AF25,'AEP North'!AF25)</f>
        <v>3334</v>
      </c>
      <c r="AG25" s="17">
        <f>SUM(Oncor!AG25,Centerpoint!AG25,'AEP Central'!AG25,TNMP!AG25,'AEP North'!AG25)</f>
        <v>3416</v>
      </c>
      <c r="AH25" s="17">
        <f>SUM(Oncor!AH25,Centerpoint!AH25,'AEP Central'!AH25,TNMP!AH25,'AEP North'!AH25)</f>
        <v>3469</v>
      </c>
      <c r="AI25" s="17">
        <f>SUM(Oncor!AI25,Centerpoint!AI25,'AEP Central'!AI25,TNMP!AI25,'AEP North'!AI25)</f>
        <v>3413</v>
      </c>
      <c r="AJ25" s="17">
        <f>SUM(Oncor!AJ25,Centerpoint!AJ25,'AEP Central'!AJ25,TNMP!AJ25,'AEP North'!AJ25)</f>
        <v>3572</v>
      </c>
      <c r="AK25" s="17">
        <f>SUM(Oncor!AK25,Centerpoint!AK25,'AEP Central'!AK25,TNMP!AK25,'AEP North'!AK25)</f>
        <v>3567</v>
      </c>
      <c r="AL25" s="148">
        <f>SUM(Oncor!AL25,Centerpoint!AL25,'AEP Central'!AL25,TNMP!AL25,'AEP North'!AL25)</f>
        <v>3631</v>
      </c>
      <c r="AM25" s="17">
        <f>SUM(Oncor!AM25,Centerpoint!AM25,'AEP Central'!AM25,TNMP!AM25,'AEP North'!AM25)</f>
        <v>3772</v>
      </c>
      <c r="AN25" s="17">
        <f>SUM(Oncor!AN25,Centerpoint!AN25,'AEP Central'!AN25,TNMP!AN25,'AEP North'!AN25)</f>
        <v>3705</v>
      </c>
      <c r="AO25" s="17">
        <f>SUM(Oncor!AO25,Centerpoint!AO25,'AEP Central'!AO25,TNMP!AO25,'AEP North'!AO25)</f>
        <v>3905</v>
      </c>
      <c r="AP25" s="17">
        <f>SUM(Oncor!AP25,Centerpoint!AP25,'AEP Central'!AP25,TNMP!AP25,'AEP North'!AP25)</f>
        <v>3911</v>
      </c>
      <c r="AQ25" s="17">
        <f>SUM(Oncor!AQ25,Centerpoint!AQ25,'AEP Central'!AQ25,TNMP!AQ25,'AEP North'!AQ25)</f>
        <v>3968</v>
      </c>
      <c r="AR25" s="17">
        <f>SUM(Oncor!AR25,Centerpoint!AR25,'AEP Central'!AR25,TNMP!AR25,'AEP North'!AR25)</f>
        <v>4326</v>
      </c>
      <c r="AS25" s="17">
        <f>SUM(Oncor!AS25,Centerpoint!AS25,'AEP Central'!AS25,TNMP!AS25,'AEP North'!AS25)</f>
        <v>4357</v>
      </c>
      <c r="AT25" s="17">
        <f>SUM(Oncor!AT25,Centerpoint!AT25,'AEP Central'!AT25,TNMP!AT25,'AEP North'!AT25)</f>
        <v>4532</v>
      </c>
      <c r="AU25" s="17">
        <f>SUM(Oncor!AU25,Centerpoint!AU25,'AEP Central'!AU25,TNMP!AU25,'AEP North'!AU25)</f>
        <v>4511</v>
      </c>
      <c r="AV25" s="17">
        <f>SUM(Oncor!AV25,Centerpoint!AV25,'AEP Central'!AV25,TNMP!AV25,'AEP North'!AV25)</f>
        <v>4538</v>
      </c>
      <c r="AW25" s="17">
        <f>SUM(Oncor!AW25,Centerpoint!AW25,'AEP Central'!AW25,TNMP!AW25,'AEP North'!AW25)</f>
        <v>4573</v>
      </c>
      <c r="AX25" s="22">
        <f>SUM(Oncor!AX25,Centerpoint!AX25,'AEP Central'!AX25,TNMP!AX25,'AEP North'!AX25)</f>
        <v>4573</v>
      </c>
      <c r="AY25" s="17">
        <f>SUM(Oncor!AY25,Centerpoint!AY25,'AEP Central'!AY25,TNMP!AY25,'AEP North'!AY25)</f>
        <v>4810</v>
      </c>
      <c r="AZ25" s="17">
        <f>SUM(Oncor!AZ25,Centerpoint!AZ25,'AEP Central'!AZ25,TNMP!AZ25,'AEP North'!AZ25)</f>
        <v>4780</v>
      </c>
      <c r="BA25" s="17">
        <f>SUM(Oncor!BA25,Centerpoint!BA25,'AEP Central'!BA25,TNMP!BA25,'AEP North'!BA25)</f>
        <v>4978</v>
      </c>
      <c r="BB25" s="17">
        <f>SUM(Oncor!BB25,Centerpoint!BB25,'AEP Central'!BB25,TNMP!BB25,'AEP North'!BB25)</f>
        <v>4797</v>
      </c>
      <c r="BC25" s="17">
        <f>SUM(Oncor!BC25,Centerpoint!BC25,'AEP Central'!BC25,TNMP!BC25,'AEP North'!BC25)</f>
        <v>4936</v>
      </c>
      <c r="BD25" s="17">
        <f>SUM(Oncor!BD25,Centerpoint!BD25,'AEP Central'!BD25,TNMP!BD25,'AEP North'!BD25)</f>
        <v>4951</v>
      </c>
      <c r="BE25" s="17">
        <f>SUM(Oncor!BE25,Centerpoint!BE25,'AEP Central'!BE25,TNMP!BE25,'AEP North'!BE25)</f>
        <v>5009</v>
      </c>
      <c r="BF25" s="17">
        <f>SUM(Oncor!BF25,Centerpoint!BF25,'AEP Central'!BF25,TNMP!BF25,'AEP North'!BF25)</f>
        <v>5140</v>
      </c>
      <c r="BG25" s="17">
        <f>SUM(Oncor!BG25,Centerpoint!BG25,'AEP Central'!BG25,TNMP!BG25,'AEP North'!BG25)</f>
        <v>5074</v>
      </c>
      <c r="BH25" s="17">
        <f>SUM(Oncor!BH25,Centerpoint!BH25,'AEP Central'!BH25,TNMP!BH25,'AEP North'!BH25)</f>
        <v>5037</v>
      </c>
      <c r="BI25" s="17">
        <f>SUM(Oncor!BI25,Centerpoint!BI25,'AEP Central'!BI25,TNMP!BI25,'AEP North'!BI25)</f>
        <v>4994</v>
      </c>
      <c r="BJ25" s="22">
        <f>SUM(Oncor!BJ25,Centerpoint!BJ25,'AEP Central'!BJ25,TNMP!BJ25,'AEP North'!BJ25)</f>
        <v>4939</v>
      </c>
      <c r="BK25" s="17">
        <f>SUM(Oncor!BK25,Centerpoint!BK25,'AEP Central'!BK25,TNMP!BK25,'AEP North'!BK25)</f>
        <v>5131</v>
      </c>
      <c r="BL25" s="17">
        <f>SUM(Oncor!BL25,Centerpoint!BL25,'AEP Central'!BL25,TNMP!BL25,'AEP North'!BL25)</f>
        <v>5118</v>
      </c>
      <c r="BM25" s="17">
        <f>SUM(Oncor!BM25,Centerpoint!BM25,'AEP Central'!BM25,TNMP!BM25,'AEP North'!BM25)</f>
        <v>5260</v>
      </c>
      <c r="BN25" s="17">
        <f>SUM(Oncor!BN25,Centerpoint!BN25,'AEP Central'!BN25,TNMP!BN25,'AEP North'!BN25)</f>
        <v>5164</v>
      </c>
      <c r="BO25" s="17">
        <f>SUM(Oncor!BO25,Centerpoint!BO25,'AEP Central'!BO25,TNMP!BO25,'AEP North'!BO25)</f>
        <v>5318</v>
      </c>
      <c r="BP25" s="17">
        <f>SUM(Oncor!BP25,Centerpoint!BP25,'AEP Central'!BP25,TNMP!BP25,'AEP North'!BP25)</f>
        <v>5295</v>
      </c>
      <c r="BQ25" s="17">
        <f>SUM(Oncor!BQ25,Centerpoint!BQ25,'AEP Central'!BQ25,TNMP!BQ25,'AEP North'!BQ25)</f>
        <v>5257</v>
      </c>
      <c r="BR25" s="17">
        <f>SUM(Oncor!BR25,Centerpoint!BR25,'AEP Central'!BR25,TNMP!BR25,'AEP North'!BR25)</f>
        <v>5408</v>
      </c>
      <c r="BS25" s="17">
        <f>SUM(Oncor!BS25,Centerpoint!BS25,'AEP Central'!BS25,TNMP!BS25,'AEP North'!BS25)</f>
        <v>5234</v>
      </c>
      <c r="BT25" s="17">
        <f>SUM(Oncor!BT25,Centerpoint!BT25,'AEP Central'!BT25,TNMP!BT25,'AEP North'!BT25)</f>
        <v>5380</v>
      </c>
      <c r="BU25" s="17">
        <f>SUM(Oncor!BU25,Centerpoint!BU25,'AEP Central'!BU25,TNMP!BU25,'AEP North'!BU25)</f>
        <v>5402</v>
      </c>
      <c r="BV25" s="22">
        <f>SUM(Oncor!BV25,Centerpoint!BV25,'AEP Central'!BV25,TNMP!BV25,'AEP North'!BV25)</f>
        <v>5428</v>
      </c>
      <c r="BW25" s="17">
        <f>SUM(Oncor!BW25,Centerpoint!BW25,'AEP Central'!BW25,TNMP!BW25,'AEP North'!BW25)</f>
        <v>5478</v>
      </c>
      <c r="BX25" s="17">
        <f>SUM(Oncor!BX25,Centerpoint!BX25,'AEP Central'!BX25,TNMP!BX25,'AEP North'!BX25)</f>
        <v>5213</v>
      </c>
      <c r="BY25" s="17">
        <f>SUM(Oncor!BY25,Centerpoint!BY25,'AEP Central'!BY25,TNMP!BY25,'AEP North'!BY25)</f>
        <v>5555</v>
      </c>
      <c r="BZ25" s="17">
        <f>SUM(Oncor!BZ25,Centerpoint!BZ25,'AEP Central'!BZ25,TNMP!BZ25,'AEP North'!BZ25)</f>
        <v>5534</v>
      </c>
      <c r="CA25" s="17">
        <f>SUM(Oncor!CA25,Centerpoint!CA25,'AEP Central'!CA25,TNMP!CA25,'AEP North'!CA25)</f>
        <v>5525</v>
      </c>
      <c r="CB25" s="17">
        <f>SUM(Oncor!CB25,Centerpoint!CB25,'AEP Central'!CB25,TNMP!CB25,'AEP North'!CB25)</f>
        <v>5556</v>
      </c>
      <c r="CC25" s="92">
        <f>SUM(Oncor!CC25,Centerpoint!CC25,'AEP Central'!CC25,TNMP!CC25,'AEP North'!CC25)</f>
        <v>5583</v>
      </c>
      <c r="CD25" s="92">
        <f>SUM(Oncor!CD25,Centerpoint!CD25,'AEP Central'!CD25,TNMP!CD25,'AEP North'!CD25)</f>
        <v>5580</v>
      </c>
      <c r="CE25" s="92">
        <f>SUM(Oncor!CE25,Centerpoint!CE25,'AEP Central'!CE25,TNMP!CE25,'AEP North'!CE25)</f>
        <v>5577</v>
      </c>
      <c r="CF25" s="92">
        <f>SUM(Oncor!CF25,Centerpoint!CF25,'AEP Central'!CF25,TNMP!CF25,'AEP North'!CF25)</f>
        <v>5593</v>
      </c>
      <c r="CG25" s="92">
        <f>SUM(Oncor!CG25,Centerpoint!CG25,'AEP Central'!CG25,TNMP!CG25,'AEP North'!CG25)</f>
        <v>5607</v>
      </c>
      <c r="CH25" s="92">
        <f>SUM(Oncor!CH25,Centerpoint!CH25,'AEP Central'!CH25,TNMP!CH25,'AEP North'!CH25)</f>
        <v>5646</v>
      </c>
      <c r="CI25" s="91">
        <f>SUM(Oncor!CI25,Centerpoint!CI25,'AEP Central'!CI25,TNMP!CI25,'AEP North'!CI25)</f>
        <v>5643</v>
      </c>
      <c r="CJ25" s="92">
        <f>SUM(Oncor!CJ25,Centerpoint!CJ25,'AEP Central'!CJ25,TNMP!CJ25,'AEP North'!CJ25)</f>
        <v>5689</v>
      </c>
      <c r="CK25" s="92">
        <f>SUM(Oncor!CK25,Centerpoint!CK25,'AEP Central'!CK25,TNMP!CK25,'AEP North'!CK25)</f>
        <v>5704</v>
      </c>
      <c r="CL25" s="92">
        <f>SUM(Oncor!CL25,Centerpoint!CL25,'AEP Central'!CL25,TNMP!CL25,'AEP North'!CL25)</f>
        <v>5710</v>
      </c>
      <c r="CM25" s="92">
        <f>SUM(Oncor!CM25,Centerpoint!CM25,'AEP Central'!CM25,TNMP!CM25,'AEP North'!CM25)</f>
        <v>5729</v>
      </c>
      <c r="CN25" s="92">
        <f>SUM(Oncor!CN25,Centerpoint!CN25,'AEP Central'!CN25,TNMP!CN25,'AEP North'!CN25)</f>
        <v>5761</v>
      </c>
      <c r="CO25" s="92">
        <f>SUM(Oncor!CO25,Centerpoint!CO25,'AEP Central'!CO25,TNMP!CO25,'AEP North'!CO25)</f>
        <v>5772</v>
      </c>
      <c r="CP25" s="92">
        <f>SUM(Oncor!CP25,Centerpoint!CP25,'AEP Central'!CP25,TNMP!CP25,'AEP North'!CP25)</f>
        <v>5876</v>
      </c>
      <c r="CQ25" s="92">
        <f>SUM(Oncor!CQ25,Centerpoint!CQ25,'AEP Central'!CQ25,TNMP!CQ25,'AEP North'!CQ25)</f>
        <v>5896</v>
      </c>
      <c r="CR25" s="92">
        <f>SUM(Oncor!CR25,Centerpoint!CR25,'AEP Central'!CR25,TNMP!CR25,'AEP North'!CR25)</f>
        <v>5942</v>
      </c>
      <c r="CS25" s="92">
        <f>SUM(Oncor!CS25,Centerpoint!CS25,'AEP Central'!CS25,TNMP!CS25,'AEP North'!CS25)</f>
        <v>5954</v>
      </c>
      <c r="CT25" s="93">
        <f>SUM(Oncor!CT25,Centerpoint!CT25,'AEP Central'!CT25,TNMP!CT25,'AEP North'!CT25)</f>
        <v>6015</v>
      </c>
      <c r="CU25" s="92">
        <f>SUM(Oncor!CU25,Centerpoint!CU25,'AEP Central'!CU25,TNMP!CU25,'AEP North'!CU25)</f>
        <v>5860</v>
      </c>
      <c r="CV25" s="92">
        <f>SUM(Oncor!CV25,Centerpoint!CV25,'AEP Central'!CV25,TNMP!CV25,'AEP North'!CV25)</f>
        <v>5966</v>
      </c>
      <c r="CW25" s="92">
        <f>SUM(Oncor!CW25,Centerpoint!CW25,'AEP Central'!CW25,TNMP!CW25,'AEP North'!CW25)</f>
        <v>5965</v>
      </c>
      <c r="CX25" s="92">
        <f>SUM(Oncor!CX25,Centerpoint!CX25,'AEP Central'!CX25,TNMP!CX25,'AEP North'!CX25)</f>
        <v>5983</v>
      </c>
      <c r="CY25" s="92">
        <f>SUM(Oncor!CY25,Centerpoint!CY25,'AEP Central'!CY25,TNMP!CY25,'AEP North'!CY25)</f>
        <v>5981</v>
      </c>
      <c r="CZ25" s="92">
        <f>SUM(Oncor!CZ25,Centerpoint!CZ25,'AEP Central'!CZ25,TNMP!CZ25,'AEP North'!CZ25)</f>
        <v>6032</v>
      </c>
      <c r="DA25" s="92">
        <f>SUM(Oncor!DA25,Centerpoint!DA25,'AEP Central'!DA25,TNMP!DA25,'AEP North'!DA25)</f>
        <v>6084</v>
      </c>
      <c r="DB25" s="92">
        <f>SUM(Oncor!DB25,Centerpoint!DB25,'AEP Central'!DB25,TNMP!DB25,'AEP North'!DB25)</f>
        <v>6070</v>
      </c>
      <c r="DC25" s="92">
        <f>SUM(Oncor!DC25,Centerpoint!DC25,'AEP Central'!DC25,TNMP!DC25,'AEP North'!DC25)</f>
        <v>6129</v>
      </c>
      <c r="DD25" s="92">
        <f>SUM(Oncor!DD25,Centerpoint!DD25,'AEP Central'!DD25,TNMP!DD25,'AEP North'!DD25)</f>
        <v>6120</v>
      </c>
      <c r="DE25" s="92">
        <f>SUM(Oncor!DE25,Centerpoint!DE25,'AEP Central'!DE25,TNMP!DE25,'AEP North'!DE25)</f>
        <v>6135</v>
      </c>
      <c r="DF25" s="93">
        <f>SUM(Oncor!DF25,Centerpoint!DF25,'AEP Central'!DF25,TNMP!DF25,'AEP North'!DF25)</f>
        <v>6223</v>
      </c>
      <c r="DG25" s="92">
        <f>SUM(Oncor!DG25,Centerpoint!DG25,'AEP Central'!DG25,TNMP!DG25,'AEP North'!DG25)</f>
        <v>5977</v>
      </c>
      <c r="DH25" s="92">
        <f>SUM(Oncor!DH25,Centerpoint!DH25,'AEP Central'!DH25,TNMP!DH25,'AEP North'!DH25)</f>
        <v>6184</v>
      </c>
      <c r="DI25" s="92">
        <f>SUM(Oncor!DI25,Centerpoint!DI25,'AEP Central'!DI25,TNMP!DI25,'AEP North'!DI25)</f>
        <v>6202</v>
      </c>
      <c r="DJ25" s="92">
        <f>SUM(Oncor!DJ25,Centerpoint!DJ25,'AEP Central'!DJ25,TNMP!DJ25,'AEP North'!DJ25)</f>
        <v>6092</v>
      </c>
      <c r="DK25" s="92">
        <f>SUM(Oncor!DK25,Centerpoint!DK25,'AEP Central'!DK25,TNMP!DK25,'AEP North'!DK25)</f>
        <v>6086</v>
      </c>
      <c r="DL25" s="92">
        <f>SUM(Oncor!DL25,Centerpoint!DL25,'AEP Central'!DL25,TNMP!DL25,'AEP North'!DL25)</f>
        <v>6291</v>
      </c>
      <c r="DM25" s="92">
        <f>SUM(Oncor!DM25,Centerpoint!DM25,'AEP Central'!DM25,TNMP!DM25,'AEP North'!DM25)</f>
        <v>6216</v>
      </c>
      <c r="DN25" s="92">
        <f>SUM(Oncor!DN25,Centerpoint!DN25,'AEP Central'!DN25,TNMP!DN25,'AEP North'!DN25)</f>
        <v>6303</v>
      </c>
      <c r="DO25" s="92">
        <f>SUM(Oncor!DO25,Centerpoint!DO25,'AEP Central'!DO25,TNMP!DO25,'AEP North'!DO25)</f>
        <v>6265</v>
      </c>
      <c r="DP25" s="92">
        <f>SUM(Oncor!DP25,Centerpoint!DP25,'AEP Central'!DP25,TNMP!DP25,'AEP North'!DP25)</f>
        <v>6274</v>
      </c>
      <c r="DQ25" s="92">
        <f>SUM(Oncor!DQ25,Centerpoint!DQ25,'AEP Central'!DQ25,TNMP!DQ25,'AEP North'!DQ25)</f>
        <v>6351</v>
      </c>
      <c r="DR25" s="92">
        <f>SUM(Oncor!DR25,Centerpoint!DR25,'AEP Central'!DR25,TNMP!DR25,'AEP North'!DR25)</f>
        <v>6209</v>
      </c>
      <c r="DS25" s="92">
        <f>SUM(Oncor!DS25,Centerpoint!DS25,'AEP Central'!DS25,TNMP!DS25,'AEP North'!DS25)</f>
        <v>6368</v>
      </c>
      <c r="DT25" s="92">
        <f>SUM(Oncor!DT25,Centerpoint!DT25,'AEP Central'!DT25,TNMP!DT25,'AEP North'!DT25)</f>
        <v>6460</v>
      </c>
      <c r="DU25" s="92">
        <f>SUM(Oncor!DU25,Centerpoint!DU25,'AEP Central'!DU25,TNMP!DU25,'AEP North'!DU25)</f>
        <v>6530</v>
      </c>
      <c r="DV25" s="92">
        <f>SUM(Oncor!DV25,Centerpoint!DV25,'AEP Central'!DV25,TNMP!DV25,'AEP North'!DV25)</f>
        <v>6564</v>
      </c>
      <c r="DW25" s="92">
        <f>SUM(Oncor!DW25,Centerpoint!DW25,'AEP Central'!DW25,TNMP!DW25,'AEP North'!DW25)</f>
        <v>6622</v>
      </c>
      <c r="DX25" s="92">
        <f>SUM(Oncor!DX25,Centerpoint!DX25,'AEP Central'!DX25,TNMP!DX25,'AEP North'!DX25)</f>
        <v>6702</v>
      </c>
      <c r="DY25" s="92">
        <f>SUM(Oncor!DY25,Centerpoint!DY25,'AEP Central'!DY25,TNMP!DY25,'AEP North'!DY25)</f>
        <v>6702</v>
      </c>
      <c r="DZ25" s="92">
        <f>SUM(Oncor!DZ25,Centerpoint!DZ25,'AEP Central'!DZ25,TNMP!DZ25,'AEP North'!DZ25)</f>
        <v>6688</v>
      </c>
      <c r="EA25" s="92">
        <f>SUM(Oncor!EA25,Centerpoint!EA25,'AEP Central'!EA25,TNMP!EA25,'AEP North'!EA25)</f>
        <v>6681</v>
      </c>
      <c r="EB25" s="92">
        <f>SUM(Oncor!EB25,Centerpoint!EB25,'AEP Central'!EB25,TNMP!EB25,'AEP North'!EB25)</f>
        <v>6816</v>
      </c>
      <c r="EC25" s="92">
        <f>SUM(Oncor!EC25,Centerpoint!EC25,'AEP Central'!EC25,TNMP!EC25,'AEP North'!EC25)</f>
        <v>6836</v>
      </c>
      <c r="ED25" s="92">
        <f>SUM(Oncor!ED25,Centerpoint!ED25,'AEP Central'!ED25,TNMP!ED25,'AEP North'!ED25)</f>
        <v>6863</v>
      </c>
      <c r="EE25" s="92">
        <f>SUM(Oncor!EE25,Centerpoint!EE25,'AEP Central'!EE25,TNMP!EE25,'AEP North'!EE25)</f>
        <v>6839</v>
      </c>
      <c r="EF25" s="92">
        <f>SUM(Oncor!EF25,Centerpoint!EF25,'AEP Central'!EF25,TNMP!EF25,'AEP North'!EF25)</f>
        <v>6903</v>
      </c>
      <c r="EG25" s="92">
        <f>SUM(Oncor!EG25,Centerpoint!EG25,'AEP Central'!EG25,TNMP!EG25,'AEP North'!EG25)</f>
        <v>6881</v>
      </c>
      <c r="EH25" s="92">
        <f>SUM(Oncor!EH25,Centerpoint!EH25,'AEP Central'!EH25,TNMP!EH25,'AEP North'!EH25)</f>
        <v>6905</v>
      </c>
      <c r="EI25" s="92">
        <f>SUM(Oncor!EI25,Centerpoint!EI25,'AEP Central'!EI25,TNMP!EI25,'AEP North'!EI25)</f>
        <v>6967</v>
      </c>
      <c r="EJ25" s="92">
        <f>SUM(Oncor!EJ25,Centerpoint!EJ25,'AEP Central'!EJ25,TNMP!EJ25,'AEP North'!EJ25)</f>
        <v>7021</v>
      </c>
      <c r="EK25" s="92">
        <f>SUM(Oncor!EK25,Centerpoint!EK25,'AEP Central'!EK25,TNMP!EK25,'AEP North'!EK25)</f>
        <v>7034</v>
      </c>
      <c r="EL25" s="92">
        <f>SUM(Oncor!EL25,Centerpoint!EL25,'AEP Central'!EL25,TNMP!EL25,'AEP North'!EL25)</f>
        <v>7074</v>
      </c>
      <c r="EM25" s="92">
        <f>SUM(Oncor!EM25,Centerpoint!EM25,'AEP Central'!EM25,TNMP!EM25,'AEP North'!EM25)</f>
        <v>7088</v>
      </c>
      <c r="EN25" s="92">
        <f>SUM(Oncor!EN25,Centerpoint!EN25,'AEP Central'!EN25,TNMP!EN25,'AEP North'!EN25)</f>
        <v>7102</v>
      </c>
      <c r="EO25" s="92">
        <f>SUM(Oncor!EO25,Centerpoint!EO25,'AEP Central'!EO25,TNMP!EO25,'AEP North'!EO25)</f>
        <v>7127</v>
      </c>
      <c r="EP25" s="92">
        <f>SUM(Oncor!EP25,Centerpoint!EP25,'AEP Central'!EP25,TNMP!EP25,'AEP North'!EP25)</f>
        <v>7111</v>
      </c>
      <c r="EQ25" s="92">
        <f>SUM(Oncor!EQ25,Centerpoint!EQ25,'AEP Central'!EQ25,TNMP!EQ25,'AEP North'!EQ25)</f>
        <v>7079</v>
      </c>
      <c r="ER25" s="92">
        <f>SUM(Oncor!ER25,Centerpoint!ER25,'AEP Central'!ER25,TNMP!ER25,'AEP North'!ER25)</f>
        <v>7184</v>
      </c>
      <c r="ES25" s="92">
        <f>SUM(Oncor!ES25,Centerpoint!ES25,'AEP Central'!ES25,TNMP!ES25,'AEP North'!ES25)</f>
        <v>7121</v>
      </c>
      <c r="ET25" s="92">
        <f>SUM(Oncor!ET25,Centerpoint!ET25,'AEP Central'!ET25,TNMP!ET25,'AEP North'!ET25)</f>
        <v>7225</v>
      </c>
      <c r="EU25" s="92">
        <f>SUM(Oncor!EU25,Centerpoint!EU25,'AEP Central'!EU25,TNMP!EU25,'AEP North'!EU25)</f>
        <v>7245</v>
      </c>
      <c r="EV25" s="92">
        <f>SUM(Oncor!EV25,Centerpoint!EV25,'AEP Central'!EV25,TNMP!EV25,'AEP North'!EV25)</f>
        <v>7258</v>
      </c>
      <c r="EW25" s="92">
        <f>SUM(Oncor!EW25,Centerpoint!EW25,'AEP Central'!EW25,TNMP!EW25,'AEP North'!EW25)</f>
        <v>7277</v>
      </c>
      <c r="EX25" s="92">
        <f>SUM(Oncor!EX25,Centerpoint!EX25,'AEP Central'!EX25,TNMP!EX25,'AEP North'!EX25)</f>
        <v>7274</v>
      </c>
      <c r="EY25" s="92">
        <f>SUM(Oncor!EY25,Centerpoint!EY25,'AEP Central'!EY25,TNMP!EY25,'AEP North'!EY25)</f>
        <v>7292</v>
      </c>
      <c r="EZ25" s="92">
        <f>SUM(Oncor!EZ25,Centerpoint!EZ25,'AEP Central'!EZ25,TNMP!EZ25,'AEP North'!EZ25)</f>
        <v>7309</v>
      </c>
      <c r="FA25" s="92">
        <f>SUM(Oncor!FA25,Centerpoint!FA25,'AEP Central'!FA25,TNMP!FA25,'AEP North'!FA25)</f>
        <v>7343</v>
      </c>
      <c r="FB25" s="92">
        <f>SUM(Oncor!FB25,Centerpoint!FB25,'AEP Central'!FB25,TNMP!FB25,'AEP North'!FB25)</f>
        <v>7367</v>
      </c>
      <c r="FC25" s="92">
        <f>SUM(Oncor!FC25,Centerpoint!FC25,'AEP Central'!FC25,TNMP!FC25,'AEP North'!FC25)</f>
        <v>7358</v>
      </c>
      <c r="FD25" s="92">
        <f>SUM(Oncor!FD25,Centerpoint!FD25,'AEP Central'!FD25,TNMP!FD25,'AEP North'!FD25)</f>
        <v>7361</v>
      </c>
      <c r="FE25" s="92">
        <f>SUM(Oncor!FE25,Centerpoint!FE25,'AEP Central'!FE25,TNMP!FE25,'AEP North'!FE25)</f>
        <v>7405</v>
      </c>
      <c r="FF25" s="92">
        <f>SUM(Oncor!FF25,Centerpoint!FF25,'AEP Central'!FF25,TNMP!FF25,'AEP North'!FF25)</f>
        <v>7424</v>
      </c>
      <c r="FG25" s="92">
        <f>SUM(Oncor!FG25,Centerpoint!FG25,'AEP Central'!FG25,TNMP!FG25,'AEP North'!FG25)</f>
        <v>7450</v>
      </c>
      <c r="FH25" s="92">
        <f>SUM(Oncor!FH25,Centerpoint!FH25,'AEP Central'!FH25,TNMP!FH25,'AEP North'!FH25)</f>
        <v>7462</v>
      </c>
      <c r="FI25" s="92">
        <f>SUM(Oncor!FI25,Centerpoint!FI25,'AEP Central'!FI25,TNMP!FI25,'AEP North'!FI25)</f>
        <v>7540</v>
      </c>
      <c r="FJ25" s="92">
        <f>SUM(Oncor!FJ25,Centerpoint!FJ25,'AEP Central'!FJ25,TNMP!FJ25,'AEP North'!FJ25)</f>
        <v>7553</v>
      </c>
      <c r="FK25" s="92">
        <f>SUM(Oncor!FK25,Centerpoint!FK25,'AEP Central'!FK25,TNMP!FK25,'AEP North'!FK25)</f>
        <v>7579</v>
      </c>
      <c r="FL25" s="92">
        <f>SUM(Oncor!FL25,Centerpoint!FL25,'AEP Central'!FL25,TNMP!FL25,'AEP North'!FL25,'[1]Sharyland Utilities LP '!FL25,'Sharyland Utilities LP McAllen'!FL25)</f>
        <v>8502</v>
      </c>
      <c r="FM25" s="92">
        <f>SUM(Oncor!FM25,Centerpoint!FM25,'AEP Central'!FM25,TNMP!FM25,'AEP North'!FM25,'[1]Sharyland Utilities LP '!FM25,'Sharyland Utilities LP McAllen'!FM25)</f>
        <v>8537</v>
      </c>
      <c r="FN25" s="92">
        <f>SUM(Oncor!FN25,Centerpoint!FN25,'AEP Central'!FN25,TNMP!FN25,'AEP North'!FN25,'[1]Sharyland Utilities LP '!FN25,'Sharyland Utilities LP McAllen'!FN25)</f>
        <v>8582</v>
      </c>
      <c r="FO25" s="92">
        <f>SUM(Oncor!FO25,Centerpoint!FO25,'AEP Central'!FO25,TNMP!FO25,'AEP North'!FO25,'[1]Sharyland Utilities LP '!FO25,'Sharyland Utilities LP McAllen'!FO25)</f>
        <v>8575</v>
      </c>
      <c r="FP25" s="92">
        <f>SUM(Oncor!FP25,Centerpoint!FP25,'AEP Central'!FP25,TNMP!FP25,'AEP North'!FP25,'[1]Sharyland Utilities LP '!FP25,'Sharyland Utilities LP McAllen'!FP25)</f>
        <v>8734</v>
      </c>
      <c r="FQ25" s="92">
        <f>SUM(Oncor!FQ25,Centerpoint!FQ25,'AEP Central'!FQ25,TNMP!FQ25,'AEP North'!FQ25,'[1]Sharyland Utilities LP '!FQ25,'Sharyland Utilities LP McAllen'!FQ25)</f>
        <v>8751</v>
      </c>
      <c r="FR25" s="92">
        <f>SUM(Oncor!FR25,Centerpoint!FR25,'AEP Central'!FR25,TNMP!FR25,'AEP North'!FR25,'[1]Sharyland Utilities LP '!FR25,'Sharyland Utilities LP McAllen'!FR25)</f>
        <v>8722</v>
      </c>
      <c r="FS25" s="92">
        <f>SUM(Oncor!FS25,Centerpoint!FS25,'AEP Central'!FS25,TNMP!FS25,'AEP North'!FS25,'[1]Sharyland Utilities LP '!FS25,'Sharyland Utilities LP McAllen'!FS25)</f>
        <v>8826</v>
      </c>
      <c r="FT25" s="92">
        <f>SUM(Oncor!FT25,Centerpoint!FT25,'AEP Central'!FT25,TNMP!FT25,'AEP North'!FT25,'[1]Sharyland Utilities LP '!FT25,'Sharyland Utilities LP McAllen'!FT25)</f>
        <v>8978</v>
      </c>
    </row>
    <row r="26" spans="1:176" ht="13.8" thickTop="1" x14ac:dyDescent="0.25">
      <c r="B26" s="114" t="s">
        <v>9</v>
      </c>
      <c r="C26" s="77">
        <f t="shared" ref="C26:K26" si="77">SUM(C24:C25)</f>
        <v>5462</v>
      </c>
      <c r="D26" s="8">
        <f t="shared" si="77"/>
        <v>5753</v>
      </c>
      <c r="E26" s="8">
        <f t="shared" si="77"/>
        <v>7146</v>
      </c>
      <c r="F26" s="8">
        <f t="shared" si="77"/>
        <v>7331</v>
      </c>
      <c r="G26" s="8">
        <f t="shared" si="77"/>
        <v>7207</v>
      </c>
      <c r="H26" s="8">
        <f t="shared" si="77"/>
        <v>7947</v>
      </c>
      <c r="I26" s="8">
        <f t="shared" si="77"/>
        <v>8190</v>
      </c>
      <c r="J26" s="8">
        <f t="shared" si="77"/>
        <v>7868</v>
      </c>
      <c r="K26" s="8">
        <f t="shared" si="77"/>
        <v>7869</v>
      </c>
      <c r="L26" s="8">
        <f t="shared" ref="L26:Q26" si="78">SUM(L24:L25)</f>
        <v>7991</v>
      </c>
      <c r="M26" s="8">
        <f t="shared" si="78"/>
        <v>7926</v>
      </c>
      <c r="N26" s="80">
        <f t="shared" si="78"/>
        <v>7896</v>
      </c>
      <c r="O26" s="135">
        <f t="shared" si="78"/>
        <v>7938</v>
      </c>
      <c r="P26" s="8">
        <f t="shared" si="78"/>
        <v>7866</v>
      </c>
      <c r="Q26" s="8">
        <f t="shared" si="78"/>
        <v>7919</v>
      </c>
      <c r="R26" s="8">
        <f t="shared" ref="R26:W26" si="79">SUM(R24:R25)</f>
        <v>7932</v>
      </c>
      <c r="S26" s="8">
        <f t="shared" si="79"/>
        <v>7919</v>
      </c>
      <c r="T26" s="8">
        <f t="shared" si="79"/>
        <v>7870</v>
      </c>
      <c r="U26" s="8">
        <f t="shared" si="79"/>
        <v>7905</v>
      </c>
      <c r="V26" s="8">
        <f t="shared" si="79"/>
        <v>7889</v>
      </c>
      <c r="W26" s="8">
        <f t="shared" si="79"/>
        <v>7837</v>
      </c>
      <c r="X26" s="8">
        <f t="shared" ref="X26:AC26" si="80">SUM(X24:X25)</f>
        <v>7923</v>
      </c>
      <c r="Y26" s="8">
        <f t="shared" si="80"/>
        <v>7685</v>
      </c>
      <c r="Z26" s="149">
        <f t="shared" si="80"/>
        <v>7805</v>
      </c>
      <c r="AA26" s="135">
        <f t="shared" si="80"/>
        <v>8112</v>
      </c>
      <c r="AB26" s="8">
        <f t="shared" si="80"/>
        <v>8020</v>
      </c>
      <c r="AC26" s="8">
        <f t="shared" si="80"/>
        <v>8305</v>
      </c>
      <c r="AD26" s="8">
        <f t="shared" ref="AD26:AI26" si="81">SUM(AD24:AD25)</f>
        <v>8168</v>
      </c>
      <c r="AE26" s="8">
        <f t="shared" si="81"/>
        <v>8131</v>
      </c>
      <c r="AF26" s="8">
        <f t="shared" si="81"/>
        <v>8234</v>
      </c>
      <c r="AG26" s="8">
        <f t="shared" si="81"/>
        <v>8239</v>
      </c>
      <c r="AH26" s="8">
        <f t="shared" si="81"/>
        <v>8253</v>
      </c>
      <c r="AI26" s="8">
        <f t="shared" si="81"/>
        <v>8115</v>
      </c>
      <c r="AJ26" s="8">
        <f t="shared" ref="AJ26:AO26" si="82">SUM(AJ24:AJ25)</f>
        <v>8206</v>
      </c>
      <c r="AK26" s="8">
        <f t="shared" si="82"/>
        <v>8158</v>
      </c>
      <c r="AL26" s="149">
        <f t="shared" si="82"/>
        <v>8126</v>
      </c>
      <c r="AM26" s="8">
        <f t="shared" si="82"/>
        <v>8092</v>
      </c>
      <c r="AN26" s="8">
        <f t="shared" si="82"/>
        <v>7922</v>
      </c>
      <c r="AO26" s="8">
        <f t="shared" si="82"/>
        <v>8020</v>
      </c>
      <c r="AP26" s="8">
        <f t="shared" ref="AP26:AU26" si="83">SUM(AP24:AP25)</f>
        <v>7960</v>
      </c>
      <c r="AQ26" s="8">
        <f t="shared" si="83"/>
        <v>7965</v>
      </c>
      <c r="AR26" s="8">
        <f t="shared" si="83"/>
        <v>8035</v>
      </c>
      <c r="AS26" s="8">
        <f t="shared" si="83"/>
        <v>7937</v>
      </c>
      <c r="AT26" s="8">
        <f t="shared" si="83"/>
        <v>8114</v>
      </c>
      <c r="AU26" s="8">
        <f t="shared" si="83"/>
        <v>8009</v>
      </c>
      <c r="AV26" s="8">
        <f t="shared" ref="AV26:BJ26" si="84">SUM(AV24:AV25)</f>
        <v>7992</v>
      </c>
      <c r="AW26" s="8">
        <f t="shared" si="84"/>
        <v>7970</v>
      </c>
      <c r="AX26" s="9">
        <f t="shared" si="84"/>
        <v>7945</v>
      </c>
      <c r="AY26" s="8">
        <f t="shared" si="84"/>
        <v>8194</v>
      </c>
      <c r="AZ26" s="8">
        <f t="shared" si="84"/>
        <v>8128</v>
      </c>
      <c r="BA26" s="8">
        <f t="shared" si="84"/>
        <v>8374</v>
      </c>
      <c r="BB26" s="8">
        <f t="shared" si="84"/>
        <v>8107</v>
      </c>
      <c r="BC26" s="8">
        <f t="shared" si="84"/>
        <v>8311</v>
      </c>
      <c r="BD26" s="8">
        <f t="shared" si="84"/>
        <v>8293</v>
      </c>
      <c r="BE26" s="8">
        <f t="shared" si="84"/>
        <v>8310</v>
      </c>
      <c r="BF26" s="8">
        <f t="shared" si="84"/>
        <v>8475</v>
      </c>
      <c r="BG26" s="8">
        <f t="shared" si="84"/>
        <v>8324</v>
      </c>
      <c r="BH26" s="8">
        <f t="shared" si="84"/>
        <v>8309</v>
      </c>
      <c r="BI26" s="8">
        <f t="shared" si="84"/>
        <v>8209</v>
      </c>
      <c r="BJ26" s="9">
        <f t="shared" si="84"/>
        <v>8106</v>
      </c>
      <c r="BK26" s="8">
        <f t="shared" ref="BK26:BP26" si="85">SUM(BK24:BK25)</f>
        <v>8336</v>
      </c>
      <c r="BL26" s="8">
        <f t="shared" si="85"/>
        <v>8212</v>
      </c>
      <c r="BM26" s="8">
        <f t="shared" si="85"/>
        <v>8383</v>
      </c>
      <c r="BN26" s="8">
        <f t="shared" si="85"/>
        <v>8226</v>
      </c>
      <c r="BO26" s="8">
        <f t="shared" si="85"/>
        <v>8407</v>
      </c>
      <c r="BP26" s="8">
        <f t="shared" si="85"/>
        <v>8363</v>
      </c>
      <c r="BQ26" s="8">
        <f t="shared" ref="BQ26:CB26" si="86">SUM(BQ24:BQ25)</f>
        <v>8315</v>
      </c>
      <c r="BR26" s="8">
        <f t="shared" si="86"/>
        <v>8466</v>
      </c>
      <c r="BS26" s="8">
        <f t="shared" si="86"/>
        <v>8203</v>
      </c>
      <c r="BT26" s="8">
        <f t="shared" si="86"/>
        <v>8353</v>
      </c>
      <c r="BU26" s="8">
        <f t="shared" si="86"/>
        <v>8365</v>
      </c>
      <c r="BV26" s="9">
        <f t="shared" si="86"/>
        <v>8390</v>
      </c>
      <c r="BW26" s="8">
        <f t="shared" si="86"/>
        <v>8421</v>
      </c>
      <c r="BX26" s="8">
        <f t="shared" si="86"/>
        <v>8159</v>
      </c>
      <c r="BY26" s="8">
        <f t="shared" si="86"/>
        <v>8505</v>
      </c>
      <c r="BZ26" s="8">
        <f t="shared" si="86"/>
        <v>8482</v>
      </c>
      <c r="CA26" s="8">
        <f t="shared" si="86"/>
        <v>8477</v>
      </c>
      <c r="CB26" s="8">
        <f t="shared" si="86"/>
        <v>8491</v>
      </c>
      <c r="CC26" s="94">
        <f>SUM(CC24:CC25)</f>
        <v>8512</v>
      </c>
      <c r="CD26" s="94">
        <f>SUM(CD24:CD25)</f>
        <v>8515</v>
      </c>
      <c r="CE26" s="94">
        <f>SUM(CE24:CE25)</f>
        <v>8508</v>
      </c>
      <c r="CF26" s="94">
        <f t="shared" ref="CF26:CQ26" si="87">SUM(CF24:CF25)</f>
        <v>8502</v>
      </c>
      <c r="CG26" s="94">
        <f t="shared" si="87"/>
        <v>8504</v>
      </c>
      <c r="CH26" s="94">
        <f t="shared" si="87"/>
        <v>8550</v>
      </c>
      <c r="CI26" s="87">
        <f t="shared" si="87"/>
        <v>8559</v>
      </c>
      <c r="CJ26" s="94">
        <f t="shared" si="87"/>
        <v>8581</v>
      </c>
      <c r="CK26" s="94">
        <f t="shared" si="87"/>
        <v>8596</v>
      </c>
      <c r="CL26" s="94">
        <f t="shared" si="87"/>
        <v>8586</v>
      </c>
      <c r="CM26" s="94">
        <f t="shared" si="87"/>
        <v>8579</v>
      </c>
      <c r="CN26" s="94">
        <f t="shared" si="87"/>
        <v>8604</v>
      </c>
      <c r="CO26" s="94">
        <f t="shared" si="87"/>
        <v>8592</v>
      </c>
      <c r="CP26" s="94">
        <f t="shared" si="87"/>
        <v>8617</v>
      </c>
      <c r="CQ26" s="94">
        <f t="shared" si="87"/>
        <v>8615</v>
      </c>
      <c r="CR26" s="94">
        <f t="shared" ref="CR26:FC26" si="88">SUM(CR24:CR25)</f>
        <v>8608</v>
      </c>
      <c r="CS26" s="94">
        <f t="shared" si="88"/>
        <v>8611</v>
      </c>
      <c r="CT26" s="96">
        <f t="shared" si="88"/>
        <v>8667</v>
      </c>
      <c r="CU26" s="94">
        <f t="shared" si="88"/>
        <v>8514</v>
      </c>
      <c r="CV26" s="94">
        <f t="shared" si="88"/>
        <v>8652</v>
      </c>
      <c r="CW26" s="94">
        <f t="shared" si="88"/>
        <v>8629</v>
      </c>
      <c r="CX26" s="94">
        <f t="shared" si="88"/>
        <v>8639</v>
      </c>
      <c r="CY26" s="94">
        <f t="shared" si="88"/>
        <v>8613</v>
      </c>
      <c r="CZ26" s="94">
        <f t="shared" si="88"/>
        <v>8633</v>
      </c>
      <c r="DA26" s="94">
        <f t="shared" si="88"/>
        <v>8664</v>
      </c>
      <c r="DB26" s="94">
        <f t="shared" si="88"/>
        <v>8614</v>
      </c>
      <c r="DC26" s="94">
        <f t="shared" si="88"/>
        <v>8660</v>
      </c>
      <c r="DD26" s="94">
        <f t="shared" si="88"/>
        <v>8611</v>
      </c>
      <c r="DE26" s="94">
        <f t="shared" si="88"/>
        <v>8623</v>
      </c>
      <c r="DF26" s="96">
        <f t="shared" si="88"/>
        <v>8700</v>
      </c>
      <c r="DG26" s="94">
        <f t="shared" si="88"/>
        <v>8519</v>
      </c>
      <c r="DH26" s="94">
        <f t="shared" si="88"/>
        <v>8702</v>
      </c>
      <c r="DI26" s="94">
        <f t="shared" si="88"/>
        <v>8694</v>
      </c>
      <c r="DJ26" s="94">
        <f t="shared" si="88"/>
        <v>8575</v>
      </c>
      <c r="DK26" s="94">
        <f t="shared" si="88"/>
        <v>8562</v>
      </c>
      <c r="DL26" s="94">
        <f t="shared" si="88"/>
        <v>8699</v>
      </c>
      <c r="DM26" s="94">
        <f t="shared" si="88"/>
        <v>8613</v>
      </c>
      <c r="DN26" s="94">
        <f t="shared" si="88"/>
        <v>8694</v>
      </c>
      <c r="DO26" s="94">
        <f t="shared" si="88"/>
        <v>8632</v>
      </c>
      <c r="DP26" s="94">
        <f t="shared" si="88"/>
        <v>8626</v>
      </c>
      <c r="DQ26" s="94">
        <f t="shared" si="88"/>
        <v>8688</v>
      </c>
      <c r="DR26" s="94">
        <f t="shared" si="88"/>
        <v>8522</v>
      </c>
      <c r="DS26" s="94">
        <f t="shared" si="88"/>
        <v>8676</v>
      </c>
      <c r="DT26" s="94">
        <f t="shared" si="88"/>
        <v>8759</v>
      </c>
      <c r="DU26" s="94">
        <f t="shared" si="88"/>
        <v>8828</v>
      </c>
      <c r="DV26" s="94">
        <f t="shared" si="88"/>
        <v>8855</v>
      </c>
      <c r="DW26" s="94">
        <f t="shared" si="88"/>
        <v>8877</v>
      </c>
      <c r="DX26" s="94">
        <f t="shared" si="88"/>
        <v>8892</v>
      </c>
      <c r="DY26" s="94">
        <f t="shared" si="88"/>
        <v>8822</v>
      </c>
      <c r="DZ26" s="94">
        <f t="shared" si="88"/>
        <v>8792</v>
      </c>
      <c r="EA26" s="94">
        <f t="shared" si="88"/>
        <v>8778</v>
      </c>
      <c r="EB26" s="94">
        <f t="shared" si="88"/>
        <v>8942</v>
      </c>
      <c r="EC26" s="94">
        <f t="shared" si="88"/>
        <v>8946</v>
      </c>
      <c r="ED26" s="94">
        <f t="shared" si="88"/>
        <v>8975</v>
      </c>
      <c r="EE26" s="94">
        <f t="shared" si="88"/>
        <v>8991</v>
      </c>
      <c r="EF26" s="94">
        <f t="shared" si="88"/>
        <v>9052</v>
      </c>
      <c r="EG26" s="94">
        <f t="shared" si="88"/>
        <v>9022</v>
      </c>
      <c r="EH26" s="94">
        <f t="shared" si="88"/>
        <v>9043</v>
      </c>
      <c r="EI26" s="94">
        <f t="shared" si="88"/>
        <v>9077</v>
      </c>
      <c r="EJ26" s="94">
        <f t="shared" si="88"/>
        <v>9120</v>
      </c>
      <c r="EK26" s="94">
        <f t="shared" si="88"/>
        <v>9148</v>
      </c>
      <c r="EL26" s="94">
        <f t="shared" si="88"/>
        <v>9187</v>
      </c>
      <c r="EM26" s="94">
        <f t="shared" si="88"/>
        <v>9209</v>
      </c>
      <c r="EN26" s="94">
        <f t="shared" si="88"/>
        <v>9225</v>
      </c>
      <c r="EO26" s="94">
        <f t="shared" si="88"/>
        <v>9255</v>
      </c>
      <c r="EP26" s="94">
        <f t="shared" si="88"/>
        <v>9230</v>
      </c>
      <c r="EQ26" s="94">
        <f t="shared" si="88"/>
        <v>9219</v>
      </c>
      <c r="ER26" s="94">
        <f t="shared" si="88"/>
        <v>9307</v>
      </c>
      <c r="ES26" s="94">
        <f t="shared" si="88"/>
        <v>9247</v>
      </c>
      <c r="ET26" s="94">
        <f t="shared" si="88"/>
        <v>9373</v>
      </c>
      <c r="EU26" s="94">
        <f t="shared" si="88"/>
        <v>9389</v>
      </c>
      <c r="EV26" s="94">
        <f t="shared" si="88"/>
        <v>9411</v>
      </c>
      <c r="EW26" s="94">
        <f t="shared" si="88"/>
        <v>9436</v>
      </c>
      <c r="EX26" s="94">
        <f t="shared" si="88"/>
        <v>9437</v>
      </c>
      <c r="EY26" s="94">
        <f t="shared" si="88"/>
        <v>9450</v>
      </c>
      <c r="EZ26" s="94">
        <f t="shared" si="88"/>
        <v>9463</v>
      </c>
      <c r="FA26" s="94">
        <f t="shared" si="88"/>
        <v>9491</v>
      </c>
      <c r="FB26" s="94">
        <f t="shared" si="88"/>
        <v>9525</v>
      </c>
      <c r="FC26" s="94">
        <f t="shared" si="88"/>
        <v>9512</v>
      </c>
      <c r="FD26" s="94">
        <f>SUM(FD24:FD25)</f>
        <v>9509</v>
      </c>
      <c r="FE26" s="94">
        <f>SUM(FE24:FE25)</f>
        <v>9551</v>
      </c>
      <c r="FF26" s="94">
        <f>SUM(FF24:FF25)</f>
        <v>9566</v>
      </c>
      <c r="FG26" s="94">
        <f>SUM(FG24:FG25)</f>
        <v>9567</v>
      </c>
      <c r="FH26" s="94">
        <f>SUM(FH24:FH25)</f>
        <v>9580</v>
      </c>
      <c r="FI26" s="94">
        <f t="shared" ref="FI26:FT26" si="89">SUM(FI24:FI25)</f>
        <v>9650</v>
      </c>
      <c r="FJ26" s="94">
        <f t="shared" si="89"/>
        <v>9667</v>
      </c>
      <c r="FK26" s="94">
        <f t="shared" si="89"/>
        <v>9688</v>
      </c>
      <c r="FL26" s="94">
        <f t="shared" si="89"/>
        <v>10610</v>
      </c>
      <c r="FM26" s="94">
        <f t="shared" si="89"/>
        <v>10657</v>
      </c>
      <c r="FN26" s="94">
        <f t="shared" si="89"/>
        <v>10697</v>
      </c>
      <c r="FO26" s="94">
        <f t="shared" si="89"/>
        <v>10695</v>
      </c>
      <c r="FP26" s="94">
        <f t="shared" si="89"/>
        <v>10833</v>
      </c>
      <c r="FQ26" s="94">
        <f t="shared" si="89"/>
        <v>10834</v>
      </c>
      <c r="FR26" s="94">
        <f t="shared" si="89"/>
        <v>10785</v>
      </c>
      <c r="FS26" s="94">
        <f t="shared" si="89"/>
        <v>10883</v>
      </c>
      <c r="FT26" s="94">
        <f t="shared" si="89"/>
        <v>11004</v>
      </c>
    </row>
    <row r="27" spans="1:176" x14ac:dyDescent="0.25">
      <c r="B27" s="114" t="s">
        <v>10</v>
      </c>
      <c r="C27" s="78">
        <f t="shared" ref="C27:Q27" si="90">SUM(C24)/C26</f>
        <v>0.95129989015012817</v>
      </c>
      <c r="D27" s="14">
        <f t="shared" si="90"/>
        <v>0.90179037024161313</v>
      </c>
      <c r="E27" s="14">
        <f t="shared" si="90"/>
        <v>0.8919675342849146</v>
      </c>
      <c r="F27" s="14">
        <f t="shared" si="90"/>
        <v>0.88050743418360389</v>
      </c>
      <c r="G27" s="14">
        <f t="shared" si="90"/>
        <v>0.87206882197863189</v>
      </c>
      <c r="H27" s="14">
        <f t="shared" si="90"/>
        <v>0.85201963004907511</v>
      </c>
      <c r="I27" s="14">
        <f t="shared" si="90"/>
        <v>0.85543345543345539</v>
      </c>
      <c r="J27" s="14">
        <f t="shared" si="90"/>
        <v>0.83833248601931876</v>
      </c>
      <c r="K27" s="14">
        <f t="shared" si="90"/>
        <v>0.83199898335239553</v>
      </c>
      <c r="L27" s="14">
        <f t="shared" si="90"/>
        <v>0.82029783506444753</v>
      </c>
      <c r="M27" s="14">
        <f t="shared" si="90"/>
        <v>0.81655311632601568</v>
      </c>
      <c r="N27" s="14">
        <f t="shared" si="90"/>
        <v>0.81522289766970613</v>
      </c>
      <c r="O27" s="136">
        <f t="shared" si="90"/>
        <v>0.74237843285462335</v>
      </c>
      <c r="P27" s="14">
        <f t="shared" si="90"/>
        <v>0.71967963386727685</v>
      </c>
      <c r="Q27" s="14">
        <f t="shared" si="90"/>
        <v>0.71726228059098374</v>
      </c>
      <c r="R27" s="14">
        <f t="shared" ref="R27:W27" si="91">SUM(R24)/R26</f>
        <v>0.71356530509329297</v>
      </c>
      <c r="S27" s="14">
        <f t="shared" si="91"/>
        <v>0.70337163783305978</v>
      </c>
      <c r="T27" s="14">
        <f t="shared" si="91"/>
        <v>0.68462515883100383</v>
      </c>
      <c r="U27" s="14">
        <f t="shared" si="91"/>
        <v>0.67729285262492089</v>
      </c>
      <c r="V27" s="14">
        <f t="shared" si="91"/>
        <v>0.67625808087210038</v>
      </c>
      <c r="W27" s="14">
        <f t="shared" si="91"/>
        <v>0.66632640040831947</v>
      </c>
      <c r="X27" s="14">
        <f t="shared" ref="X27:AC27" si="92">SUM(X24)/X26</f>
        <v>0.65921999242711093</v>
      </c>
      <c r="Y27" s="14">
        <f t="shared" si="92"/>
        <v>0.66115810019518539</v>
      </c>
      <c r="Z27" s="150">
        <f t="shared" si="92"/>
        <v>0.64983984625240232</v>
      </c>
      <c r="AA27" s="136">
        <f t="shared" si="92"/>
        <v>0.63535502958579881</v>
      </c>
      <c r="AB27" s="14">
        <f t="shared" si="92"/>
        <v>0.63478802992518701</v>
      </c>
      <c r="AC27" s="14">
        <f t="shared" si="92"/>
        <v>0.62155328115593012</v>
      </c>
      <c r="AD27" s="14">
        <f t="shared" ref="AD27:AI27" si="93">SUM(AD24)/AD26</f>
        <v>0.61545053868756117</v>
      </c>
      <c r="AE27" s="14">
        <f t="shared" si="93"/>
        <v>0.60755134669782318</v>
      </c>
      <c r="AF27" s="14">
        <f t="shared" si="93"/>
        <v>0.59509351469516636</v>
      </c>
      <c r="AG27" s="14">
        <f t="shared" si="93"/>
        <v>0.5853865760407817</v>
      </c>
      <c r="AH27" s="14">
        <f t="shared" si="93"/>
        <v>0.57966799951532777</v>
      </c>
      <c r="AI27" s="14">
        <f t="shared" si="93"/>
        <v>0.57942082563154651</v>
      </c>
      <c r="AJ27" s="14">
        <f t="shared" ref="AJ27:AO27" si="94">SUM(AJ24)/AJ26</f>
        <v>0.5647087496953449</v>
      </c>
      <c r="AK27" s="14">
        <f t="shared" si="94"/>
        <v>0.56276048050992888</v>
      </c>
      <c r="AL27" s="150">
        <f t="shared" si="94"/>
        <v>0.55316268766920995</v>
      </c>
      <c r="AM27" s="14">
        <f t="shared" si="94"/>
        <v>0.53386060306475536</v>
      </c>
      <c r="AN27" s="14">
        <f t="shared" si="94"/>
        <v>0.53231507195152739</v>
      </c>
      <c r="AO27" s="14">
        <f t="shared" si="94"/>
        <v>0.51309226932668328</v>
      </c>
      <c r="AP27" s="14">
        <f t="shared" ref="AP27:AU27" si="95">SUM(AP24)/AP26</f>
        <v>0.50866834170854269</v>
      </c>
      <c r="AQ27" s="14">
        <f t="shared" si="95"/>
        <v>0.50182046453232898</v>
      </c>
      <c r="AR27" s="14">
        <f t="shared" si="95"/>
        <v>0.46160547604231489</v>
      </c>
      <c r="AS27" s="14">
        <f t="shared" si="95"/>
        <v>0.45105203477384403</v>
      </c>
      <c r="AT27" s="14">
        <f t="shared" si="95"/>
        <v>0.44145920631008134</v>
      </c>
      <c r="AU27" s="14">
        <f t="shared" si="95"/>
        <v>0.436758646522662</v>
      </c>
      <c r="AV27" s="14">
        <f t="shared" ref="AV27:BJ27" si="96">SUM(AV24)/AV26</f>
        <v>0.43218218218218218</v>
      </c>
      <c r="AW27" s="14">
        <f t="shared" si="96"/>
        <v>0.42622333751568381</v>
      </c>
      <c r="AX27" s="23">
        <f t="shared" si="96"/>
        <v>0.42441787287602267</v>
      </c>
      <c r="AY27" s="14">
        <f t="shared" si="96"/>
        <v>0.41298511105687086</v>
      </c>
      <c r="AZ27" s="14">
        <f t="shared" si="96"/>
        <v>0.41190944881889763</v>
      </c>
      <c r="BA27" s="14">
        <f t="shared" si="96"/>
        <v>0.40554096011464058</v>
      </c>
      <c r="BB27" s="14">
        <f t="shared" si="96"/>
        <v>0.40828913284815593</v>
      </c>
      <c r="BC27" s="14">
        <f t="shared" si="96"/>
        <v>0.4060883166887258</v>
      </c>
      <c r="BD27" s="14">
        <f t="shared" si="96"/>
        <v>0.40299047389364523</v>
      </c>
      <c r="BE27" s="14">
        <f t="shared" si="96"/>
        <v>0.39723225030084236</v>
      </c>
      <c r="BF27" s="14">
        <f t="shared" si="96"/>
        <v>0.39351032448377582</v>
      </c>
      <c r="BG27" s="14">
        <f t="shared" si="96"/>
        <v>0.39043728976453629</v>
      </c>
      <c r="BH27" s="14">
        <f t="shared" si="96"/>
        <v>0.39378986640991698</v>
      </c>
      <c r="BI27" s="14">
        <f t="shared" si="96"/>
        <v>0.39164331830917287</v>
      </c>
      <c r="BJ27" s="23">
        <f t="shared" si="96"/>
        <v>0.39069824821120158</v>
      </c>
      <c r="BK27" s="14">
        <f t="shared" ref="BK27:BP27" si="97">SUM(BK24)/BK26</f>
        <v>0.38447696737044146</v>
      </c>
      <c r="BL27" s="14">
        <f t="shared" si="97"/>
        <v>0.37676570871894788</v>
      </c>
      <c r="BM27" s="14">
        <f t="shared" si="97"/>
        <v>0.37253966360491469</v>
      </c>
      <c r="BN27" s="14">
        <f t="shared" si="97"/>
        <v>0.37223437879893023</v>
      </c>
      <c r="BO27" s="14">
        <f t="shared" si="97"/>
        <v>0.36743190198643988</v>
      </c>
      <c r="BP27" s="14">
        <f t="shared" si="97"/>
        <v>0.36685399976085137</v>
      </c>
      <c r="BQ27" s="14">
        <f t="shared" ref="BQ27:CB27" si="98">SUM(BQ24)/BQ26</f>
        <v>0.36776909200240532</v>
      </c>
      <c r="BR27" s="14">
        <f t="shared" si="98"/>
        <v>0.3612095440585873</v>
      </c>
      <c r="BS27" s="14">
        <f t="shared" si="98"/>
        <v>0.36194075338290871</v>
      </c>
      <c r="BT27" s="14">
        <f t="shared" si="98"/>
        <v>0.35592002873219203</v>
      </c>
      <c r="BU27" s="14">
        <f t="shared" si="98"/>
        <v>0.35421398684997013</v>
      </c>
      <c r="BV27" s="23">
        <f t="shared" si="98"/>
        <v>0.35303933253873659</v>
      </c>
      <c r="BW27" s="14">
        <f t="shared" si="98"/>
        <v>0.34948343427146422</v>
      </c>
      <c r="BX27" s="14">
        <f t="shared" si="98"/>
        <v>0.36107366098786614</v>
      </c>
      <c r="BY27" s="14">
        <f t="shared" si="98"/>
        <v>0.34685479129923574</v>
      </c>
      <c r="BZ27" s="14">
        <f t="shared" si="98"/>
        <v>0.34755953784484789</v>
      </c>
      <c r="CA27" s="14">
        <f t="shared" si="98"/>
        <v>0.34823640438834491</v>
      </c>
      <c r="CB27" s="14">
        <f t="shared" si="98"/>
        <v>0.34566011070545283</v>
      </c>
      <c r="CC27" s="14">
        <f>SUM(CC24)/CC26</f>
        <v>0.34410244360902253</v>
      </c>
      <c r="CD27" s="14">
        <f>SUM(CD24)/CD26</f>
        <v>0.34468584850264239</v>
      </c>
      <c r="CE27" s="14">
        <f>SUM(CE24)/CE26</f>
        <v>0.34449929478138225</v>
      </c>
      <c r="CF27" s="14">
        <f t="shared" ref="CF27:CQ27" si="99">SUM(CF24)/CF26</f>
        <v>0.34215478710891556</v>
      </c>
      <c r="CG27" s="14">
        <f t="shared" si="99"/>
        <v>0.34066321730950139</v>
      </c>
      <c r="CH27" s="14">
        <f t="shared" si="99"/>
        <v>0.33964912280701753</v>
      </c>
      <c r="CI27" s="78">
        <f t="shared" si="99"/>
        <v>0.34069400630914826</v>
      </c>
      <c r="CJ27" s="14">
        <f t="shared" si="99"/>
        <v>0.33702365691644331</v>
      </c>
      <c r="CK27" s="14">
        <f t="shared" si="99"/>
        <v>0.33643555141926479</v>
      </c>
      <c r="CL27" s="14">
        <f t="shared" si="99"/>
        <v>0.33496389471232241</v>
      </c>
      <c r="CM27" s="14">
        <f t="shared" si="99"/>
        <v>0.33220655088005596</v>
      </c>
      <c r="CN27" s="14">
        <f t="shared" si="99"/>
        <v>0.33042770804277083</v>
      </c>
      <c r="CO27" s="14">
        <f t="shared" si="99"/>
        <v>0.32821229050279327</v>
      </c>
      <c r="CP27" s="14">
        <f t="shared" si="99"/>
        <v>0.31809214343739123</v>
      </c>
      <c r="CQ27" s="14">
        <f t="shared" si="99"/>
        <v>0.31561230412071967</v>
      </c>
      <c r="CR27" s="14">
        <f t="shared" ref="CR27:FC27" si="100">SUM(CR24)/CR26</f>
        <v>0.30971189591078069</v>
      </c>
      <c r="CS27" s="14">
        <f t="shared" si="100"/>
        <v>0.30855882011380792</v>
      </c>
      <c r="CT27" s="23">
        <f t="shared" si="100"/>
        <v>0.30598823122187607</v>
      </c>
      <c r="CU27" s="14">
        <f t="shared" si="100"/>
        <v>0.31172186986140477</v>
      </c>
      <c r="CV27" s="14">
        <f t="shared" si="100"/>
        <v>0.31044845122515025</v>
      </c>
      <c r="CW27" s="14">
        <f t="shared" si="100"/>
        <v>0.30872638776219724</v>
      </c>
      <c r="CX27" s="14">
        <f t="shared" si="100"/>
        <v>0.30744299108693135</v>
      </c>
      <c r="CY27" s="14">
        <f t="shared" si="100"/>
        <v>0.30558458144665041</v>
      </c>
      <c r="CZ27" s="14">
        <f t="shared" si="100"/>
        <v>0.30128576392910922</v>
      </c>
      <c r="DA27" s="14">
        <f t="shared" si="100"/>
        <v>0.29778393351800553</v>
      </c>
      <c r="DB27" s="14">
        <f t="shared" si="100"/>
        <v>0.29533317854655211</v>
      </c>
      <c r="DC27" s="14">
        <f t="shared" si="100"/>
        <v>0.2922632794457275</v>
      </c>
      <c r="DD27" s="14">
        <f t="shared" si="100"/>
        <v>0.28928115201486471</v>
      </c>
      <c r="DE27" s="14">
        <f t="shared" si="100"/>
        <v>0.28853067377942709</v>
      </c>
      <c r="DF27" s="23">
        <f t="shared" si="100"/>
        <v>0.2847126436781609</v>
      </c>
      <c r="DG27" s="14">
        <f t="shared" si="100"/>
        <v>0.29839183002699848</v>
      </c>
      <c r="DH27" s="14">
        <f t="shared" si="100"/>
        <v>0.28935876809928751</v>
      </c>
      <c r="DI27" s="14">
        <f t="shared" si="100"/>
        <v>0.28663446054750402</v>
      </c>
      <c r="DJ27" s="14">
        <f t="shared" si="100"/>
        <v>0.28956268221574344</v>
      </c>
      <c r="DK27" s="14">
        <f t="shared" si="100"/>
        <v>0.28918476991357162</v>
      </c>
      <c r="DL27" s="14">
        <f t="shared" si="100"/>
        <v>0.27681342683067017</v>
      </c>
      <c r="DM27" s="14">
        <f t="shared" si="100"/>
        <v>0.27830024381748519</v>
      </c>
      <c r="DN27" s="14">
        <f t="shared" si="100"/>
        <v>0.27501725327812282</v>
      </c>
      <c r="DO27" s="14">
        <f t="shared" si="100"/>
        <v>0.27421223354958296</v>
      </c>
      <c r="DP27" s="14">
        <f t="shared" si="100"/>
        <v>0.27266403895200558</v>
      </c>
      <c r="DQ27" s="14">
        <f t="shared" si="100"/>
        <v>0.26899171270718231</v>
      </c>
      <c r="DR27" s="14">
        <f t="shared" si="100"/>
        <v>0.27141516076038491</v>
      </c>
      <c r="DS27" s="14">
        <f t="shared" si="100"/>
        <v>0.26602120792992162</v>
      </c>
      <c r="DT27" s="14">
        <f t="shared" si="100"/>
        <v>0.26247288503253796</v>
      </c>
      <c r="DU27" s="14">
        <f t="shared" si="100"/>
        <v>0.26030811055731762</v>
      </c>
      <c r="DV27" s="14">
        <f t="shared" si="100"/>
        <v>0.25872388481084135</v>
      </c>
      <c r="DW27" s="14">
        <f t="shared" si="100"/>
        <v>0.25402726146220572</v>
      </c>
      <c r="DX27" s="14">
        <f t="shared" si="100"/>
        <v>0.24628879892037786</v>
      </c>
      <c r="DY27" s="14">
        <f t="shared" si="100"/>
        <v>0.24030832010881886</v>
      </c>
      <c r="DZ27" s="14">
        <f t="shared" si="100"/>
        <v>0.23930846223839855</v>
      </c>
      <c r="EA27" s="14">
        <f t="shared" si="100"/>
        <v>0.23889268626110732</v>
      </c>
      <c r="EB27" s="14">
        <f t="shared" si="100"/>
        <v>0.23775441735629613</v>
      </c>
      <c r="EC27" s="14">
        <f t="shared" si="100"/>
        <v>0.23585960205678516</v>
      </c>
      <c r="ED27" s="14">
        <f t="shared" si="100"/>
        <v>0.23532033426183843</v>
      </c>
      <c r="EE27" s="14">
        <f t="shared" si="100"/>
        <v>0.2393504615726838</v>
      </c>
      <c r="EF27" s="14">
        <f t="shared" si="100"/>
        <v>0.23740609809986743</v>
      </c>
      <c r="EG27" s="14">
        <f t="shared" si="100"/>
        <v>0.23730880070937707</v>
      </c>
      <c r="EH27" s="14">
        <f t="shared" si="100"/>
        <v>0.23642596483467876</v>
      </c>
      <c r="EI27" s="14">
        <f t="shared" si="100"/>
        <v>0.23245565715544783</v>
      </c>
      <c r="EJ27" s="14">
        <f t="shared" si="100"/>
        <v>0.23015350877192983</v>
      </c>
      <c r="EK27" s="14">
        <f t="shared" si="100"/>
        <v>0.23108876257105379</v>
      </c>
      <c r="EL27" s="14">
        <f t="shared" si="100"/>
        <v>0.22999891150538804</v>
      </c>
      <c r="EM27" s="14">
        <f t="shared" si="100"/>
        <v>0.23031816701053318</v>
      </c>
      <c r="EN27" s="14">
        <f t="shared" si="100"/>
        <v>0.23013550135501354</v>
      </c>
      <c r="EO27" s="14">
        <f t="shared" si="100"/>
        <v>0.22992976769313883</v>
      </c>
      <c r="EP27" s="14">
        <f t="shared" si="100"/>
        <v>0.22957746478873239</v>
      </c>
      <c r="EQ27" s="14">
        <f t="shared" si="100"/>
        <v>0.23212929818852371</v>
      </c>
      <c r="ER27" s="14">
        <f t="shared" si="100"/>
        <v>0.22810787579241432</v>
      </c>
      <c r="ES27" s="14">
        <f t="shared" si="100"/>
        <v>0.22991240402292634</v>
      </c>
      <c r="ET27" s="14">
        <f t="shared" si="100"/>
        <v>0.22916888936306412</v>
      </c>
      <c r="EU27" s="14">
        <f t="shared" si="100"/>
        <v>0.22835232719139417</v>
      </c>
      <c r="EV27" s="14">
        <f t="shared" si="100"/>
        <v>0.2287748379555839</v>
      </c>
      <c r="EW27" s="14">
        <f t="shared" si="100"/>
        <v>0.22880457821110639</v>
      </c>
      <c r="EX27" s="14">
        <f t="shared" si="100"/>
        <v>0.22920419624880789</v>
      </c>
      <c r="EY27" s="14">
        <f t="shared" si="100"/>
        <v>0.22835978835978835</v>
      </c>
      <c r="EZ27" s="14">
        <f t="shared" si="100"/>
        <v>0.22762337525097748</v>
      </c>
      <c r="FA27" s="14">
        <f t="shared" si="100"/>
        <v>0.22631967126751659</v>
      </c>
      <c r="FB27" s="14">
        <f t="shared" si="100"/>
        <v>0.22656167979002625</v>
      </c>
      <c r="FC27" s="14">
        <f t="shared" si="100"/>
        <v>0.22645079899074852</v>
      </c>
      <c r="FD27" s="14">
        <f>SUM(FD24)/FD26</f>
        <v>0.22589126091071615</v>
      </c>
      <c r="FE27" s="14">
        <f>SUM(FE24)/FE26</f>
        <v>0.2246885142916972</v>
      </c>
      <c r="FF27" s="14">
        <f>SUM(FF24)/FF26</f>
        <v>0.22391804306920343</v>
      </c>
      <c r="FG27" s="14">
        <f>SUM(FG24)/FG26</f>
        <v>0.2212814884498798</v>
      </c>
      <c r="FH27" s="14">
        <f>SUM(FH24)/FH26</f>
        <v>0.2210855949895616</v>
      </c>
      <c r="FI27" s="14">
        <f t="shared" ref="FI27:FT27" si="101">SUM(FI24)/FI26</f>
        <v>0.21865284974093263</v>
      </c>
      <c r="FJ27" s="14">
        <f t="shared" si="101"/>
        <v>0.21868211440984794</v>
      </c>
      <c r="FK27" s="14">
        <f t="shared" si="101"/>
        <v>0.21769199009083401</v>
      </c>
      <c r="FL27" s="14">
        <f t="shared" si="101"/>
        <v>0.19868049010367578</v>
      </c>
      <c r="FM27" s="14">
        <f t="shared" si="101"/>
        <v>0.19893028056676362</v>
      </c>
      <c r="FN27" s="14">
        <f t="shared" si="101"/>
        <v>0.1977189866317659</v>
      </c>
      <c r="FO27" s="14">
        <f t="shared" si="101"/>
        <v>0.19822346891070594</v>
      </c>
      <c r="FP27" s="14">
        <f t="shared" si="101"/>
        <v>0.19375980799409212</v>
      </c>
      <c r="FQ27" s="14">
        <f t="shared" si="101"/>
        <v>0.19226509137899206</v>
      </c>
      <c r="FR27" s="14">
        <f t="shared" si="101"/>
        <v>0.19128419100602689</v>
      </c>
      <c r="FS27" s="14">
        <f t="shared" si="101"/>
        <v>0.18901038316640631</v>
      </c>
      <c r="FT27" s="14">
        <f t="shared" si="101"/>
        <v>0.18411486732097418</v>
      </c>
    </row>
    <row r="28" spans="1:176" ht="13.8" thickBot="1" x14ac:dyDescent="0.3">
      <c r="B28" s="117" t="s">
        <v>11</v>
      </c>
      <c r="C28" s="79">
        <f t="shared" ref="C28:Q28" si="102">SUM(C25/C26)</f>
        <v>4.8700109849871845E-2</v>
      </c>
      <c r="D28" s="15">
        <f t="shared" si="102"/>
        <v>9.8209629758386929E-2</v>
      </c>
      <c r="E28" s="15">
        <f t="shared" si="102"/>
        <v>0.10803246571508536</v>
      </c>
      <c r="F28" s="15">
        <f t="shared" si="102"/>
        <v>0.11949256581639613</v>
      </c>
      <c r="G28" s="15">
        <f t="shared" si="102"/>
        <v>0.12793117802136811</v>
      </c>
      <c r="H28" s="15">
        <f t="shared" si="102"/>
        <v>0.14798036995092487</v>
      </c>
      <c r="I28" s="15">
        <f t="shared" si="102"/>
        <v>0.14456654456654458</v>
      </c>
      <c r="J28" s="15">
        <f t="shared" si="102"/>
        <v>0.16166751398068124</v>
      </c>
      <c r="K28" s="15">
        <f t="shared" si="102"/>
        <v>0.16800101664760453</v>
      </c>
      <c r="L28" s="15">
        <f t="shared" si="102"/>
        <v>0.17970216493555249</v>
      </c>
      <c r="M28" s="15">
        <f t="shared" si="102"/>
        <v>0.18344688367398435</v>
      </c>
      <c r="N28" s="15">
        <f t="shared" si="102"/>
        <v>0.18477710233029382</v>
      </c>
      <c r="O28" s="137">
        <f t="shared" si="102"/>
        <v>0.25762156714537665</v>
      </c>
      <c r="P28" s="15">
        <f t="shared" si="102"/>
        <v>0.2803203661327231</v>
      </c>
      <c r="Q28" s="15">
        <f t="shared" si="102"/>
        <v>0.28273771940901626</v>
      </c>
      <c r="R28" s="15">
        <f t="shared" ref="R28:W28" si="103">SUM(R25/R26)</f>
        <v>0.28643469490670703</v>
      </c>
      <c r="S28" s="15">
        <f t="shared" si="103"/>
        <v>0.29662836216694027</v>
      </c>
      <c r="T28" s="15">
        <f t="shared" si="103"/>
        <v>0.31537484116899617</v>
      </c>
      <c r="U28" s="15">
        <f t="shared" si="103"/>
        <v>0.32270714737507905</v>
      </c>
      <c r="V28" s="15">
        <f t="shared" si="103"/>
        <v>0.32374191912789962</v>
      </c>
      <c r="W28" s="15">
        <f t="shared" si="103"/>
        <v>0.33367359959168047</v>
      </c>
      <c r="X28" s="15">
        <f t="shared" ref="X28:AC28" si="104">SUM(X25/X26)</f>
        <v>0.34078000757288907</v>
      </c>
      <c r="Y28" s="15">
        <f t="shared" si="104"/>
        <v>0.33884189980481455</v>
      </c>
      <c r="Z28" s="151">
        <f t="shared" si="104"/>
        <v>0.35016015374759768</v>
      </c>
      <c r="AA28" s="137">
        <f t="shared" si="104"/>
        <v>0.36464497041420119</v>
      </c>
      <c r="AB28" s="15">
        <f t="shared" si="104"/>
        <v>0.36521197007481299</v>
      </c>
      <c r="AC28" s="15">
        <f t="shared" si="104"/>
        <v>0.37844671884406983</v>
      </c>
      <c r="AD28" s="15">
        <f t="shared" ref="AD28:AI28" si="105">SUM(AD25/AD26)</f>
        <v>0.38454946131243878</v>
      </c>
      <c r="AE28" s="15">
        <f t="shared" si="105"/>
        <v>0.39244865330217688</v>
      </c>
      <c r="AF28" s="15">
        <f t="shared" si="105"/>
        <v>0.40490648530483364</v>
      </c>
      <c r="AG28" s="15">
        <f t="shared" si="105"/>
        <v>0.41461342395921835</v>
      </c>
      <c r="AH28" s="15">
        <f t="shared" si="105"/>
        <v>0.42033200048467223</v>
      </c>
      <c r="AI28" s="15">
        <f t="shared" si="105"/>
        <v>0.42057917436845349</v>
      </c>
      <c r="AJ28" s="15">
        <f t="shared" ref="AJ28:AO28" si="106">SUM(AJ25/AJ26)</f>
        <v>0.43529125030465515</v>
      </c>
      <c r="AK28" s="15">
        <f t="shared" si="106"/>
        <v>0.43723951949007112</v>
      </c>
      <c r="AL28" s="151">
        <f t="shared" si="106"/>
        <v>0.44683731233079005</v>
      </c>
      <c r="AM28" s="15">
        <f t="shared" si="106"/>
        <v>0.4661393969352447</v>
      </c>
      <c r="AN28" s="15">
        <f t="shared" si="106"/>
        <v>0.46768492804847261</v>
      </c>
      <c r="AO28" s="15">
        <f t="shared" si="106"/>
        <v>0.48690773067331672</v>
      </c>
      <c r="AP28" s="15">
        <f t="shared" ref="AP28:AU28" si="107">SUM(AP25/AP26)</f>
        <v>0.49133165829145731</v>
      </c>
      <c r="AQ28" s="15">
        <f t="shared" si="107"/>
        <v>0.49817953546767108</v>
      </c>
      <c r="AR28" s="15">
        <f t="shared" si="107"/>
        <v>0.53839452395768517</v>
      </c>
      <c r="AS28" s="15">
        <f t="shared" si="107"/>
        <v>0.54894796522615597</v>
      </c>
      <c r="AT28" s="15">
        <f t="shared" si="107"/>
        <v>0.55854079368991871</v>
      </c>
      <c r="AU28" s="15">
        <f t="shared" si="107"/>
        <v>0.56324135347733795</v>
      </c>
      <c r="AV28" s="15">
        <f>SUM(AV25/AV26)</f>
        <v>0.56781781781781782</v>
      </c>
      <c r="AW28" s="15">
        <f>SUM(AW25/AW26)</f>
        <v>0.57377666248431614</v>
      </c>
      <c r="AX28" s="24">
        <f>SUM(AX25/AX26)</f>
        <v>0.57558212712397738</v>
      </c>
      <c r="AY28" s="15">
        <f t="shared" ref="AY28:BG28" si="108">SUM(AY25/AY26)</f>
        <v>0.58701488894312914</v>
      </c>
      <c r="AZ28" s="15">
        <f t="shared" si="108"/>
        <v>0.58809055118110232</v>
      </c>
      <c r="BA28" s="15">
        <f t="shared" si="108"/>
        <v>0.59445903988535942</v>
      </c>
      <c r="BB28" s="15">
        <f t="shared" si="108"/>
        <v>0.59171086715184407</v>
      </c>
      <c r="BC28" s="15">
        <f t="shared" si="108"/>
        <v>0.5939116833112742</v>
      </c>
      <c r="BD28" s="15">
        <f t="shared" si="108"/>
        <v>0.59700952610635472</v>
      </c>
      <c r="BE28" s="15">
        <f t="shared" si="108"/>
        <v>0.6027677496991577</v>
      </c>
      <c r="BF28" s="15">
        <f t="shared" si="108"/>
        <v>0.60648967551622424</v>
      </c>
      <c r="BG28" s="15">
        <f t="shared" si="108"/>
        <v>0.60956271023546371</v>
      </c>
      <c r="BH28" s="15">
        <f t="shared" ref="BH28:BM28" si="109">SUM(BH25/BH26)</f>
        <v>0.60621013359008302</v>
      </c>
      <c r="BI28" s="15">
        <f t="shared" si="109"/>
        <v>0.60835668169082713</v>
      </c>
      <c r="BJ28" s="24">
        <f t="shared" si="109"/>
        <v>0.60930175178879842</v>
      </c>
      <c r="BK28" s="15">
        <f t="shared" si="109"/>
        <v>0.61552303262955854</v>
      </c>
      <c r="BL28" s="15">
        <f t="shared" si="109"/>
        <v>0.62323429128105212</v>
      </c>
      <c r="BM28" s="15">
        <f t="shared" si="109"/>
        <v>0.62746033639508525</v>
      </c>
      <c r="BN28" s="15">
        <f t="shared" ref="BN28:BS28" si="110">SUM(BN25/BN26)</f>
        <v>0.62776562120106982</v>
      </c>
      <c r="BO28" s="15">
        <f t="shared" si="110"/>
        <v>0.63256809801356018</v>
      </c>
      <c r="BP28" s="15">
        <f t="shared" si="110"/>
        <v>0.63314600023914858</v>
      </c>
      <c r="BQ28" s="15">
        <f t="shared" si="110"/>
        <v>0.63223090799759474</v>
      </c>
      <c r="BR28" s="15">
        <f t="shared" si="110"/>
        <v>0.6387904559414127</v>
      </c>
      <c r="BS28" s="15">
        <f t="shared" si="110"/>
        <v>0.63805924661709135</v>
      </c>
      <c r="BT28" s="15">
        <f>SUM(BT25/BT26)</f>
        <v>0.64407997126780803</v>
      </c>
      <c r="BU28" s="15">
        <f>SUM(BU25/BU26)</f>
        <v>0.64578601315002993</v>
      </c>
      <c r="BV28" s="24">
        <f>SUM(BV25/BV26)</f>
        <v>0.64696066746126346</v>
      </c>
      <c r="BW28" s="15">
        <f t="shared" ref="BW28:CB28" si="111">SUM(BW25/BW26)</f>
        <v>0.65051656572853578</v>
      </c>
      <c r="BX28" s="15">
        <f t="shared" si="111"/>
        <v>0.6389263390121338</v>
      </c>
      <c r="BY28" s="15">
        <f t="shared" si="111"/>
        <v>0.6531452087007642</v>
      </c>
      <c r="BZ28" s="15">
        <f t="shared" si="111"/>
        <v>0.65244046215515206</v>
      </c>
      <c r="CA28" s="15">
        <f t="shared" si="111"/>
        <v>0.65176359561165509</v>
      </c>
      <c r="CB28" s="15">
        <f t="shared" si="111"/>
        <v>0.65433988929454712</v>
      </c>
      <c r="CC28" s="15">
        <f>SUM(CC25/CC26)</f>
        <v>0.65589755639097747</v>
      </c>
      <c r="CD28" s="15">
        <f>SUM(CD25/CD26)</f>
        <v>0.65531415149735761</v>
      </c>
      <c r="CE28" s="15">
        <f>SUM(CE25/CE26)</f>
        <v>0.65550070521861781</v>
      </c>
      <c r="CF28" s="15">
        <f t="shared" ref="CF28:CQ28" si="112">SUM(CF25/CF26)</f>
        <v>0.65784521289108444</v>
      </c>
      <c r="CG28" s="15">
        <f t="shared" si="112"/>
        <v>0.65933678269049856</v>
      </c>
      <c r="CH28" s="15">
        <f t="shared" si="112"/>
        <v>0.66035087719298247</v>
      </c>
      <c r="CI28" s="79">
        <f t="shared" si="112"/>
        <v>0.65930599369085174</v>
      </c>
      <c r="CJ28" s="15">
        <f t="shared" si="112"/>
        <v>0.66297634308355669</v>
      </c>
      <c r="CK28" s="15">
        <f t="shared" si="112"/>
        <v>0.66356444858073527</v>
      </c>
      <c r="CL28" s="15">
        <f t="shared" si="112"/>
        <v>0.66503610528767765</v>
      </c>
      <c r="CM28" s="15">
        <f t="shared" si="112"/>
        <v>0.66779344911994409</v>
      </c>
      <c r="CN28" s="15">
        <f t="shared" si="112"/>
        <v>0.66957229195722923</v>
      </c>
      <c r="CO28" s="15">
        <f t="shared" si="112"/>
        <v>0.67178770949720668</v>
      </c>
      <c r="CP28" s="15">
        <f t="shared" si="112"/>
        <v>0.68190785656260877</v>
      </c>
      <c r="CQ28" s="15">
        <f t="shared" si="112"/>
        <v>0.68438769587928028</v>
      </c>
      <c r="CR28" s="15">
        <f t="shared" ref="CR28:FC28" si="113">SUM(CR25/CR26)</f>
        <v>0.69028810408921937</v>
      </c>
      <c r="CS28" s="15">
        <f t="shared" si="113"/>
        <v>0.69144117988619203</v>
      </c>
      <c r="CT28" s="24">
        <f t="shared" si="113"/>
        <v>0.69401176877812387</v>
      </c>
      <c r="CU28" s="15">
        <f t="shared" si="113"/>
        <v>0.68827813013859529</v>
      </c>
      <c r="CV28" s="15">
        <f t="shared" si="113"/>
        <v>0.6895515487748497</v>
      </c>
      <c r="CW28" s="15">
        <f t="shared" si="113"/>
        <v>0.6912736122378027</v>
      </c>
      <c r="CX28" s="15">
        <f t="shared" si="113"/>
        <v>0.69255700891306859</v>
      </c>
      <c r="CY28" s="15">
        <f t="shared" si="113"/>
        <v>0.69441541855334954</v>
      </c>
      <c r="CZ28" s="15">
        <f t="shared" si="113"/>
        <v>0.69871423607089078</v>
      </c>
      <c r="DA28" s="15">
        <f t="shared" si="113"/>
        <v>0.70221606648199442</v>
      </c>
      <c r="DB28" s="15">
        <f t="shared" si="113"/>
        <v>0.70466682145344783</v>
      </c>
      <c r="DC28" s="15">
        <f t="shared" si="113"/>
        <v>0.7077367205542725</v>
      </c>
      <c r="DD28" s="15">
        <f t="shared" si="113"/>
        <v>0.71071884798513529</v>
      </c>
      <c r="DE28" s="15">
        <f t="shared" si="113"/>
        <v>0.71146932622057291</v>
      </c>
      <c r="DF28" s="24">
        <f t="shared" si="113"/>
        <v>0.71528735632183904</v>
      </c>
      <c r="DG28" s="15">
        <f t="shared" si="113"/>
        <v>0.70160816997300157</v>
      </c>
      <c r="DH28" s="15">
        <f t="shared" si="113"/>
        <v>0.71064123190071249</v>
      </c>
      <c r="DI28" s="15">
        <f t="shared" si="113"/>
        <v>0.71336553945249592</v>
      </c>
      <c r="DJ28" s="15">
        <f t="shared" si="113"/>
        <v>0.71043731778425656</v>
      </c>
      <c r="DK28" s="15">
        <f t="shared" si="113"/>
        <v>0.71081523008642844</v>
      </c>
      <c r="DL28" s="15">
        <f t="shared" si="113"/>
        <v>0.72318657316932977</v>
      </c>
      <c r="DM28" s="15">
        <f t="shared" si="113"/>
        <v>0.72169975618251481</v>
      </c>
      <c r="DN28" s="15">
        <f t="shared" si="113"/>
        <v>0.72498274672187712</v>
      </c>
      <c r="DO28" s="15">
        <f t="shared" si="113"/>
        <v>0.72578776645041709</v>
      </c>
      <c r="DP28" s="15">
        <f t="shared" si="113"/>
        <v>0.72733596104799447</v>
      </c>
      <c r="DQ28" s="15">
        <f t="shared" si="113"/>
        <v>0.73100828729281764</v>
      </c>
      <c r="DR28" s="15">
        <f t="shared" si="113"/>
        <v>0.72858483923961515</v>
      </c>
      <c r="DS28" s="15">
        <f t="shared" si="113"/>
        <v>0.73397879207007832</v>
      </c>
      <c r="DT28" s="15">
        <f t="shared" si="113"/>
        <v>0.73752711496746204</v>
      </c>
      <c r="DU28" s="15">
        <f t="shared" si="113"/>
        <v>0.73969188944268238</v>
      </c>
      <c r="DV28" s="15">
        <f t="shared" si="113"/>
        <v>0.7412761151891587</v>
      </c>
      <c r="DW28" s="15">
        <f t="shared" si="113"/>
        <v>0.74597273853779433</v>
      </c>
      <c r="DX28" s="15">
        <f t="shared" si="113"/>
        <v>0.75371120107962208</v>
      </c>
      <c r="DY28" s="15">
        <f t="shared" si="113"/>
        <v>0.75969167989118114</v>
      </c>
      <c r="DZ28" s="15">
        <f t="shared" si="113"/>
        <v>0.76069153776160148</v>
      </c>
      <c r="EA28" s="15">
        <f t="shared" si="113"/>
        <v>0.76110731373889273</v>
      </c>
      <c r="EB28" s="15">
        <f t="shared" si="113"/>
        <v>0.7622455826437039</v>
      </c>
      <c r="EC28" s="15">
        <f t="shared" si="113"/>
        <v>0.76414039794321487</v>
      </c>
      <c r="ED28" s="15">
        <f t="shared" si="113"/>
        <v>0.7646796657381616</v>
      </c>
      <c r="EE28" s="15">
        <f t="shared" si="113"/>
        <v>0.7606495384273162</v>
      </c>
      <c r="EF28" s="15">
        <f t="shared" si="113"/>
        <v>0.76259390190013254</v>
      </c>
      <c r="EG28" s="15">
        <f t="shared" si="113"/>
        <v>0.7626911992906229</v>
      </c>
      <c r="EH28" s="15">
        <f t="shared" si="113"/>
        <v>0.7635740351653213</v>
      </c>
      <c r="EI28" s="15">
        <f t="shared" si="113"/>
        <v>0.7675443428445522</v>
      </c>
      <c r="EJ28" s="15">
        <f t="shared" si="113"/>
        <v>0.76984649122807014</v>
      </c>
      <c r="EK28" s="15">
        <f t="shared" si="113"/>
        <v>0.76891123742894618</v>
      </c>
      <c r="EL28" s="15">
        <f t="shared" si="113"/>
        <v>0.77000108849461191</v>
      </c>
      <c r="EM28" s="15">
        <f t="shared" si="113"/>
        <v>0.7696818329894668</v>
      </c>
      <c r="EN28" s="15">
        <f t="shared" si="113"/>
        <v>0.76986449864498641</v>
      </c>
      <c r="EO28" s="15">
        <f t="shared" si="113"/>
        <v>0.77007023230686111</v>
      </c>
      <c r="EP28" s="15">
        <f t="shared" si="113"/>
        <v>0.77042253521126758</v>
      </c>
      <c r="EQ28" s="15">
        <f t="shared" si="113"/>
        <v>0.76787070181147632</v>
      </c>
      <c r="ER28" s="15">
        <f t="shared" si="113"/>
        <v>0.77189212420758568</v>
      </c>
      <c r="ES28" s="15">
        <f t="shared" si="113"/>
        <v>0.77008759597707366</v>
      </c>
      <c r="ET28" s="15">
        <f t="shared" si="113"/>
        <v>0.77083111063693588</v>
      </c>
      <c r="EU28" s="15">
        <f t="shared" si="113"/>
        <v>0.7716476728086058</v>
      </c>
      <c r="EV28" s="15">
        <f t="shared" si="113"/>
        <v>0.77122516204441616</v>
      </c>
      <c r="EW28" s="15">
        <f t="shared" si="113"/>
        <v>0.77119542178889355</v>
      </c>
      <c r="EX28" s="15">
        <f t="shared" si="113"/>
        <v>0.77079580375119217</v>
      </c>
      <c r="EY28" s="15">
        <f t="shared" si="113"/>
        <v>0.77164021164021168</v>
      </c>
      <c r="EZ28" s="15">
        <f t="shared" si="113"/>
        <v>0.77237662474902247</v>
      </c>
      <c r="FA28" s="15">
        <f t="shared" si="113"/>
        <v>0.77368032873248338</v>
      </c>
      <c r="FB28" s="15">
        <f t="shared" si="113"/>
        <v>0.77343832020997372</v>
      </c>
      <c r="FC28" s="15">
        <f t="shared" si="113"/>
        <v>0.77354920100925151</v>
      </c>
      <c r="FD28" s="15">
        <f>SUM(FD25/FD26)</f>
        <v>0.77410873908928379</v>
      </c>
      <c r="FE28" s="15">
        <f>SUM(FE25/FE26)</f>
        <v>0.77531148570830277</v>
      </c>
      <c r="FF28" s="15">
        <f>SUM(FF25/FF26)</f>
        <v>0.77608195693079662</v>
      </c>
      <c r="FG28" s="15">
        <f>SUM(FG25/FG26)</f>
        <v>0.77871851155012017</v>
      </c>
      <c r="FH28" s="15">
        <f>SUM(FH25/FH26)</f>
        <v>0.7789144050104384</v>
      </c>
      <c r="FI28" s="15">
        <f t="shared" ref="FI28:FT28" si="114">SUM(FI25/FI26)</f>
        <v>0.78134715025906731</v>
      </c>
      <c r="FJ28" s="15">
        <f t="shared" si="114"/>
        <v>0.78131788559015203</v>
      </c>
      <c r="FK28" s="15">
        <f t="shared" si="114"/>
        <v>0.78230800990916594</v>
      </c>
      <c r="FL28" s="15">
        <f t="shared" si="114"/>
        <v>0.80131950989632417</v>
      </c>
      <c r="FM28" s="15">
        <f t="shared" si="114"/>
        <v>0.80106971943323635</v>
      </c>
      <c r="FN28" s="15">
        <f t="shared" si="114"/>
        <v>0.8022810133682341</v>
      </c>
      <c r="FO28" s="15">
        <f t="shared" si="114"/>
        <v>0.80177653108929403</v>
      </c>
      <c r="FP28" s="15">
        <f t="shared" si="114"/>
        <v>0.80624019200590791</v>
      </c>
      <c r="FQ28" s="15">
        <f t="shared" si="114"/>
        <v>0.80773490862100794</v>
      </c>
      <c r="FR28" s="15">
        <f t="shared" si="114"/>
        <v>0.80871580899397311</v>
      </c>
      <c r="FS28" s="15">
        <f t="shared" si="114"/>
        <v>0.81098961683359372</v>
      </c>
      <c r="FT28" s="15">
        <f t="shared" si="114"/>
        <v>0.81588513267902585</v>
      </c>
    </row>
    <row r="29" spans="1:176" x14ac:dyDescent="0.25">
      <c r="B29" s="114"/>
      <c r="C29" s="74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138"/>
      <c r="P29" s="18"/>
      <c r="Q29" s="18"/>
      <c r="U29" s="18"/>
      <c r="V29" s="18"/>
      <c r="W29" s="18"/>
      <c r="X29" s="18"/>
      <c r="Y29" s="18"/>
      <c r="Z29" s="146"/>
      <c r="AA29" s="13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46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20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20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20"/>
      <c r="BW29" s="18"/>
      <c r="BX29" s="18"/>
      <c r="BY29" s="18"/>
      <c r="BZ29" s="18"/>
      <c r="CA29" s="18"/>
      <c r="CB29" s="18"/>
      <c r="CC29" s="69"/>
      <c r="CD29" s="69"/>
      <c r="CE29" s="69"/>
      <c r="CF29" s="69"/>
      <c r="CG29" s="69"/>
      <c r="CH29" s="69"/>
      <c r="CI29" s="88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69"/>
      <c r="DH29" s="69"/>
      <c r="DI29" s="69"/>
      <c r="DJ29" s="69"/>
    </row>
    <row r="30" spans="1:176" x14ac:dyDescent="0.25">
      <c r="B30" s="114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161"/>
      <c r="P30" s="18"/>
      <c r="Q30" s="18"/>
      <c r="U30" s="18"/>
      <c r="V30" s="18"/>
      <c r="W30" s="18"/>
      <c r="X30" s="18"/>
      <c r="Y30" s="18"/>
      <c r="Z30" s="146"/>
      <c r="AA30" s="13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46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20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20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20"/>
      <c r="BW30" s="18"/>
      <c r="BX30" s="18"/>
      <c r="BY30" s="18"/>
      <c r="BZ30" s="18"/>
      <c r="CA30" s="18"/>
      <c r="CB30" s="18"/>
      <c r="CC30" s="69"/>
      <c r="CD30" s="69"/>
      <c r="CE30" s="69"/>
      <c r="CF30" s="69"/>
      <c r="CG30" s="69"/>
      <c r="CH30" s="69"/>
      <c r="CI30" s="88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69"/>
      <c r="DH30" s="69"/>
      <c r="DI30" s="69"/>
      <c r="DJ30" s="69"/>
    </row>
    <row r="31" spans="1:176" x14ac:dyDescent="0.25">
      <c r="B31" s="114" t="s">
        <v>1</v>
      </c>
      <c r="C31" s="75">
        <f>SUM(Oncor!C31,Centerpoint!C31,'AEP Central'!C31,TNMP!C31,'AEP North'!C31)</f>
        <v>237577</v>
      </c>
      <c r="D31" s="16">
        <f>SUM(Oncor!D31,Centerpoint!D31,'AEP Central'!D31,TNMP!D31,'AEP North'!D31)</f>
        <v>237517</v>
      </c>
      <c r="E31" s="16">
        <f>SUM(Oncor!E31,Centerpoint!E31,'AEP Central'!E31,TNMP!E31,'AEP North'!E31)</f>
        <v>261231</v>
      </c>
      <c r="F31" s="16">
        <f>SUM(Oncor!F31,Centerpoint!F31,'AEP Central'!F31,TNMP!F31,'AEP North'!F31)</f>
        <v>260078</v>
      </c>
      <c r="G31" s="16">
        <f>SUM(Oncor!G31,Centerpoint!G31,'AEP Central'!G31,TNMP!G31,'AEP North'!G31)</f>
        <v>256907</v>
      </c>
      <c r="H31" s="16">
        <f>SUM(Oncor!H31,Centerpoint!H31,'AEP Central'!H31,TNMP!H31,'AEP North'!H31)</f>
        <v>256522</v>
      </c>
      <c r="I31" s="16">
        <f>SUM(Oncor!I31,Centerpoint!I31,'AEP Central'!I31,TNMP!I31,'AEP North'!I31)</f>
        <v>254741</v>
      </c>
      <c r="J31" s="16">
        <f>SUM(Oncor!J31,Centerpoint!J31,'AEP Central'!J31,TNMP!J31,'AEP North'!J31)</f>
        <v>253354</v>
      </c>
      <c r="K31" s="16">
        <f>SUM(Oncor!K31,Centerpoint!K31,'AEP Central'!K31,TNMP!K31,'AEP North'!K31)</f>
        <v>251614</v>
      </c>
      <c r="L31" s="16">
        <f>SUM(Oncor!L31,Centerpoint!L31,'AEP Central'!L31,TNMP!L31,'AEP North'!L31)</f>
        <v>152774</v>
      </c>
      <c r="M31" s="16">
        <f>SUM(Oncor!M31,Centerpoint!M31,'AEP Central'!M31,TNMP!M31,'AEP North'!M31)</f>
        <v>152021</v>
      </c>
      <c r="N31" s="16">
        <f>SUM(Oncor!N31,Centerpoint!N31,'AEP Central'!N31,TNMP!N31,'AEP North'!N31)</f>
        <v>151151</v>
      </c>
      <c r="O31" s="133">
        <f>SUM(Oncor!O31,Centerpoint!O31,'AEP Central'!O31,TNMP!O31,'AEP North'!O31)</f>
        <v>248335</v>
      </c>
      <c r="P31" s="16">
        <f>SUM(Oncor!P31,Centerpoint!P31,'AEP Central'!P31,TNMP!P31,'AEP North'!P31)</f>
        <v>236016</v>
      </c>
      <c r="Q31" s="16">
        <f>SUM(Oncor!Q31,Centerpoint!Q31,'AEP Central'!Q31,TNMP!Q31,'AEP North'!Q31)</f>
        <v>239463</v>
      </c>
      <c r="R31" s="16">
        <f>SUM(Oncor!R31,Centerpoint!R31,'AEP Central'!R31,TNMP!R31,'AEP North'!R31)</f>
        <v>239095</v>
      </c>
      <c r="S31" s="16">
        <f>SUM(Oncor!S31,Centerpoint!S31,'AEP Central'!S31,TNMP!S31,'AEP North'!S31)</f>
        <v>236819</v>
      </c>
      <c r="T31" s="16">
        <f>SUM(Oncor!T31,Centerpoint!T31,'AEP Central'!T31,TNMP!T31,'AEP North'!T31)</f>
        <v>234388</v>
      </c>
      <c r="U31" s="16">
        <f>SUM(Oncor!U31,Centerpoint!U31,'AEP Central'!U31,TNMP!U31,'AEP North'!U31)</f>
        <v>236739</v>
      </c>
      <c r="V31" s="16">
        <f>SUM(Oncor!V31,Centerpoint!V31,'AEP Central'!V31,TNMP!V31,'AEP North'!V31)</f>
        <v>230849</v>
      </c>
      <c r="W31" s="16">
        <f>SUM(Oncor!W31,Centerpoint!W31,'AEP Central'!W31,TNMP!W31,'AEP North'!W31)</f>
        <v>228664</v>
      </c>
      <c r="X31" s="16">
        <f>SUM(Oncor!X31,Centerpoint!X31,'AEP Central'!X31,TNMP!X31,'AEP North'!X31)</f>
        <v>235270</v>
      </c>
      <c r="Y31" s="16">
        <f>SUM(Oncor!Y31,Centerpoint!Y31,'AEP Central'!Y31,TNMP!Y31,'AEP North'!Y31)</f>
        <v>212760</v>
      </c>
      <c r="Z31" s="147">
        <f>SUM(Oncor!Z31,Centerpoint!Z31,'AEP Central'!Z31,TNMP!Z31,'AEP North'!Z31)</f>
        <v>223418</v>
      </c>
      <c r="AA31" s="133">
        <f>SUM(Oncor!AA31,Centerpoint!AA31,'AEP Central'!AA31,TNMP!AA31,'AEP North'!AA31)</f>
        <v>221054</v>
      </c>
      <c r="AB31" s="16">
        <f>SUM(Oncor!AB31,Centerpoint!AB31,'AEP Central'!AB31,TNMP!AB31,'AEP North'!AB31)</f>
        <v>215665</v>
      </c>
      <c r="AC31" s="16">
        <f>SUM(Oncor!AC31,Centerpoint!AC31,'AEP Central'!AC31,TNMP!AC31,'AEP North'!AC31)</f>
        <v>224610</v>
      </c>
      <c r="AD31" s="16">
        <f>SUM(Oncor!AD31,Centerpoint!AD31,'AEP Central'!AD31,TNMP!AD31,'AEP North'!AD31)</f>
        <v>213922</v>
      </c>
      <c r="AE31" s="16">
        <f>SUM(Oncor!AE31,Centerpoint!AE31,'AEP Central'!AE31,TNMP!AE31,'AEP North'!AE31)</f>
        <v>207851</v>
      </c>
      <c r="AF31" s="16">
        <f>SUM(Oncor!AF31,Centerpoint!AF31,'AEP Central'!AF31,TNMP!AF31,'AEP North'!AF31)</f>
        <v>213860</v>
      </c>
      <c r="AG31" s="16">
        <f>SUM(Oncor!AG31,Centerpoint!AG31,'AEP Central'!AG31,TNMP!AG31,'AEP North'!AG31)</f>
        <v>207775</v>
      </c>
      <c r="AH31" s="16">
        <f>SUM(Oncor!AH31,Centerpoint!AH31,'AEP Central'!AH31,TNMP!AH31,'AEP North'!AH31)</f>
        <v>209299</v>
      </c>
      <c r="AI31" s="16">
        <f>SUM(Oncor!AI31,Centerpoint!AI31,'AEP Central'!AI31,TNMP!AI31,'AEP North'!AI31)</f>
        <v>203027</v>
      </c>
      <c r="AJ31" s="16">
        <f>SUM(Oncor!AJ31,Centerpoint!AJ31,'AEP Central'!AJ31,TNMP!AJ31,'AEP North'!AJ31)</f>
        <v>200396</v>
      </c>
      <c r="AK31" s="16">
        <f>SUM(Oncor!AK31,Centerpoint!AK31,'AEP Central'!AK31,TNMP!AK31,'AEP North'!AK31)</f>
        <v>195132</v>
      </c>
      <c r="AL31" s="147">
        <f>SUM(Oncor!AL31,Centerpoint!AL31,'AEP Central'!AL31,TNMP!AL31,'AEP North'!AL31)</f>
        <v>193078</v>
      </c>
      <c r="AM31" s="16">
        <f>SUM(Oncor!AM31,Centerpoint!AM31,'AEP Central'!AM31,TNMP!AM31,'AEP North'!AM31)</f>
        <v>193713</v>
      </c>
      <c r="AN31" s="16">
        <f>SUM(Oncor!AN31,Centerpoint!AN31,'AEP Central'!AN31,TNMP!AN31,'AEP North'!AN31)</f>
        <v>185486</v>
      </c>
      <c r="AO31" s="16">
        <f>SUM(Oncor!AO31,Centerpoint!AO31,'AEP Central'!AO31,TNMP!AO31,'AEP North'!AO31)</f>
        <v>190788</v>
      </c>
      <c r="AP31" s="16">
        <f>SUM(Oncor!AP31,Centerpoint!AP31,'AEP Central'!AP31,TNMP!AP31,'AEP North'!AP31)</f>
        <v>182503</v>
      </c>
      <c r="AQ31" s="16">
        <f>SUM(Oncor!AQ31,Centerpoint!AQ31,'AEP Central'!AQ31,TNMP!AQ31,'AEP North'!AQ31)</f>
        <v>180352</v>
      </c>
      <c r="AR31" s="16">
        <f>SUM(Oncor!AR31,Centerpoint!AR31,'AEP Central'!AR31,TNMP!AR31,'AEP North'!AR31)</f>
        <v>181688</v>
      </c>
      <c r="AS31" s="16">
        <f>SUM(Oncor!AS31,Centerpoint!AS31,'AEP Central'!AS31,TNMP!AS31,'AEP North'!AS31)</f>
        <v>176271</v>
      </c>
      <c r="AT31" s="16">
        <f>SUM(Oncor!AT31,Centerpoint!AT31,'AEP Central'!AT31,TNMP!AT31,'AEP North'!AT31)</f>
        <v>184469</v>
      </c>
      <c r="AU31" s="16">
        <f>SUM(Oncor!AU31,Centerpoint!AU31,'AEP Central'!AU31,TNMP!AU31,'AEP North'!AU31)</f>
        <v>176042</v>
      </c>
      <c r="AV31" s="16">
        <f>SUM(Oncor!AV31,Centerpoint!AV31,'AEP Central'!AV31,TNMP!AV31,'AEP North'!AV31)</f>
        <v>174514</v>
      </c>
      <c r="AW31" s="16">
        <f>SUM(Oncor!AW31,Centerpoint!AW31,'AEP Central'!AW31,TNMP!AW31,'AEP North'!AW31)</f>
        <v>170208</v>
      </c>
      <c r="AX31" s="21">
        <f>SUM(Oncor!AX31,Centerpoint!AX31,'AEP Central'!AX31,TNMP!AX31,'AEP North'!AX31)</f>
        <v>169446</v>
      </c>
      <c r="AY31" s="16">
        <f>SUM(Oncor!AY31,Centerpoint!AY31,'AEP Central'!AY31,TNMP!AY31,'AEP North'!AY31)</f>
        <v>170583</v>
      </c>
      <c r="AZ31" s="16">
        <f>SUM(Oncor!AZ31,Centerpoint!AZ31,'AEP Central'!AZ31,TNMP!AZ31,'AEP North'!AZ31)</f>
        <v>166483</v>
      </c>
      <c r="BA31" s="16">
        <f>SUM(Oncor!BA31,Centerpoint!BA31,'AEP Central'!BA31,TNMP!BA31,'AEP North'!BA31)</f>
        <v>173558</v>
      </c>
      <c r="BB31" s="16">
        <f>SUM(Oncor!BB31,Centerpoint!BB31,'AEP Central'!BB31,TNMP!BB31,'AEP North'!BB31)</f>
        <v>163345</v>
      </c>
      <c r="BC31" s="16">
        <f>SUM(Oncor!BC31,Centerpoint!BC31,'AEP Central'!BC31,TNMP!BC31,'AEP North'!BC31)</f>
        <v>167330</v>
      </c>
      <c r="BD31" s="16">
        <f>SUM(Oncor!BD31,Centerpoint!BD31,'AEP Central'!BD31,TNMP!BD31,'AEP North'!BD31)</f>
        <v>164971</v>
      </c>
      <c r="BE31" s="16">
        <f>SUM(Oncor!BE31,Centerpoint!BE31,'AEP Central'!BE31,TNMP!BE31,'AEP North'!BE31)</f>
        <v>158309</v>
      </c>
      <c r="BF31" s="16">
        <f>SUM(Oncor!BF31,Centerpoint!BF31,'AEP Central'!BF31,TNMP!BF31,'AEP North'!BF31)</f>
        <v>163625</v>
      </c>
      <c r="BG31" s="16">
        <f>SUM(Oncor!BG31,Centerpoint!BG31,'AEP Central'!BG31,TNMP!BG31,'AEP North'!BG31)</f>
        <v>154979</v>
      </c>
      <c r="BH31" s="16">
        <f>SUM(Oncor!BH31,Centerpoint!BH31,'AEP Central'!BH31,TNMP!BH31,'AEP North'!BH31)</f>
        <v>158102</v>
      </c>
      <c r="BI31" s="16">
        <f>SUM(Oncor!BI31,Centerpoint!BI31,'AEP Central'!BI31,TNMP!BI31,'AEP North'!BI31)</f>
        <v>151779</v>
      </c>
      <c r="BJ31" s="21">
        <f>SUM(Oncor!BJ31,Centerpoint!BJ31,'AEP Central'!BJ31,TNMP!BJ31,'AEP North'!BJ31)</f>
        <v>148675</v>
      </c>
      <c r="BK31" s="16">
        <f>SUM(Oncor!BK31,Centerpoint!BK31,'AEP Central'!BK31,TNMP!BK31,'AEP North'!BK31)</f>
        <v>151907</v>
      </c>
      <c r="BL31" s="16">
        <f>SUM(Oncor!BL31,Centerpoint!BL31,'AEP Central'!BL31,TNMP!BL31,'AEP North'!BL31)</f>
        <v>147232</v>
      </c>
      <c r="BM31" s="16">
        <f>SUM(Oncor!BM31,Centerpoint!BM31,'AEP Central'!BM31,TNMP!BM31,'AEP North'!BM31)</f>
        <v>151277</v>
      </c>
      <c r="BN31" s="16">
        <f>SUM(Oncor!BN31,Centerpoint!BN31,'AEP Central'!BN31,TNMP!BN31,'AEP North'!BN31)</f>
        <v>145213</v>
      </c>
      <c r="BO31" s="16">
        <f>SUM(Oncor!BO31,Centerpoint!BO31,'AEP Central'!BO31,TNMP!BO31,'AEP North'!BO31)</f>
        <v>148951</v>
      </c>
      <c r="BP31" s="16">
        <f>SUM(Oncor!BP31,Centerpoint!BP31,'AEP Central'!BP31,TNMP!BP31,'AEP North'!BP31)</f>
        <v>145205</v>
      </c>
      <c r="BQ31" s="16">
        <f>SUM(Oncor!BQ31,Centerpoint!BQ31,'AEP Central'!BQ31,TNMP!BQ31,'AEP North'!BQ31)</f>
        <v>140737</v>
      </c>
      <c r="BR31" s="16">
        <f>SUM(Oncor!BR31,Centerpoint!BR31,'AEP Central'!BR31,TNMP!BR31,'AEP North'!BR31)</f>
        <v>142857</v>
      </c>
      <c r="BS31" s="16">
        <f>SUM(Oncor!BS31,Centerpoint!BS31,'AEP Central'!BS31,TNMP!BS31,'AEP North'!BS31)</f>
        <v>133340</v>
      </c>
      <c r="BT31" s="16">
        <f>SUM(Oncor!BT31,Centerpoint!BT31,'AEP Central'!BT31,TNMP!BT31,'AEP North'!BT31)</f>
        <v>136199</v>
      </c>
      <c r="BU31" s="16">
        <f>SUM(Oncor!BU31,Centerpoint!BU31,'AEP Central'!BU31,TNMP!BU31,'AEP North'!BU31)</f>
        <v>135302</v>
      </c>
      <c r="BV31" s="21">
        <f>SUM(Oncor!BV31,Centerpoint!BV31,'AEP Central'!BV31,TNMP!BV31,'AEP North'!BV31)</f>
        <v>134353</v>
      </c>
      <c r="BW31" s="16">
        <f>SUM(Oncor!BW31,Centerpoint!BW31,'AEP Central'!BW31,TNMP!BW31,'AEP North'!BW31)</f>
        <v>133362</v>
      </c>
      <c r="BX31" s="16">
        <f>SUM(Oncor!BX31,Centerpoint!BX31,'AEP Central'!BX31,TNMP!BX31,'AEP North'!BX31)</f>
        <v>132556</v>
      </c>
      <c r="BY31" s="16">
        <f>SUM(Oncor!BY31,Centerpoint!BY31,'AEP Central'!BY31,TNMP!BY31,'AEP North'!BY31)</f>
        <v>131806</v>
      </c>
      <c r="BZ31" s="16">
        <f>SUM(Oncor!BZ31,Centerpoint!BZ31,'AEP Central'!BZ31,TNMP!BZ31,'AEP North'!BZ31)</f>
        <v>131025</v>
      </c>
      <c r="CA31" s="16">
        <f>SUM(Oncor!CA31,Centerpoint!CA31,'AEP Central'!CA31,TNMP!CA31,'AEP North'!CA31)</f>
        <v>130450</v>
      </c>
      <c r="CB31" s="16">
        <f>SUM(Oncor!CB31,Centerpoint!CB31,'AEP Central'!CB31,TNMP!CB31,'AEP North'!CB31)</f>
        <v>128688</v>
      </c>
      <c r="CC31" s="69">
        <f>SUM(Oncor!CC31,Centerpoint!CC31,'AEP Central'!CC31,TNMP!CC31,'AEP North'!CC31)</f>
        <v>127154</v>
      </c>
      <c r="CD31" s="69">
        <f>SUM(Oncor!CD31,Centerpoint!CD31,'AEP Central'!CD31,TNMP!CD31,'AEP North'!CD31)</f>
        <v>126059</v>
      </c>
      <c r="CE31" s="69">
        <f>SUM(Oncor!CE31,Centerpoint!CE31,'AEP Central'!CE31,TNMP!CE31,'AEP North'!CE31)</f>
        <v>124933</v>
      </c>
      <c r="CF31" s="69">
        <f>SUM(Oncor!CF31,Centerpoint!CF31,'AEP Central'!CF31,TNMP!CF31,'AEP North'!CF31)</f>
        <v>123877</v>
      </c>
      <c r="CG31" s="69">
        <f>SUM(Oncor!CG31,Centerpoint!CG31,'AEP Central'!CG31,TNMP!CG31,'AEP North'!CG31)</f>
        <v>122783</v>
      </c>
      <c r="CH31" s="69">
        <f>SUM(Oncor!CH31,Centerpoint!CH31,'AEP Central'!CH31,TNMP!CH31,'AEP North'!CH31)</f>
        <v>121874</v>
      </c>
      <c r="CI31" s="88">
        <f>SUM(Oncor!CI31,Centerpoint!CI31,'AEP Central'!CI31,TNMP!CI31,'AEP North'!CI31)</f>
        <v>120720</v>
      </c>
      <c r="CJ31" s="69">
        <f>SUM(Oncor!CJ31,Centerpoint!CJ31,'AEP Central'!CJ31,TNMP!CJ31,'AEP North'!CJ31)</f>
        <v>119628</v>
      </c>
      <c r="CK31" s="69">
        <f>SUM(Oncor!CK31,Centerpoint!CK31,'AEP Central'!CK31,TNMP!CK31,'AEP North'!CK31)</f>
        <v>118578</v>
      </c>
      <c r="CL31" s="69">
        <f>SUM(Oncor!CL31,Centerpoint!CL31,'AEP Central'!CL31,TNMP!CL31,'AEP North'!CL31)</f>
        <v>117718</v>
      </c>
      <c r="CM31" s="69">
        <f>SUM(Oncor!CM31,Centerpoint!CM31,'AEP Central'!CM31,TNMP!CM31,'AEP North'!CM31)</f>
        <v>116621</v>
      </c>
      <c r="CN31" s="69">
        <f>SUM(Oncor!CN31,Centerpoint!CN31,'AEP Central'!CN31,TNMP!CN31,'AEP North'!CN31)</f>
        <v>115608</v>
      </c>
      <c r="CO31" s="69">
        <f>SUM(Oncor!CO31,Centerpoint!CO31,'AEP Central'!CO31,TNMP!CO31,'AEP North'!CO31)</f>
        <v>114658</v>
      </c>
      <c r="CP31" s="69">
        <f>SUM(Oncor!CP31,Centerpoint!CP31,'AEP Central'!CP31,TNMP!CP31,'AEP North'!CP31)</f>
        <v>113827</v>
      </c>
      <c r="CQ31" s="69">
        <f>SUM(Oncor!CQ31,Centerpoint!CQ31,'AEP Central'!CQ31,TNMP!CQ31,'AEP North'!CQ31)</f>
        <v>112755</v>
      </c>
      <c r="CR31" s="69">
        <f>SUM(Oncor!CR31,Centerpoint!CR31,'AEP Central'!CR31,TNMP!CR31,'AEP North'!CR31)</f>
        <v>111287</v>
      </c>
      <c r="CS31" s="69">
        <f>SUM(Oncor!CS31,Centerpoint!CS31,'AEP Central'!CS31,TNMP!CS31,'AEP North'!CS31)</f>
        <v>110089</v>
      </c>
      <c r="CT31" s="89">
        <f>SUM(Oncor!CT31,Centerpoint!CT31,'AEP Central'!CT31,TNMP!CT31,'AEP North'!CT31)</f>
        <v>109047</v>
      </c>
      <c r="CU31" s="69">
        <f>SUM(Oncor!CU31,Centerpoint!CU31,'AEP Central'!CU31,TNMP!CU31,'AEP North'!CU31)</f>
        <v>104845</v>
      </c>
      <c r="CV31" s="69">
        <f>SUM(Oncor!CV31,Centerpoint!CV31,'AEP Central'!CV31,TNMP!CV31,'AEP North'!CV31)</f>
        <v>107144</v>
      </c>
      <c r="CW31" s="69">
        <f>SUM(Oncor!CW31,Centerpoint!CW31,'AEP Central'!CW31,TNMP!CW31,'AEP North'!CW31)</f>
        <v>106033</v>
      </c>
      <c r="CX31" s="69">
        <f>SUM(Oncor!CX31,Centerpoint!CX31,'AEP Central'!CX31,TNMP!CX31,'AEP North'!CX31)</f>
        <v>105177</v>
      </c>
      <c r="CY31" s="69">
        <f>SUM(Oncor!CY31,Centerpoint!CY31,'AEP Central'!CY31,TNMP!CY31,'AEP North'!CY31)</f>
        <v>104347</v>
      </c>
      <c r="CZ31" s="69">
        <f>SUM(Oncor!CZ31,Centerpoint!CZ31,'AEP Central'!CZ31,TNMP!CZ31,'AEP North'!CZ31)</f>
        <v>103453</v>
      </c>
      <c r="DA31" s="69">
        <f>SUM(Oncor!DA31,Centerpoint!DA31,'AEP Central'!DA31,TNMP!DA31,'AEP North'!DA31)</f>
        <v>102520</v>
      </c>
      <c r="DB31" s="69">
        <f>SUM(Oncor!DB31,Centerpoint!DB31,'AEP Central'!DB31,TNMP!DB31,'AEP North'!DB31)</f>
        <v>100273</v>
      </c>
      <c r="DC31" s="69">
        <f>SUM(Oncor!DC31,Centerpoint!DC31,'AEP Central'!DC31,TNMP!DC31,'AEP North'!DC31)</f>
        <v>100978</v>
      </c>
      <c r="DD31" s="69">
        <f>SUM(Oncor!DD31,Centerpoint!DD31,'AEP Central'!DD31,TNMP!DD31,'AEP North'!DD31)</f>
        <v>98594</v>
      </c>
      <c r="DE31" s="69">
        <f>SUM(Oncor!DE31,Centerpoint!DE31,'AEP Central'!DE31,TNMP!DE31,'AEP North'!DE31)</f>
        <v>97529</v>
      </c>
      <c r="DF31" s="89">
        <f>SUM(Oncor!DF31,Centerpoint!DF31,'AEP Central'!DF31,TNMP!DF31,'AEP North'!DF31)</f>
        <v>97897</v>
      </c>
      <c r="DG31" s="69">
        <f>SUM(Oncor!DG31,Centerpoint!DG31,'AEP Central'!DG31,TNMP!DG31,'AEP North'!DG31)</f>
        <v>94266</v>
      </c>
      <c r="DH31" s="69">
        <f>SUM(Oncor!DH31,Centerpoint!DH31,'AEP Central'!DH31,TNMP!DH31,'AEP North'!DH31)</f>
        <v>96344</v>
      </c>
      <c r="DI31" s="69">
        <f>SUM(Oncor!DI31,Centerpoint!DI31,'AEP Central'!DI31,TNMP!DI31,'AEP North'!DI31)</f>
        <v>95589</v>
      </c>
      <c r="DJ31" s="69">
        <f>SUM(Oncor!DJ31,Centerpoint!DJ31,'AEP Central'!DJ31,TNMP!DJ31,'AEP North'!DJ31)</f>
        <v>93593</v>
      </c>
      <c r="DK31" s="69">
        <f>SUM(Oncor!DK31,Centerpoint!DK31,'AEP Central'!DK31,TNMP!DK31,'AEP North'!DK31)</f>
        <v>91505</v>
      </c>
      <c r="DL31" s="69">
        <f>SUM(Oncor!DL31,Centerpoint!DL31,'AEP Central'!DL31,TNMP!DL31,'AEP North'!DL31)</f>
        <v>93575</v>
      </c>
      <c r="DM31" s="69">
        <f>SUM(Oncor!DM31,Centerpoint!DM31,'AEP Central'!DM31,TNMP!DM31,'AEP North'!DM31)</f>
        <v>91656</v>
      </c>
      <c r="DN31" s="69">
        <f>SUM(Oncor!DN31,Centerpoint!DN31,'AEP Central'!DN31,TNMP!DN31,'AEP North'!DN31)</f>
        <v>92219</v>
      </c>
      <c r="DO31" s="69">
        <f>SUM(Oncor!DO31,Centerpoint!DO31,'AEP Central'!DO31,TNMP!DO31,'AEP North'!DO31)</f>
        <v>90068</v>
      </c>
      <c r="DP31" s="69">
        <f>SUM(Oncor!DP31,Centerpoint!DP31,'AEP Central'!DP31,TNMP!DP31,'AEP North'!DP31)</f>
        <v>89337</v>
      </c>
      <c r="DQ31" s="69">
        <f>SUM(Oncor!DQ31,Centerpoint!DQ31,'AEP Central'!DQ31,TNMP!DQ31,'AEP North'!DQ31)</f>
        <v>89780</v>
      </c>
      <c r="DR31" s="69">
        <f>SUM(Oncor!DR31,Centerpoint!DR31,'AEP Central'!DR31,TNMP!DR31,'AEP North'!DR31)</f>
        <v>86604</v>
      </c>
      <c r="DS31" s="69">
        <f>SUM(Oncor!DS31,Centerpoint!DS31,'AEP Central'!DS31,TNMP!DS31,'AEP North'!DS31)</f>
        <v>85859</v>
      </c>
      <c r="DT31" s="69">
        <f>SUM(Oncor!DT31,Centerpoint!DT31,'AEP Central'!DT31,TNMP!DT31,'AEP North'!DT31)</f>
        <v>86711</v>
      </c>
      <c r="DU31" s="69">
        <f>SUM(Oncor!DU31,Centerpoint!DU31,'AEP Central'!DU31,TNMP!DU31,'AEP North'!DU31)</f>
        <v>87261</v>
      </c>
      <c r="DV31" s="69">
        <f>SUM(Oncor!DV31,Centerpoint!DV31,'AEP Central'!DV31,TNMP!DV31,'AEP North'!DV31)</f>
        <v>86502</v>
      </c>
      <c r="DW31" s="69">
        <f>SUM(Oncor!DW31,Centerpoint!DW31,'AEP Central'!DW31,TNMP!DW31,'AEP North'!DW31)</f>
        <v>85746</v>
      </c>
      <c r="DX31" s="69">
        <f>SUM(Oncor!DX31,Centerpoint!DX31,'AEP Central'!DX31,TNMP!DX31,'AEP North'!DX31)</f>
        <v>84096</v>
      </c>
      <c r="DY31" s="69">
        <f>SUM(Oncor!DY31,Centerpoint!DY31,'AEP Central'!DY31,TNMP!DY31,'AEP North'!DY31)</f>
        <v>82485</v>
      </c>
      <c r="DZ31" s="69">
        <f>SUM(Oncor!DZ31,Centerpoint!DZ31,'AEP Central'!DZ31,TNMP!DZ31,'AEP North'!DZ31)</f>
        <v>81934</v>
      </c>
      <c r="EA31" s="69">
        <f>SUM(Oncor!EA31,Centerpoint!EA31,'AEP Central'!EA31,TNMP!EA31,'AEP North'!EA31)</f>
        <v>81401</v>
      </c>
      <c r="EB31" s="69">
        <f>SUM(Oncor!EB31,Centerpoint!EB31,'AEP Central'!EB31,TNMP!EB31,'AEP North'!EB31)</f>
        <v>80864</v>
      </c>
      <c r="EC31" s="69">
        <f>SUM(Oncor!EC31,Centerpoint!EC31,'AEP Central'!EC31,TNMP!EC31,'AEP North'!EC31)</f>
        <v>80495</v>
      </c>
      <c r="ED31" s="69">
        <f>SUM(Oncor!ED31,Centerpoint!ED31,'AEP Central'!ED31,TNMP!ED31,'AEP North'!ED31)</f>
        <v>80101</v>
      </c>
      <c r="EE31" s="69">
        <f>SUM(Oncor!EE31,Centerpoint!EE31,'AEP Central'!EE31,TNMP!EE31,'AEP North'!EE31)</f>
        <v>79750</v>
      </c>
      <c r="EF31" s="69">
        <f>SUM(Oncor!EF31,Centerpoint!EF31,'AEP Central'!EF31,TNMP!EF31,'AEP North'!EF31)</f>
        <v>79041</v>
      </c>
      <c r="EG31" s="69">
        <f>SUM(Oncor!EG31,Centerpoint!EG31,'AEP Central'!EG31,TNMP!EG31,'AEP North'!EG31)</f>
        <v>78521</v>
      </c>
      <c r="EH31" s="69">
        <f>SUM(Oncor!EH31,Centerpoint!EH31,'AEP Central'!EH31,TNMP!EH31,'AEP North'!EH31)</f>
        <v>77948</v>
      </c>
      <c r="EI31" s="69">
        <f>SUM(Oncor!EI31,Centerpoint!EI31,'AEP Central'!EI31,TNMP!EI31,'AEP North'!EI31)</f>
        <v>77552</v>
      </c>
      <c r="EJ31" s="69">
        <f>SUM(Oncor!EJ31,Centerpoint!EJ31,'AEP Central'!EJ31,TNMP!EJ31,'AEP North'!EJ31)</f>
        <v>76956</v>
      </c>
      <c r="EK31" s="69">
        <f>SUM(Oncor!EK31,Centerpoint!EK31,'AEP Central'!EK31,TNMP!EK31,'AEP North'!EK31)</f>
        <v>76574</v>
      </c>
      <c r="EL31" s="69">
        <f>SUM(Oncor!EL31,Centerpoint!EL31,'AEP Central'!EL31,TNMP!EL31,'AEP North'!EL31)</f>
        <v>76222</v>
      </c>
      <c r="EM31" s="69">
        <f>SUM(Oncor!EM31,Centerpoint!EM31,'AEP Central'!EM31,TNMP!EM31,'AEP North'!EM31)</f>
        <v>75771</v>
      </c>
      <c r="EN31" s="69">
        <f>SUM(Oncor!EN31,Centerpoint!EN31,'AEP Central'!EN31,TNMP!EN31,'AEP North'!EN31)</f>
        <v>75433</v>
      </c>
      <c r="EO31" s="69">
        <f>SUM(Oncor!EO31,Centerpoint!EO31,'AEP Central'!EO31,TNMP!EO31,'AEP North'!EO31)</f>
        <v>75023</v>
      </c>
      <c r="EP31" s="69">
        <f>SUM(Oncor!EP31,Centerpoint!EP31,'AEP Central'!EP31,TNMP!EP31,'AEP North'!EP31)</f>
        <v>74611</v>
      </c>
      <c r="EQ31" s="69">
        <f>SUM(Oncor!EQ31,Centerpoint!EQ31,'AEP Central'!EQ31,TNMP!EQ31,'AEP North'!EQ31)</f>
        <v>73169</v>
      </c>
      <c r="ER31" s="69">
        <f>SUM(Oncor!ER31,Centerpoint!ER31,'AEP Central'!ER31,TNMP!ER31,'AEP North'!ER31)</f>
        <v>72866</v>
      </c>
      <c r="ES31" s="69">
        <f>SUM(Oncor!ES31,Centerpoint!ES31,'AEP Central'!ES31,TNMP!ES31,'AEP North'!ES31)</f>
        <v>72348</v>
      </c>
      <c r="ET31" s="69">
        <f>SUM(Oncor!ET31,Centerpoint!ET31,'AEP Central'!ET31,TNMP!ET31,'AEP North'!ET31)</f>
        <v>72942</v>
      </c>
      <c r="EU31" s="69">
        <f>SUM(Oncor!EU31,Centerpoint!EU31,'AEP Central'!EU31,TNMP!EU31,'AEP North'!EU31)</f>
        <v>72700</v>
      </c>
      <c r="EV31" s="69">
        <f>SUM(Oncor!EV31,Centerpoint!EV31,'AEP Central'!EV31,TNMP!EV31,'AEP North'!EV31)</f>
        <v>72389</v>
      </c>
      <c r="EW31" s="69">
        <f>SUM(Oncor!EW31,Centerpoint!EW31,'AEP Central'!EW31,TNMP!EW31,'AEP North'!EW31)</f>
        <v>72002</v>
      </c>
      <c r="EX31" s="69">
        <f>SUM(Oncor!EX31,Centerpoint!EX31,'AEP Central'!EX31,TNMP!EX31,'AEP North'!EX31)</f>
        <v>71612</v>
      </c>
      <c r="EY31" s="69">
        <f>SUM(Oncor!EY31,Centerpoint!EY31,'AEP Central'!EY31,TNMP!EY31,'AEP North'!EY31)</f>
        <v>71209</v>
      </c>
      <c r="EZ31" s="69">
        <f>SUM(Oncor!EZ31,Centerpoint!EZ31,'AEP Central'!EZ31,TNMP!EZ31,'AEP North'!EZ31)</f>
        <v>70897</v>
      </c>
      <c r="FA31" s="69">
        <f>SUM(Oncor!FA31,Centerpoint!FA31,'AEP Central'!FA31,TNMP!FA31,'AEP North'!FA31)</f>
        <v>70622</v>
      </c>
      <c r="FB31" s="69">
        <f>SUM(Oncor!FB31,Centerpoint!FB31,'AEP Central'!FB31,TNMP!FB31,'AEP North'!FB31)</f>
        <v>70284</v>
      </c>
      <c r="FC31" s="69">
        <f>SUM(Oncor!FC31,Centerpoint!FC31,'AEP Central'!FC31,TNMP!FC31,'AEP North'!FC31)</f>
        <v>70034</v>
      </c>
      <c r="FD31" s="69">
        <f>SUM(Oncor!FD31,Centerpoint!FD31,'AEP Central'!FD31,TNMP!FD31,'AEP North'!FD31)</f>
        <v>69680</v>
      </c>
      <c r="FE31" s="69">
        <f>SUM(Oncor!FE31,Centerpoint!FE31,'AEP Central'!FE31,TNMP!FE31,'AEP North'!FE31)</f>
        <v>69260</v>
      </c>
      <c r="FF31" s="69">
        <f>SUM(Oncor!FF31,Centerpoint!FF31,'AEP Central'!FF31,TNMP!FF31,'AEP North'!FF31)</f>
        <v>68881</v>
      </c>
      <c r="FG31" s="69">
        <f>SUM(Oncor!FG31,Centerpoint!FG31,'AEP Central'!FG31,TNMP!FG31,'AEP North'!FG31)</f>
        <v>68213</v>
      </c>
      <c r="FH31" s="69">
        <f>SUM(Oncor!FH31,Centerpoint!FH31,'AEP Central'!FH31,TNMP!FH31,'AEP North'!FH31)</f>
        <v>66538</v>
      </c>
      <c r="FI31" s="69">
        <f>SUM(Oncor!FI31,Centerpoint!FI31,'AEP Central'!FI31,TNMP!FI31,'AEP North'!FI31)</f>
        <v>65905</v>
      </c>
      <c r="FJ31" s="69">
        <f>SUM(Oncor!FJ31,Centerpoint!FJ31,'AEP Central'!FJ31,TNMP!FJ31,'AEP North'!FJ31)</f>
        <v>65563</v>
      </c>
      <c r="FK31" s="69">
        <f>SUM(Oncor!FK31,Centerpoint!FK31,'AEP Central'!FK31,TNMP!FK31,'AEP North'!FK31)</f>
        <v>65084</v>
      </c>
      <c r="FL31" s="69">
        <f>SUM(Oncor!FL31,Centerpoint!FL31,'AEP Central'!FL31,TNMP!FL31,'AEP North'!FL31,'[1]Sharyland Utilities LP '!FL31,'Sharyland Utilities LP McAllen'!FL31)</f>
        <v>64896</v>
      </c>
      <c r="FM31" s="69">
        <f>SUM(Oncor!FM31,Centerpoint!FM31,'AEP Central'!FM31,TNMP!FM31,'AEP North'!FM31,'[1]Sharyland Utilities LP '!FM31,'Sharyland Utilities LP McAllen'!FM31)</f>
        <v>64470</v>
      </c>
      <c r="FN31" s="69">
        <f>SUM(Oncor!FN31,Centerpoint!FN31,'AEP Central'!FN31,TNMP!FN31,'AEP North'!FN31,'[1]Sharyland Utilities LP '!FN31,'Sharyland Utilities LP McAllen'!FN31)</f>
        <v>64097</v>
      </c>
      <c r="FO31" s="69">
        <f>SUM(Oncor!FO31,Centerpoint!FO31,'AEP Central'!FO31,TNMP!FO31,'AEP North'!FO31,'[1]Sharyland Utilities LP '!FO31,'Sharyland Utilities LP McAllen'!FO31)</f>
        <v>63787</v>
      </c>
      <c r="FP31" s="69">
        <f>SUM(Oncor!FP31,Centerpoint!FP31,'AEP Central'!FP31,TNMP!FP31,'AEP North'!FP31,'[1]Sharyland Utilities LP '!FP31,'Sharyland Utilities LP McAllen'!FP31)</f>
        <v>63398</v>
      </c>
      <c r="FQ31" s="69">
        <f>SUM(Oncor!FQ31,Centerpoint!FQ31,'AEP Central'!FQ31,TNMP!FQ31,'AEP North'!FQ31,'[1]Sharyland Utilities LP '!FQ31,'Sharyland Utilities LP McAllen'!FQ31)</f>
        <v>63130</v>
      </c>
      <c r="FR31" s="69">
        <f>SUM(Oncor!FR31,Centerpoint!FR31,'AEP Central'!FR31,TNMP!FR31,'AEP North'!FR31,'[1]Sharyland Utilities LP '!FR31,'Sharyland Utilities LP McAllen'!FR31)</f>
        <v>62796</v>
      </c>
      <c r="FS31" s="69">
        <f>SUM(Oncor!FS31,Centerpoint!FS31,'AEP Central'!FS31,TNMP!FS31,'AEP North'!FS31,'[1]Sharyland Utilities LP '!FS31,'Sharyland Utilities LP McAllen'!FS31)</f>
        <v>62521</v>
      </c>
      <c r="FT31" s="69">
        <f>SUM(Oncor!FT31,Centerpoint!FT31,'AEP Central'!FT31,TNMP!FT31,'AEP North'!FT31,'[1]Sharyland Utilities LP '!FT31,'Sharyland Utilities LP McAllen'!FT31)</f>
        <v>62153</v>
      </c>
    </row>
    <row r="32" spans="1:176" ht="13.8" thickBot="1" x14ac:dyDescent="0.3">
      <c r="B32" s="119" t="s">
        <v>8</v>
      </c>
      <c r="C32" s="76">
        <f>SUM(Oncor!C32,Centerpoint!C32,'AEP Central'!C32,TNMP!C32,'AEP North'!C32)</f>
        <v>2268</v>
      </c>
      <c r="D32" s="17">
        <f>SUM(Oncor!D32,Centerpoint!D32,'AEP Central'!D32,TNMP!D32,'AEP North'!D32)</f>
        <v>2973</v>
      </c>
      <c r="E32" s="17">
        <f>SUM(Oncor!E32,Centerpoint!E32,'AEP Central'!E32,TNMP!E32,'AEP North'!E32)</f>
        <v>3985</v>
      </c>
      <c r="F32" s="17">
        <f>SUM(Oncor!F32,Centerpoint!F32,'AEP Central'!F32,TNMP!F32,'AEP North'!F32)</f>
        <v>4670</v>
      </c>
      <c r="G32" s="17">
        <f>SUM(Oncor!G32,Centerpoint!G32,'AEP Central'!G32,TNMP!G32,'AEP North'!G32)</f>
        <v>5211</v>
      </c>
      <c r="H32" s="17">
        <f>SUM(Oncor!H32,Centerpoint!H32,'AEP Central'!H32,TNMP!H32,'AEP North'!H32)</f>
        <v>5977</v>
      </c>
      <c r="I32" s="17">
        <f>SUM(Oncor!I32,Centerpoint!I32,'AEP Central'!I32,TNMP!I32,'AEP North'!I32)</f>
        <v>6701</v>
      </c>
      <c r="J32" s="17">
        <f>SUM(Oncor!J32,Centerpoint!J32,'AEP Central'!J32,TNMP!J32,'AEP North'!J32)</f>
        <v>8180</v>
      </c>
      <c r="K32" s="17">
        <f>SUM(Oncor!K32,Centerpoint!K32,'AEP Central'!K32,TNMP!K32,'AEP North'!K32)</f>
        <v>8996</v>
      </c>
      <c r="L32" s="17">
        <f>SUM(Oncor!L32,Centerpoint!L32,'AEP Central'!L32,TNMP!L32,'AEP North'!L32)</f>
        <v>3867</v>
      </c>
      <c r="M32" s="17">
        <f>SUM(Oncor!M32,Centerpoint!M32,'AEP Central'!M32,TNMP!M32,'AEP North'!M32)</f>
        <v>4098</v>
      </c>
      <c r="N32" s="17">
        <f>SUM(Oncor!N32,Centerpoint!N32,'AEP Central'!N32,TNMP!N32,'AEP North'!N32)</f>
        <v>4409</v>
      </c>
      <c r="O32" s="134">
        <f>SUM(Oncor!O32,Centerpoint!O32,'AEP Central'!O32,TNMP!O32,'AEP North'!O32)</f>
        <v>11729</v>
      </c>
      <c r="P32" s="17">
        <f>SUM(Oncor!P32,Centerpoint!P32,'AEP Central'!P32,TNMP!P32,'AEP North'!P32)</f>
        <v>11961</v>
      </c>
      <c r="Q32" s="17">
        <f>SUM(Oncor!Q32,Centerpoint!Q32,'AEP Central'!Q32,TNMP!Q32,'AEP North'!Q32)</f>
        <v>13549</v>
      </c>
      <c r="R32" s="17">
        <f>SUM(Oncor!R32,Centerpoint!R32,'AEP Central'!R32,TNMP!R32,'AEP North'!R32)</f>
        <v>12939</v>
      </c>
      <c r="S32" s="17">
        <f>SUM(Oncor!S32,Centerpoint!S32,'AEP Central'!S32,TNMP!S32,'AEP North'!S32)</f>
        <v>14674</v>
      </c>
      <c r="T32" s="17">
        <f>SUM(Oncor!T32,Centerpoint!T32,'AEP Central'!T32,TNMP!T32,'AEP North'!T32)</f>
        <v>15426</v>
      </c>
      <c r="U32" s="17">
        <f>SUM(Oncor!U32,Centerpoint!U32,'AEP Central'!U32,TNMP!U32,'AEP North'!U32)</f>
        <v>16813</v>
      </c>
      <c r="V32" s="17">
        <f>SUM(Oncor!V32,Centerpoint!V32,'AEP Central'!V32,TNMP!V32,'AEP North'!V32)</f>
        <v>17513</v>
      </c>
      <c r="W32" s="17">
        <f>SUM(Oncor!W32,Centerpoint!W32,'AEP Central'!W32,TNMP!W32,'AEP North'!W32)</f>
        <v>18336</v>
      </c>
      <c r="X32" s="17">
        <f>SUM(Oncor!X32,Centerpoint!X32,'AEP Central'!X32,TNMP!X32,'AEP North'!X32)</f>
        <v>19792</v>
      </c>
      <c r="Y32" s="17">
        <f>SUM(Oncor!Y32,Centerpoint!Y32,'AEP Central'!Y32,TNMP!Y32,'AEP North'!Y32)</f>
        <v>17454</v>
      </c>
      <c r="Z32" s="148">
        <f>SUM(Oncor!Z32,Centerpoint!Z32,'AEP Central'!Z32,TNMP!Z32,'AEP North'!Z32)</f>
        <v>19872</v>
      </c>
      <c r="AA32" s="134">
        <f>SUM(Oncor!AA32,Centerpoint!AA32,'AEP Central'!AA32,TNMP!AA32,'AEP North'!AA32)</f>
        <v>19018</v>
      </c>
      <c r="AB32" s="17">
        <f>SUM(Oncor!AB32,Centerpoint!AB32,'AEP Central'!AB32,TNMP!AB32,'AEP North'!AB32)</f>
        <v>19016</v>
      </c>
      <c r="AC32" s="17">
        <f>SUM(Oncor!AC32,Centerpoint!AC32,'AEP Central'!AC32,TNMP!AC32,'AEP North'!AC32)</f>
        <v>21513</v>
      </c>
      <c r="AD32" s="17">
        <f>SUM(Oncor!AD32,Centerpoint!AD32,'AEP Central'!AD32,TNMP!AD32,'AEP North'!AD32)</f>
        <v>20105</v>
      </c>
      <c r="AE32" s="17">
        <f>SUM(Oncor!AE32,Centerpoint!AE32,'AEP Central'!AE32,TNMP!AE32,'AEP North'!AE32)</f>
        <v>19654</v>
      </c>
      <c r="AF32" s="17">
        <f>SUM(Oncor!AF32,Centerpoint!AF32,'AEP Central'!AF32,TNMP!AF32,'AEP North'!AF32)</f>
        <v>21762</v>
      </c>
      <c r="AG32" s="17">
        <f>SUM(Oncor!AG32,Centerpoint!AG32,'AEP Central'!AG32,TNMP!AG32,'AEP North'!AG32)</f>
        <v>21652</v>
      </c>
      <c r="AH32" s="17">
        <f>SUM(Oncor!AH32,Centerpoint!AH32,'AEP Central'!AH32,TNMP!AH32,'AEP North'!AH32)</f>
        <v>23172</v>
      </c>
      <c r="AI32" s="17">
        <f>SUM(Oncor!AI32,Centerpoint!AI32,'AEP Central'!AI32,TNMP!AI32,'AEP North'!AI32)</f>
        <v>23210</v>
      </c>
      <c r="AJ32" s="17">
        <f>SUM(Oncor!AJ32,Centerpoint!AJ32,'AEP Central'!AJ32,TNMP!AJ32,'AEP North'!AJ32)</f>
        <v>24134</v>
      </c>
      <c r="AK32" s="17">
        <f>SUM(Oncor!AK32,Centerpoint!AK32,'AEP Central'!AK32,TNMP!AK32,'AEP North'!AK32)</f>
        <v>24014</v>
      </c>
      <c r="AL32" s="148">
        <f>SUM(Oncor!AL32,Centerpoint!AL32,'AEP Central'!AL32,TNMP!AL32,'AEP North'!AL32)</f>
        <v>24423</v>
      </c>
      <c r="AM32" s="17">
        <f>SUM(Oncor!AM32,Centerpoint!AM32,'AEP Central'!AM32,TNMP!AM32,'AEP North'!AM32)</f>
        <v>27225</v>
      </c>
      <c r="AN32" s="17">
        <f>SUM(Oncor!AN32,Centerpoint!AN32,'AEP Central'!AN32,TNMP!AN32,'AEP North'!AN32)</f>
        <v>26143</v>
      </c>
      <c r="AO32" s="17">
        <f>SUM(Oncor!AO32,Centerpoint!AO32,'AEP Central'!AO32,TNMP!AO32,'AEP North'!AO32)</f>
        <v>28437</v>
      </c>
      <c r="AP32" s="17">
        <f>SUM(Oncor!AP32,Centerpoint!AP32,'AEP Central'!AP32,TNMP!AP32,'AEP North'!AP32)</f>
        <v>27703</v>
      </c>
      <c r="AQ32" s="17">
        <f>SUM(Oncor!AQ32,Centerpoint!AQ32,'AEP Central'!AQ32,TNMP!AQ32,'AEP North'!AQ32)</f>
        <v>28589</v>
      </c>
      <c r="AR32" s="17">
        <f>SUM(Oncor!AR32,Centerpoint!AR32,'AEP Central'!AR32,TNMP!AR32,'AEP North'!AR32)</f>
        <v>30417</v>
      </c>
      <c r="AS32" s="17">
        <f>SUM(Oncor!AS32,Centerpoint!AS32,'AEP Central'!AS32,TNMP!AS32,'AEP North'!AS32)</f>
        <v>29661</v>
      </c>
      <c r="AT32" s="17">
        <f>SUM(Oncor!AT32,Centerpoint!AT32,'AEP Central'!AT32,TNMP!AT32,'AEP North'!AT32)</f>
        <v>33322</v>
      </c>
      <c r="AU32" s="17">
        <f>SUM(Oncor!AU32,Centerpoint!AU32,'AEP Central'!AU32,TNMP!AU32,'AEP North'!AU32)</f>
        <v>31934</v>
      </c>
      <c r="AV32" s="17">
        <f>SUM(Oncor!AV32,Centerpoint!AV32,'AEP Central'!AV32,TNMP!AV32,'AEP North'!AV32)</f>
        <v>32452</v>
      </c>
      <c r="AW32" s="17">
        <f>SUM(Oncor!AW32,Centerpoint!AW32,'AEP Central'!AW32,TNMP!AW32,'AEP North'!AW32)</f>
        <v>32195</v>
      </c>
      <c r="AX32" s="22">
        <f>SUM(Oncor!AX32,Centerpoint!AX32,'AEP Central'!AX32,TNMP!AX32,'AEP North'!AX32)</f>
        <v>32615</v>
      </c>
      <c r="AY32" s="17">
        <f>SUM(Oncor!AY32,Centerpoint!AY32,'AEP Central'!AY32,TNMP!AY32,'AEP North'!AY32)</f>
        <v>33549</v>
      </c>
      <c r="AZ32" s="17">
        <f>SUM(Oncor!AZ32,Centerpoint!AZ32,'AEP Central'!AZ32,TNMP!AZ32,'AEP North'!AZ32)</f>
        <v>32929</v>
      </c>
      <c r="BA32" s="17">
        <f>SUM(Oncor!BA32,Centerpoint!BA32,'AEP Central'!BA32,TNMP!BA32,'AEP North'!BA32)</f>
        <v>36706</v>
      </c>
      <c r="BB32" s="17">
        <f>SUM(Oncor!BB32,Centerpoint!BB32,'AEP Central'!BB32,TNMP!BB32,'AEP North'!BB32)</f>
        <v>33657</v>
      </c>
      <c r="BC32" s="17">
        <f>SUM(Oncor!BC32,Centerpoint!BC32,'AEP Central'!BC32,TNMP!BC32,'AEP North'!BC32)</f>
        <v>37024</v>
      </c>
      <c r="BD32" s="17">
        <f>SUM(Oncor!BD32,Centerpoint!BD32,'AEP Central'!BD32,TNMP!BD32,'AEP North'!BD32)</f>
        <v>37300</v>
      </c>
      <c r="BE32" s="17">
        <f>SUM(Oncor!BE32,Centerpoint!BE32,'AEP Central'!BE32,TNMP!BE32,'AEP North'!BE32)</f>
        <v>35863</v>
      </c>
      <c r="BF32" s="17">
        <f>SUM(Oncor!BF32,Centerpoint!BF32,'AEP Central'!BF32,TNMP!BF32,'AEP North'!BF32)</f>
        <v>39207</v>
      </c>
      <c r="BG32" s="17">
        <f>SUM(Oncor!BG32,Centerpoint!BG32,'AEP Central'!BG32,TNMP!BG32,'AEP North'!BG32)</f>
        <v>36866</v>
      </c>
      <c r="BH32" s="17">
        <f>SUM(Oncor!BH32,Centerpoint!BH32,'AEP Central'!BH32,TNMP!BH32,'AEP North'!BH32)</f>
        <v>39565</v>
      </c>
      <c r="BI32" s="17">
        <f>SUM(Oncor!BI32,Centerpoint!BI32,'AEP Central'!BI32,TNMP!BI32,'AEP North'!BI32)</f>
        <v>38056</v>
      </c>
      <c r="BJ32" s="22">
        <f>SUM(Oncor!BJ32,Centerpoint!BJ32,'AEP Central'!BJ32,TNMP!BJ32,'AEP North'!BJ32)</f>
        <v>37335</v>
      </c>
      <c r="BK32" s="17">
        <f>SUM(Oncor!BK32,Centerpoint!BK32,'AEP Central'!BK32,TNMP!BK32,'AEP North'!BK32)</f>
        <v>41381</v>
      </c>
      <c r="BL32" s="17">
        <f>SUM(Oncor!BL32,Centerpoint!BL32,'AEP Central'!BL32,TNMP!BL32,'AEP North'!BL32)</f>
        <v>40481</v>
      </c>
      <c r="BM32" s="17">
        <f>SUM(Oncor!BM32,Centerpoint!BM32,'AEP Central'!BM32,TNMP!BM32,'AEP North'!BM32)</f>
        <v>43467</v>
      </c>
      <c r="BN32" s="17">
        <f>SUM(Oncor!BN32,Centerpoint!BN32,'AEP Central'!BN32,TNMP!BN32,'AEP North'!BN32)</f>
        <v>41225</v>
      </c>
      <c r="BO32" s="17">
        <f>SUM(Oncor!BO32,Centerpoint!BO32,'AEP Central'!BO32,TNMP!BO32,'AEP North'!BO32)</f>
        <v>44399</v>
      </c>
      <c r="BP32" s="17">
        <f>SUM(Oncor!BP32,Centerpoint!BP32,'AEP Central'!BP32,TNMP!BP32,'AEP North'!BP32)</f>
        <v>43496</v>
      </c>
      <c r="BQ32" s="17">
        <f>SUM(Oncor!BQ32,Centerpoint!BQ32,'AEP Central'!BQ32,TNMP!BQ32,'AEP North'!BQ32)</f>
        <v>43834</v>
      </c>
      <c r="BR32" s="17">
        <f>SUM(Oncor!BR32,Centerpoint!BR32,'AEP Central'!BR32,TNMP!BR32,'AEP North'!BR32)</f>
        <v>46460</v>
      </c>
      <c r="BS32" s="17">
        <f>SUM(Oncor!BS32,Centerpoint!BS32,'AEP Central'!BS32,TNMP!BS32,'AEP North'!BS32)</f>
        <v>42428</v>
      </c>
      <c r="BT32" s="17">
        <f>SUM(Oncor!BT32,Centerpoint!BT32,'AEP Central'!BT32,TNMP!BT32,'AEP North'!BT32)</f>
        <v>45315</v>
      </c>
      <c r="BU32" s="17">
        <f>SUM(Oncor!BU32,Centerpoint!BU32,'AEP Central'!BU32,TNMP!BU32,'AEP North'!BU32)</f>
        <v>45626</v>
      </c>
      <c r="BV32" s="22">
        <f>SUM(Oncor!BV32,Centerpoint!BV32,'AEP Central'!BV32,TNMP!BV32,'AEP North'!BV32)</f>
        <v>46047</v>
      </c>
      <c r="BW32" s="17">
        <f>SUM(Oncor!BW32,Centerpoint!BW32,'AEP Central'!BW32,TNMP!BW32,'AEP North'!BW32)</f>
        <v>46516</v>
      </c>
      <c r="BX32" s="17">
        <f>SUM(Oncor!BX32,Centerpoint!BX32,'AEP Central'!BX32,TNMP!BX32,'AEP North'!BX32)</f>
        <v>46608</v>
      </c>
      <c r="BY32" s="17">
        <f>SUM(Oncor!BY32,Centerpoint!BY32,'AEP Central'!BY32,TNMP!BY32,'AEP North'!BY32)</f>
        <v>46815</v>
      </c>
      <c r="BZ32" s="17">
        <f>SUM(Oncor!BZ32,Centerpoint!BZ32,'AEP Central'!BZ32,TNMP!BZ32,'AEP North'!BZ32)</f>
        <v>47118</v>
      </c>
      <c r="CA32" s="17">
        <f>SUM(Oncor!CA32,Centerpoint!CA32,'AEP Central'!CA32,TNMP!CA32,'AEP North'!CA32)</f>
        <v>47583</v>
      </c>
      <c r="CB32" s="17">
        <f>SUM(Oncor!CB32,Centerpoint!CB32,'AEP Central'!CB32,TNMP!CB32,'AEP North'!CB32)</f>
        <v>47969</v>
      </c>
      <c r="CC32" s="92">
        <f>SUM(Oncor!CC32,Centerpoint!CC32,'AEP Central'!CC32,TNMP!CC32,'AEP North'!CC32)</f>
        <v>48262</v>
      </c>
      <c r="CD32" s="92">
        <f>SUM(Oncor!CD32,Centerpoint!CD32,'AEP Central'!CD32,TNMP!CD32,'AEP North'!CD32)</f>
        <v>48545</v>
      </c>
      <c r="CE32" s="92">
        <f>SUM(Oncor!CE32,Centerpoint!CE32,'AEP Central'!CE32,TNMP!CE32,'AEP North'!CE32)</f>
        <v>48732</v>
      </c>
      <c r="CF32" s="92">
        <f>SUM(Oncor!CF32,Centerpoint!CF32,'AEP Central'!CF32,TNMP!CF32,'AEP North'!CF32)</f>
        <v>49084</v>
      </c>
      <c r="CG32" s="92">
        <f>SUM(Oncor!CG32,Centerpoint!CG32,'AEP Central'!CG32,TNMP!CG32,'AEP North'!CG32)</f>
        <v>49677</v>
      </c>
      <c r="CH32" s="92">
        <f>SUM(Oncor!CH32,Centerpoint!CH32,'AEP Central'!CH32,TNMP!CH32,'AEP North'!CH32)</f>
        <v>50299</v>
      </c>
      <c r="CI32" s="91">
        <f>SUM(Oncor!CI32,Centerpoint!CI32,'AEP Central'!CI32,TNMP!CI32,'AEP North'!CI32)</f>
        <v>49777</v>
      </c>
      <c r="CJ32" s="92">
        <f>SUM(Oncor!CJ32,Centerpoint!CJ32,'AEP Central'!CJ32,TNMP!CJ32,'AEP North'!CJ32)</f>
        <v>50224</v>
      </c>
      <c r="CK32" s="92">
        <f>SUM(Oncor!CK32,Centerpoint!CK32,'AEP Central'!CK32,TNMP!CK32,'AEP North'!CK32)</f>
        <v>50295</v>
      </c>
      <c r="CL32" s="92">
        <f>SUM(Oncor!CL32,Centerpoint!CL32,'AEP Central'!CL32,TNMP!CL32,'AEP North'!CL32)</f>
        <v>50503</v>
      </c>
      <c r="CM32" s="92">
        <f>SUM(Oncor!CM32,Centerpoint!CM32,'AEP Central'!CM32,TNMP!CM32,'AEP North'!CM32)</f>
        <v>50996</v>
      </c>
      <c r="CN32" s="92">
        <f>SUM(Oncor!CN32,Centerpoint!CN32,'AEP Central'!CN32,TNMP!CN32,'AEP North'!CN32)</f>
        <v>51315</v>
      </c>
      <c r="CO32" s="92">
        <f>SUM(Oncor!CO32,Centerpoint!CO32,'AEP Central'!CO32,TNMP!CO32,'AEP North'!CO32)</f>
        <v>51751</v>
      </c>
      <c r="CP32" s="92">
        <f>SUM(Oncor!CP32,Centerpoint!CP32,'AEP Central'!CP32,TNMP!CP32,'AEP North'!CP32)</f>
        <v>52320</v>
      </c>
      <c r="CQ32" s="92">
        <f>SUM(Oncor!CQ32,Centerpoint!CQ32,'AEP Central'!CQ32,TNMP!CQ32,'AEP North'!CQ32)</f>
        <v>53349</v>
      </c>
      <c r="CR32" s="92">
        <f>SUM(Oncor!CR32,Centerpoint!CR32,'AEP Central'!CR32,TNMP!CR32,'AEP North'!CR32)</f>
        <v>53976</v>
      </c>
      <c r="CS32" s="92">
        <f>SUM(Oncor!CS32,Centerpoint!CS32,'AEP Central'!CS32,TNMP!CS32,'AEP North'!CS32)</f>
        <v>54397</v>
      </c>
      <c r="CT32" s="93">
        <f>SUM(Oncor!CT32,Centerpoint!CT32,'AEP Central'!CT32,TNMP!CT32,'AEP North'!CT32)</f>
        <v>54952</v>
      </c>
      <c r="CU32" s="92">
        <f>SUM(Oncor!CU32,Centerpoint!CU32,'AEP Central'!CU32,TNMP!CU32,'AEP North'!CU32)</f>
        <v>51959</v>
      </c>
      <c r="CV32" s="92">
        <f>SUM(Oncor!CV32,Centerpoint!CV32,'AEP Central'!CV32,TNMP!CV32,'AEP North'!CV32)</f>
        <v>55093</v>
      </c>
      <c r="CW32" s="92">
        <f>SUM(Oncor!CW32,Centerpoint!CW32,'AEP Central'!CW32,TNMP!CW32,'AEP North'!CW32)</f>
        <v>55483</v>
      </c>
      <c r="CX32" s="92">
        <f>SUM(Oncor!CX32,Centerpoint!CX32,'AEP Central'!CX32,TNMP!CX32,'AEP North'!CX32)</f>
        <v>55771</v>
      </c>
      <c r="CY32" s="92">
        <f>SUM(Oncor!CY32,Centerpoint!CY32,'AEP Central'!CY32,TNMP!CY32,'AEP North'!CY32)</f>
        <v>56026</v>
      </c>
      <c r="CZ32" s="92">
        <f>SUM(Oncor!CZ32,Centerpoint!CZ32,'AEP Central'!CZ32,TNMP!CZ32,'AEP North'!CZ32)</f>
        <v>56436</v>
      </c>
      <c r="DA32" s="92">
        <f>SUM(Oncor!DA32,Centerpoint!DA32,'AEP Central'!DA32,TNMP!DA32,'AEP North'!DA32)</f>
        <v>55562</v>
      </c>
      <c r="DB32" s="92">
        <f>SUM(Oncor!DB32,Centerpoint!DB32,'AEP Central'!DB32,TNMP!DB32,'AEP North'!DB32)</f>
        <v>55435</v>
      </c>
      <c r="DC32" s="92">
        <f>SUM(Oncor!DC32,Centerpoint!DC32,'AEP Central'!DC32,TNMP!DC32,'AEP North'!DC32)</f>
        <v>57235</v>
      </c>
      <c r="DD32" s="92">
        <f>SUM(Oncor!DD32,Centerpoint!DD32,'AEP Central'!DD32,TNMP!DD32,'AEP North'!DD32)</f>
        <v>56075</v>
      </c>
      <c r="DE32" s="92">
        <f>SUM(Oncor!DE32,Centerpoint!DE32,'AEP Central'!DE32,TNMP!DE32,'AEP North'!DE32)</f>
        <v>56820</v>
      </c>
      <c r="DF32" s="93">
        <f>SUM(Oncor!DF32,Centerpoint!DF32,'AEP Central'!DF32,TNMP!DF32,'AEP North'!DF32)</f>
        <v>58763</v>
      </c>
      <c r="DG32" s="92">
        <f>SUM(Oncor!DG32,Centerpoint!DG32,'AEP Central'!DG32,TNMP!DG32,'AEP North'!DG32)</f>
        <v>56147</v>
      </c>
      <c r="DH32" s="92">
        <f>SUM(Oncor!DH32,Centerpoint!DH32,'AEP Central'!DH32,TNMP!DH32,'AEP North'!DH32)</f>
        <v>59482</v>
      </c>
      <c r="DI32" s="92">
        <f>SUM(Oncor!DI32,Centerpoint!DI32,'AEP Central'!DI32,TNMP!DI32,'AEP North'!DI32)</f>
        <v>59687</v>
      </c>
      <c r="DJ32" s="92">
        <f>SUM(Oncor!DJ32,Centerpoint!DJ32,'AEP Central'!DJ32,TNMP!DJ32,'AEP North'!DJ32)</f>
        <v>58563</v>
      </c>
      <c r="DK32" s="92">
        <f>SUM(Oncor!DK32,Centerpoint!DK32,'AEP Central'!DK32,TNMP!DK32,'AEP North'!DK32)</f>
        <v>57432</v>
      </c>
      <c r="DL32" s="92">
        <f>SUM(Oncor!DL32,Centerpoint!DL32,'AEP Central'!DL32,TNMP!DL32,'AEP North'!DL32)</f>
        <v>60847</v>
      </c>
      <c r="DM32" s="92">
        <f>SUM(Oncor!DM32,Centerpoint!DM32,'AEP Central'!DM32,TNMP!DM32,'AEP North'!DM32)</f>
        <v>59524</v>
      </c>
      <c r="DN32" s="92">
        <f>SUM(Oncor!DN32,Centerpoint!DN32,'AEP Central'!DN32,TNMP!DN32,'AEP North'!DN32)</f>
        <v>61412</v>
      </c>
      <c r="DO32" s="92">
        <f>SUM(Oncor!DO32,Centerpoint!DO32,'AEP Central'!DO32,TNMP!DO32,'AEP North'!DO32)</f>
        <v>60199</v>
      </c>
      <c r="DP32" s="92">
        <f>SUM(Oncor!DP32,Centerpoint!DP32,'AEP Central'!DP32,TNMP!DP32,'AEP North'!DP32)</f>
        <v>60563</v>
      </c>
      <c r="DQ32" s="92">
        <f>SUM(Oncor!DQ32,Centerpoint!DQ32,'AEP Central'!DQ32,TNMP!DQ32,'AEP North'!DQ32)</f>
        <v>62657</v>
      </c>
      <c r="DR32" s="92">
        <f>SUM(Oncor!DR32,Centerpoint!DR32,'AEP Central'!DR32,TNMP!DR32,'AEP North'!DR32)</f>
        <v>59383</v>
      </c>
      <c r="DS32" s="92">
        <f>SUM(Oncor!DS32,Centerpoint!DS32,'AEP Central'!DS32,TNMP!DS32,'AEP North'!DS32)</f>
        <v>59586</v>
      </c>
      <c r="DT32" s="92">
        <f>SUM(Oncor!DT32,Centerpoint!DT32,'AEP Central'!DT32,TNMP!DT32,'AEP North'!DT32)</f>
        <v>61831</v>
      </c>
      <c r="DU32" s="92">
        <f>SUM(Oncor!DU32,Centerpoint!DU32,'AEP Central'!DU32,TNMP!DU32,'AEP North'!DU32)</f>
        <v>63407</v>
      </c>
      <c r="DV32" s="92">
        <f>SUM(Oncor!DV32,Centerpoint!DV32,'AEP Central'!DV32,TNMP!DV32,'AEP North'!DV32)</f>
        <v>63545</v>
      </c>
      <c r="DW32" s="92">
        <f>SUM(Oncor!DW32,Centerpoint!DW32,'AEP Central'!DW32,TNMP!DW32,'AEP North'!DW32)</f>
        <v>64253</v>
      </c>
      <c r="DX32" s="92">
        <f>SUM(Oncor!DX32,Centerpoint!DX32,'AEP Central'!DX32,TNMP!DX32,'AEP North'!DX32)</f>
        <v>65865</v>
      </c>
      <c r="DY32" s="92">
        <f>SUM(Oncor!DY32,Centerpoint!DY32,'AEP Central'!DY32,TNMP!DY32,'AEP North'!DY32)</f>
        <v>67198</v>
      </c>
      <c r="DZ32" s="92">
        <f>SUM(Oncor!DZ32,Centerpoint!DZ32,'AEP Central'!DZ32,TNMP!DZ32,'AEP North'!DZ32)</f>
        <v>67284</v>
      </c>
      <c r="EA32" s="92">
        <f>SUM(Oncor!EA32,Centerpoint!EA32,'AEP Central'!EA32,TNMP!EA32,'AEP North'!EA32)</f>
        <v>67497</v>
      </c>
      <c r="EB32" s="92">
        <f>SUM(Oncor!EB32,Centerpoint!EB32,'AEP Central'!EB32,TNMP!EB32,'AEP North'!EB32)</f>
        <v>66877</v>
      </c>
      <c r="EC32" s="92">
        <f>SUM(Oncor!EC32,Centerpoint!EC32,'AEP Central'!EC32,TNMP!EC32,'AEP North'!EC32)</f>
        <v>67188</v>
      </c>
      <c r="ED32" s="92">
        <f>SUM(Oncor!ED32,Centerpoint!ED32,'AEP Central'!ED32,TNMP!ED32,'AEP North'!ED32)</f>
        <v>67344</v>
      </c>
      <c r="EE32" s="92">
        <f>SUM(Oncor!EE32,Centerpoint!EE32,'AEP Central'!EE32,TNMP!EE32,'AEP North'!EE32)</f>
        <v>68423</v>
      </c>
      <c r="EF32" s="92">
        <f>SUM(Oncor!EF32,Centerpoint!EF32,'AEP Central'!EF32,TNMP!EF32,'AEP North'!EF32)</f>
        <v>68510</v>
      </c>
      <c r="EG32" s="92">
        <f>SUM(Oncor!EG32,Centerpoint!EG32,'AEP Central'!EG32,TNMP!EG32,'AEP North'!EG32)</f>
        <v>68793</v>
      </c>
      <c r="EH32" s="92">
        <f>SUM(Oncor!EH32,Centerpoint!EH32,'AEP Central'!EH32,TNMP!EH32,'AEP North'!EH32)</f>
        <v>69182</v>
      </c>
      <c r="EI32" s="92">
        <f>SUM(Oncor!EI32,Centerpoint!EI32,'AEP Central'!EI32,TNMP!EI32,'AEP North'!EI32)</f>
        <v>69304</v>
      </c>
      <c r="EJ32" s="92">
        <f>SUM(Oncor!EJ32,Centerpoint!EJ32,'AEP Central'!EJ32,TNMP!EJ32,'AEP North'!EJ32)</f>
        <v>69438</v>
      </c>
      <c r="EK32" s="92">
        <f>SUM(Oncor!EK32,Centerpoint!EK32,'AEP Central'!EK32,TNMP!EK32,'AEP North'!EK32)</f>
        <v>69458</v>
      </c>
      <c r="EL32" s="92">
        <f>SUM(Oncor!EL32,Centerpoint!EL32,'AEP Central'!EL32,TNMP!EL32,'AEP North'!EL32)</f>
        <v>69394</v>
      </c>
      <c r="EM32" s="92">
        <f>SUM(Oncor!EM32,Centerpoint!EM32,'AEP Central'!EM32,TNMP!EM32,'AEP North'!EM32)</f>
        <v>69501</v>
      </c>
      <c r="EN32" s="92">
        <f>SUM(Oncor!EN32,Centerpoint!EN32,'AEP Central'!EN32,TNMP!EN32,'AEP North'!EN32)</f>
        <v>70111</v>
      </c>
      <c r="EO32" s="92">
        <f>SUM(Oncor!EO32,Centerpoint!EO32,'AEP Central'!EO32,TNMP!EO32,'AEP North'!EO32)</f>
        <v>70160</v>
      </c>
      <c r="EP32" s="92">
        <f>SUM(Oncor!EP32,Centerpoint!EP32,'AEP Central'!EP32,TNMP!EP32,'AEP North'!EP32)</f>
        <v>69615</v>
      </c>
      <c r="EQ32" s="92">
        <f>SUM(Oncor!EQ32,Centerpoint!EQ32,'AEP Central'!EQ32,TNMP!EQ32,'AEP North'!EQ32)</f>
        <v>68998</v>
      </c>
      <c r="ER32" s="92">
        <f>SUM(Oncor!ER32,Centerpoint!ER32,'AEP Central'!ER32,TNMP!ER32,'AEP North'!ER32)</f>
        <v>68210</v>
      </c>
      <c r="ES32" s="92">
        <f>SUM(Oncor!ES32,Centerpoint!ES32,'AEP Central'!ES32,TNMP!ES32,'AEP North'!ES32)</f>
        <v>68423</v>
      </c>
      <c r="ET32" s="92">
        <f>SUM(Oncor!ET32,Centerpoint!ET32,'AEP Central'!ET32,TNMP!ET32,'AEP North'!ET32)</f>
        <v>70399</v>
      </c>
      <c r="EU32" s="92">
        <f>SUM(Oncor!EU32,Centerpoint!EU32,'AEP Central'!EU32,TNMP!EU32,'AEP North'!EU32)</f>
        <v>70576</v>
      </c>
      <c r="EV32" s="92">
        <f>SUM(Oncor!EV32,Centerpoint!EV32,'AEP Central'!EV32,TNMP!EV32,'AEP North'!EV32)</f>
        <v>70458</v>
      </c>
      <c r="EW32" s="92">
        <f>SUM(Oncor!EW32,Centerpoint!EW32,'AEP Central'!EW32,TNMP!EW32,'AEP North'!EW32)</f>
        <v>70515</v>
      </c>
      <c r="EX32" s="92">
        <f>SUM(Oncor!EX32,Centerpoint!EX32,'AEP Central'!EX32,TNMP!EX32,'AEP North'!EX32)</f>
        <v>70519</v>
      </c>
      <c r="EY32" s="92">
        <f>SUM(Oncor!EY32,Centerpoint!EY32,'AEP Central'!EY32,TNMP!EY32,'AEP North'!EY32)</f>
        <v>70553</v>
      </c>
      <c r="EZ32" s="92">
        <f>SUM(Oncor!EZ32,Centerpoint!EZ32,'AEP Central'!EZ32,TNMP!EZ32,'AEP North'!EZ32)</f>
        <v>70719</v>
      </c>
      <c r="FA32" s="92">
        <f>SUM(Oncor!FA32,Centerpoint!FA32,'AEP Central'!FA32,TNMP!FA32,'AEP North'!FA32)</f>
        <v>70757</v>
      </c>
      <c r="FB32" s="92">
        <f>SUM(Oncor!FB32,Centerpoint!FB32,'AEP Central'!FB32,TNMP!FB32,'AEP North'!FB32)</f>
        <v>70797</v>
      </c>
      <c r="FC32" s="92">
        <f>SUM(Oncor!FC32,Centerpoint!FC32,'AEP Central'!FC32,TNMP!FC32,'AEP North'!FC32)</f>
        <v>70828</v>
      </c>
      <c r="FD32" s="92">
        <f>SUM(Oncor!FD32,Centerpoint!FD32,'AEP Central'!FD32,TNMP!FD32,'AEP North'!FD32)</f>
        <v>70915</v>
      </c>
      <c r="FE32" s="92">
        <f>SUM(Oncor!FE32,Centerpoint!FE32,'AEP Central'!FE32,TNMP!FE32,'AEP North'!FE32)</f>
        <v>70913</v>
      </c>
      <c r="FF32" s="92">
        <f>SUM(Oncor!FF32,Centerpoint!FF32,'AEP Central'!FF32,TNMP!FF32,'AEP North'!FF32)</f>
        <v>71192</v>
      </c>
      <c r="FG32" s="92">
        <f>SUM(Oncor!FG32,Centerpoint!FG32,'AEP Central'!FG32,TNMP!FG32,'AEP North'!FG32)</f>
        <v>71405</v>
      </c>
      <c r="FH32" s="92">
        <f>SUM(Oncor!FH32,Centerpoint!FH32,'AEP Central'!FH32,TNMP!FH32,'AEP North'!FH32)</f>
        <v>71734</v>
      </c>
      <c r="FI32" s="92">
        <f>SUM(Oncor!FI32,Centerpoint!FI32,'AEP Central'!FI32,TNMP!FI32,'AEP North'!FI32)</f>
        <v>71947</v>
      </c>
      <c r="FJ32" s="92">
        <f>SUM(Oncor!FJ32,Centerpoint!FJ32,'AEP Central'!FJ32,TNMP!FJ32,'AEP North'!FJ32)</f>
        <v>71901</v>
      </c>
      <c r="FK32" s="92">
        <f>SUM(Oncor!FK32,Centerpoint!FK32,'AEP Central'!FK32,TNMP!FK32,'AEP North'!FK32)</f>
        <v>72094</v>
      </c>
      <c r="FL32" s="92">
        <f>SUM(Oncor!FL32,Centerpoint!FL32,'AEP Central'!FL32,TNMP!FL32,'AEP North'!FL32,'[1]Sharyland Utilities LP '!FL32,'Sharyland Utilities LP McAllen'!FL32)</f>
        <v>74973</v>
      </c>
      <c r="FM32" s="92">
        <f>SUM(Oncor!FM32,Centerpoint!FM32,'AEP Central'!FM32,TNMP!FM32,'AEP North'!FM32,'[1]Sharyland Utilities LP '!FM32,'Sharyland Utilities LP McAllen'!FM32)</f>
        <v>75193</v>
      </c>
      <c r="FN32" s="92">
        <f>SUM(Oncor!FN32,Centerpoint!FN32,'AEP Central'!FN32,TNMP!FN32,'AEP North'!FN32,'[1]Sharyland Utilities LP '!FN32,'Sharyland Utilities LP McAllen'!FN32)</f>
        <v>75668</v>
      </c>
      <c r="FO32" s="92">
        <f>SUM(Oncor!FO32,Centerpoint!FO32,'AEP Central'!FO32,TNMP!FO32,'AEP North'!FO32,'[1]Sharyland Utilities LP '!FO32,'Sharyland Utilities LP McAllen'!FO32)</f>
        <v>75809</v>
      </c>
      <c r="FP32" s="92">
        <f>SUM(Oncor!FP32,Centerpoint!FP32,'AEP Central'!FP32,TNMP!FP32,'AEP North'!FP32,'[1]Sharyland Utilities LP '!FP32,'Sharyland Utilities LP McAllen'!FP32)</f>
        <v>75999</v>
      </c>
      <c r="FQ32" s="92">
        <f>SUM(Oncor!FQ32,Centerpoint!FQ32,'AEP Central'!FQ32,TNMP!FQ32,'AEP North'!FQ32,'[1]Sharyland Utilities LP '!FQ32,'Sharyland Utilities LP McAllen'!FQ32)</f>
        <v>76137</v>
      </c>
      <c r="FR32" s="92">
        <f>SUM(Oncor!FR32,Centerpoint!FR32,'AEP Central'!FR32,TNMP!FR32,'AEP North'!FR32,'[1]Sharyland Utilities LP '!FR32,'Sharyland Utilities LP McAllen'!FR32)</f>
        <v>76035</v>
      </c>
      <c r="FS32" s="92">
        <f>SUM(Oncor!FS32,Centerpoint!FS32,'AEP Central'!FS32,TNMP!FS32,'AEP North'!FS32,'[1]Sharyland Utilities LP '!FS32,'Sharyland Utilities LP McAllen'!FS32)</f>
        <v>76517</v>
      </c>
      <c r="FT32" s="92">
        <f>SUM(Oncor!FT32,Centerpoint!FT32,'AEP Central'!FT32,TNMP!FT32,'AEP North'!FT32,'[1]Sharyland Utilities LP '!FT32,'Sharyland Utilities LP McAllen'!FT32)</f>
        <v>76572</v>
      </c>
    </row>
    <row r="33" spans="1:182" ht="13.8" thickTop="1" x14ac:dyDescent="0.25">
      <c r="B33" s="114" t="s">
        <v>9</v>
      </c>
      <c r="C33" s="77">
        <f t="shared" ref="C33:K33" si="115">SUM(C31:C32)</f>
        <v>239845</v>
      </c>
      <c r="D33" s="8">
        <f t="shared" si="115"/>
        <v>240490</v>
      </c>
      <c r="E33" s="8">
        <f t="shared" si="115"/>
        <v>265216</v>
      </c>
      <c r="F33" s="8">
        <f t="shared" si="115"/>
        <v>264748</v>
      </c>
      <c r="G33" s="8">
        <f t="shared" si="115"/>
        <v>262118</v>
      </c>
      <c r="H33" s="8">
        <f t="shared" si="115"/>
        <v>262499</v>
      </c>
      <c r="I33" s="8">
        <f t="shared" si="115"/>
        <v>261442</v>
      </c>
      <c r="J33" s="8">
        <f t="shared" si="115"/>
        <v>261534</v>
      </c>
      <c r="K33" s="8">
        <f t="shared" si="115"/>
        <v>260610</v>
      </c>
      <c r="L33" s="8">
        <f t="shared" ref="L33:Q33" si="116">SUM(L31:L32)</f>
        <v>156641</v>
      </c>
      <c r="M33" s="8">
        <f t="shared" si="116"/>
        <v>156119</v>
      </c>
      <c r="N33" s="80">
        <f t="shared" si="116"/>
        <v>155560</v>
      </c>
      <c r="O33" s="135">
        <f t="shared" si="116"/>
        <v>260064</v>
      </c>
      <c r="P33" s="8">
        <f t="shared" si="116"/>
        <v>247977</v>
      </c>
      <c r="Q33" s="8">
        <f t="shared" si="116"/>
        <v>253012</v>
      </c>
      <c r="R33" s="8">
        <f t="shared" ref="R33:W33" si="117">SUM(R31:R32)</f>
        <v>252034</v>
      </c>
      <c r="S33" s="8">
        <f t="shared" si="117"/>
        <v>251493</v>
      </c>
      <c r="T33" s="8">
        <f t="shared" si="117"/>
        <v>249814</v>
      </c>
      <c r="U33" s="8">
        <f t="shared" si="117"/>
        <v>253552</v>
      </c>
      <c r="V33" s="8">
        <f t="shared" si="117"/>
        <v>248362</v>
      </c>
      <c r="W33" s="8">
        <f t="shared" si="117"/>
        <v>247000</v>
      </c>
      <c r="X33" s="8">
        <f t="shared" ref="X33:AC33" si="118">SUM(X31:X32)</f>
        <v>255062</v>
      </c>
      <c r="Y33" s="8">
        <f t="shared" si="118"/>
        <v>230214</v>
      </c>
      <c r="Z33" s="149">
        <f t="shared" si="118"/>
        <v>243290</v>
      </c>
      <c r="AA33" s="135">
        <f t="shared" si="118"/>
        <v>240072</v>
      </c>
      <c r="AB33" s="8">
        <f t="shared" si="118"/>
        <v>234681</v>
      </c>
      <c r="AC33" s="8">
        <f t="shared" si="118"/>
        <v>246123</v>
      </c>
      <c r="AD33" s="8">
        <f t="shared" ref="AD33:AI33" si="119">SUM(AD31:AD32)</f>
        <v>234027</v>
      </c>
      <c r="AE33" s="8">
        <f t="shared" si="119"/>
        <v>227505</v>
      </c>
      <c r="AF33" s="8">
        <f t="shared" si="119"/>
        <v>235622</v>
      </c>
      <c r="AG33" s="8">
        <f t="shared" si="119"/>
        <v>229427</v>
      </c>
      <c r="AH33" s="8">
        <f t="shared" si="119"/>
        <v>232471</v>
      </c>
      <c r="AI33" s="8">
        <f t="shared" si="119"/>
        <v>226237</v>
      </c>
      <c r="AJ33" s="8">
        <f t="shared" ref="AJ33:AO33" si="120">SUM(AJ31:AJ32)</f>
        <v>224530</v>
      </c>
      <c r="AK33" s="8">
        <f t="shared" si="120"/>
        <v>219146</v>
      </c>
      <c r="AL33" s="149">
        <f t="shared" si="120"/>
        <v>217501</v>
      </c>
      <c r="AM33" s="8">
        <f t="shared" si="120"/>
        <v>220938</v>
      </c>
      <c r="AN33" s="8">
        <f t="shared" si="120"/>
        <v>211629</v>
      </c>
      <c r="AO33" s="8">
        <f t="shared" si="120"/>
        <v>219225</v>
      </c>
      <c r="AP33" s="8">
        <f t="shared" ref="AP33:AU33" si="121">SUM(AP31:AP32)</f>
        <v>210206</v>
      </c>
      <c r="AQ33" s="8">
        <f t="shared" si="121"/>
        <v>208941</v>
      </c>
      <c r="AR33" s="8">
        <f t="shared" si="121"/>
        <v>212105</v>
      </c>
      <c r="AS33" s="8">
        <f t="shared" si="121"/>
        <v>205932</v>
      </c>
      <c r="AT33" s="8">
        <f t="shared" si="121"/>
        <v>217791</v>
      </c>
      <c r="AU33" s="8">
        <f t="shared" si="121"/>
        <v>207976</v>
      </c>
      <c r="AV33" s="8">
        <f t="shared" ref="AV33:BJ33" si="122">SUM(AV31:AV32)</f>
        <v>206966</v>
      </c>
      <c r="AW33" s="8">
        <f t="shared" si="122"/>
        <v>202403</v>
      </c>
      <c r="AX33" s="9">
        <f t="shared" si="122"/>
        <v>202061</v>
      </c>
      <c r="AY33" s="8">
        <f t="shared" si="122"/>
        <v>204132</v>
      </c>
      <c r="AZ33" s="8">
        <f t="shared" si="122"/>
        <v>199412</v>
      </c>
      <c r="BA33" s="8">
        <f t="shared" si="122"/>
        <v>210264</v>
      </c>
      <c r="BB33" s="8">
        <f t="shared" si="122"/>
        <v>197002</v>
      </c>
      <c r="BC33" s="8">
        <f t="shared" si="122"/>
        <v>204354</v>
      </c>
      <c r="BD33" s="8">
        <f t="shared" si="122"/>
        <v>202271</v>
      </c>
      <c r="BE33" s="8">
        <f t="shared" si="122"/>
        <v>194172</v>
      </c>
      <c r="BF33" s="8">
        <f t="shared" si="122"/>
        <v>202832</v>
      </c>
      <c r="BG33" s="8">
        <f t="shared" si="122"/>
        <v>191845</v>
      </c>
      <c r="BH33" s="8">
        <f t="shared" si="122"/>
        <v>197667</v>
      </c>
      <c r="BI33" s="8">
        <f t="shared" si="122"/>
        <v>189835</v>
      </c>
      <c r="BJ33" s="9">
        <f t="shared" si="122"/>
        <v>186010</v>
      </c>
      <c r="BK33" s="8">
        <f t="shared" ref="BK33:BP33" si="123">SUM(BK31:BK32)</f>
        <v>193288</v>
      </c>
      <c r="BL33" s="8">
        <f t="shared" si="123"/>
        <v>187713</v>
      </c>
      <c r="BM33" s="8">
        <f t="shared" si="123"/>
        <v>194744</v>
      </c>
      <c r="BN33" s="8">
        <f t="shared" si="123"/>
        <v>186438</v>
      </c>
      <c r="BO33" s="8">
        <f t="shared" si="123"/>
        <v>193350</v>
      </c>
      <c r="BP33" s="8">
        <f t="shared" si="123"/>
        <v>188701</v>
      </c>
      <c r="BQ33" s="8">
        <f t="shared" ref="BQ33:CB33" si="124">SUM(BQ31:BQ32)</f>
        <v>184571</v>
      </c>
      <c r="BR33" s="8">
        <f t="shared" si="124"/>
        <v>189317</v>
      </c>
      <c r="BS33" s="8">
        <f t="shared" si="124"/>
        <v>175768</v>
      </c>
      <c r="BT33" s="8">
        <f t="shared" si="124"/>
        <v>181514</v>
      </c>
      <c r="BU33" s="8">
        <f t="shared" si="124"/>
        <v>180928</v>
      </c>
      <c r="BV33" s="9">
        <f t="shared" si="124"/>
        <v>180400</v>
      </c>
      <c r="BW33" s="8">
        <f t="shared" si="124"/>
        <v>179878</v>
      </c>
      <c r="BX33" s="8">
        <f t="shared" si="124"/>
        <v>179164</v>
      </c>
      <c r="BY33" s="8">
        <f t="shared" si="124"/>
        <v>178621</v>
      </c>
      <c r="BZ33" s="8">
        <f t="shared" si="124"/>
        <v>178143</v>
      </c>
      <c r="CA33" s="8">
        <f t="shared" si="124"/>
        <v>178033</v>
      </c>
      <c r="CB33" s="8">
        <f t="shared" si="124"/>
        <v>176657</v>
      </c>
      <c r="CC33" s="94">
        <f>SUM(CC31:CC32)</f>
        <v>175416</v>
      </c>
      <c r="CD33" s="94">
        <f>SUM(CD31:CD32)</f>
        <v>174604</v>
      </c>
      <c r="CE33" s="94">
        <f>SUM(CE31:CE32)</f>
        <v>173665</v>
      </c>
      <c r="CF33" s="94">
        <f t="shared" ref="CF33:CQ33" si="125">SUM(CF31:CF32)</f>
        <v>172961</v>
      </c>
      <c r="CG33" s="94">
        <f t="shared" si="125"/>
        <v>172460</v>
      </c>
      <c r="CH33" s="94">
        <f t="shared" si="125"/>
        <v>172173</v>
      </c>
      <c r="CI33" s="87">
        <f t="shared" si="125"/>
        <v>170497</v>
      </c>
      <c r="CJ33" s="94">
        <f t="shared" si="125"/>
        <v>169852</v>
      </c>
      <c r="CK33" s="94">
        <f t="shared" si="125"/>
        <v>168873</v>
      </c>
      <c r="CL33" s="94">
        <f t="shared" si="125"/>
        <v>168221</v>
      </c>
      <c r="CM33" s="94">
        <f t="shared" si="125"/>
        <v>167617</v>
      </c>
      <c r="CN33" s="94">
        <f t="shared" si="125"/>
        <v>166923</v>
      </c>
      <c r="CO33" s="94">
        <f t="shared" si="125"/>
        <v>166409</v>
      </c>
      <c r="CP33" s="94">
        <f t="shared" si="125"/>
        <v>166147</v>
      </c>
      <c r="CQ33" s="94">
        <f t="shared" si="125"/>
        <v>166104</v>
      </c>
      <c r="CR33" s="94">
        <f t="shared" ref="CR33:FC33" si="126">SUM(CR31:CR32)</f>
        <v>165263</v>
      </c>
      <c r="CS33" s="94">
        <f t="shared" si="126"/>
        <v>164486</v>
      </c>
      <c r="CT33" s="96">
        <f t="shared" si="126"/>
        <v>163999</v>
      </c>
      <c r="CU33" s="94">
        <f t="shared" si="126"/>
        <v>156804</v>
      </c>
      <c r="CV33" s="94">
        <f t="shared" si="126"/>
        <v>162237</v>
      </c>
      <c r="CW33" s="94">
        <f t="shared" si="126"/>
        <v>161516</v>
      </c>
      <c r="CX33" s="94">
        <f t="shared" si="126"/>
        <v>160948</v>
      </c>
      <c r="CY33" s="94">
        <f t="shared" si="126"/>
        <v>160373</v>
      </c>
      <c r="CZ33" s="94">
        <f t="shared" si="126"/>
        <v>159889</v>
      </c>
      <c r="DA33" s="94">
        <f t="shared" si="126"/>
        <v>158082</v>
      </c>
      <c r="DB33" s="94">
        <f t="shared" si="126"/>
        <v>155708</v>
      </c>
      <c r="DC33" s="94">
        <f t="shared" si="126"/>
        <v>158213</v>
      </c>
      <c r="DD33" s="94">
        <f t="shared" si="126"/>
        <v>154669</v>
      </c>
      <c r="DE33" s="94">
        <f t="shared" si="126"/>
        <v>154349</v>
      </c>
      <c r="DF33" s="96">
        <f t="shared" si="126"/>
        <v>156660</v>
      </c>
      <c r="DG33" s="94">
        <f t="shared" si="126"/>
        <v>150413</v>
      </c>
      <c r="DH33" s="94">
        <f t="shared" si="126"/>
        <v>155826</v>
      </c>
      <c r="DI33" s="94">
        <f t="shared" si="126"/>
        <v>155276</v>
      </c>
      <c r="DJ33" s="94">
        <f t="shared" si="126"/>
        <v>152156</v>
      </c>
      <c r="DK33" s="94">
        <f t="shared" si="126"/>
        <v>148937</v>
      </c>
      <c r="DL33" s="94">
        <f t="shared" si="126"/>
        <v>154422</v>
      </c>
      <c r="DM33" s="94">
        <f t="shared" si="126"/>
        <v>151180</v>
      </c>
      <c r="DN33" s="94">
        <f t="shared" si="126"/>
        <v>153631</v>
      </c>
      <c r="DO33" s="94">
        <f t="shared" si="126"/>
        <v>150267</v>
      </c>
      <c r="DP33" s="94">
        <f t="shared" si="126"/>
        <v>149900</v>
      </c>
      <c r="DQ33" s="94">
        <f t="shared" si="126"/>
        <v>152437</v>
      </c>
      <c r="DR33" s="94">
        <f t="shared" si="126"/>
        <v>145987</v>
      </c>
      <c r="DS33" s="94">
        <f t="shared" si="126"/>
        <v>145445</v>
      </c>
      <c r="DT33" s="94">
        <f t="shared" si="126"/>
        <v>148542</v>
      </c>
      <c r="DU33" s="94">
        <f t="shared" si="126"/>
        <v>150668</v>
      </c>
      <c r="DV33" s="94">
        <f t="shared" si="126"/>
        <v>150047</v>
      </c>
      <c r="DW33" s="94">
        <f t="shared" si="126"/>
        <v>149999</v>
      </c>
      <c r="DX33" s="94">
        <f t="shared" si="126"/>
        <v>149961</v>
      </c>
      <c r="DY33" s="94">
        <f t="shared" si="126"/>
        <v>149683</v>
      </c>
      <c r="DZ33" s="94">
        <f t="shared" si="126"/>
        <v>149218</v>
      </c>
      <c r="EA33" s="94">
        <f t="shared" si="126"/>
        <v>148898</v>
      </c>
      <c r="EB33" s="94">
        <f t="shared" si="126"/>
        <v>147741</v>
      </c>
      <c r="EC33" s="94">
        <f t="shared" si="126"/>
        <v>147683</v>
      </c>
      <c r="ED33" s="94">
        <f t="shared" si="126"/>
        <v>147445</v>
      </c>
      <c r="EE33" s="94">
        <f t="shared" si="126"/>
        <v>148173</v>
      </c>
      <c r="EF33" s="94">
        <f t="shared" si="126"/>
        <v>147551</v>
      </c>
      <c r="EG33" s="94">
        <f t="shared" si="126"/>
        <v>147314</v>
      </c>
      <c r="EH33" s="94">
        <f t="shared" si="126"/>
        <v>147130</v>
      </c>
      <c r="EI33" s="94">
        <f t="shared" si="126"/>
        <v>146856</v>
      </c>
      <c r="EJ33" s="94">
        <f t="shared" si="126"/>
        <v>146394</v>
      </c>
      <c r="EK33" s="94">
        <f t="shared" si="126"/>
        <v>146032</v>
      </c>
      <c r="EL33" s="94">
        <f t="shared" si="126"/>
        <v>145616</v>
      </c>
      <c r="EM33" s="94">
        <f t="shared" si="126"/>
        <v>145272</v>
      </c>
      <c r="EN33" s="94">
        <f t="shared" si="126"/>
        <v>145544</v>
      </c>
      <c r="EO33" s="94">
        <f t="shared" si="126"/>
        <v>145183</v>
      </c>
      <c r="EP33" s="94">
        <f t="shared" si="126"/>
        <v>144226</v>
      </c>
      <c r="EQ33" s="94">
        <f t="shared" si="126"/>
        <v>142167</v>
      </c>
      <c r="ER33" s="94">
        <f t="shared" si="126"/>
        <v>141076</v>
      </c>
      <c r="ES33" s="94">
        <f t="shared" si="126"/>
        <v>140771</v>
      </c>
      <c r="ET33" s="94">
        <f t="shared" si="126"/>
        <v>143341</v>
      </c>
      <c r="EU33" s="94">
        <f t="shared" si="126"/>
        <v>143276</v>
      </c>
      <c r="EV33" s="94">
        <f t="shared" si="126"/>
        <v>142847</v>
      </c>
      <c r="EW33" s="94">
        <f t="shared" si="126"/>
        <v>142517</v>
      </c>
      <c r="EX33" s="94">
        <f t="shared" si="126"/>
        <v>142131</v>
      </c>
      <c r="EY33" s="94">
        <f t="shared" si="126"/>
        <v>141762</v>
      </c>
      <c r="EZ33" s="94">
        <f t="shared" si="126"/>
        <v>141616</v>
      </c>
      <c r="FA33" s="94">
        <f t="shared" si="126"/>
        <v>141379</v>
      </c>
      <c r="FB33" s="94">
        <f t="shared" si="126"/>
        <v>141081</v>
      </c>
      <c r="FC33" s="94">
        <f t="shared" si="126"/>
        <v>140862</v>
      </c>
      <c r="FD33" s="94">
        <f>SUM(FD31:FD32)</f>
        <v>140595</v>
      </c>
      <c r="FE33" s="94">
        <f>SUM(FE31:FE32)</f>
        <v>140173</v>
      </c>
      <c r="FF33" s="94">
        <f>SUM(FF31:FF32)</f>
        <v>140073</v>
      </c>
      <c r="FG33" s="94">
        <f>SUM(FG31:FG32)</f>
        <v>139618</v>
      </c>
      <c r="FH33" s="94">
        <f>SUM(FH31:FH32)</f>
        <v>138272</v>
      </c>
      <c r="FI33" s="94">
        <f t="shared" ref="FI33:FT33" si="127">SUM(FI31:FI32)</f>
        <v>137852</v>
      </c>
      <c r="FJ33" s="94">
        <f t="shared" si="127"/>
        <v>137464</v>
      </c>
      <c r="FK33" s="94">
        <f t="shared" si="127"/>
        <v>137178</v>
      </c>
      <c r="FL33" s="94">
        <f t="shared" si="127"/>
        <v>139869</v>
      </c>
      <c r="FM33" s="94">
        <f t="shared" si="127"/>
        <v>139663</v>
      </c>
      <c r="FN33" s="94">
        <f t="shared" si="127"/>
        <v>139765</v>
      </c>
      <c r="FO33" s="94">
        <f t="shared" si="127"/>
        <v>139596</v>
      </c>
      <c r="FP33" s="94">
        <f t="shared" si="127"/>
        <v>139397</v>
      </c>
      <c r="FQ33" s="94">
        <f t="shared" si="127"/>
        <v>139267</v>
      </c>
      <c r="FR33" s="94">
        <f t="shared" si="127"/>
        <v>138831</v>
      </c>
      <c r="FS33" s="94">
        <f t="shared" si="127"/>
        <v>139038</v>
      </c>
      <c r="FT33" s="94">
        <f t="shared" si="127"/>
        <v>138725</v>
      </c>
    </row>
    <row r="34" spans="1:182" x14ac:dyDescent="0.25">
      <c r="B34" s="114" t="s">
        <v>10</v>
      </c>
      <c r="C34" s="78">
        <f t="shared" ref="C34:Q34" si="128">SUM(C31)/C33</f>
        <v>0.99054389293085121</v>
      </c>
      <c r="D34" s="14">
        <f t="shared" si="128"/>
        <v>0.98763773961495283</v>
      </c>
      <c r="E34" s="14">
        <f t="shared" si="128"/>
        <v>0.98497451134169889</v>
      </c>
      <c r="F34" s="14">
        <f t="shared" si="128"/>
        <v>0.98236058440479246</v>
      </c>
      <c r="G34" s="14">
        <f t="shared" si="128"/>
        <v>0.98011964077247649</v>
      </c>
      <c r="H34" s="14">
        <f t="shared" si="128"/>
        <v>0.97723038944910268</v>
      </c>
      <c r="I34" s="14">
        <f t="shared" si="128"/>
        <v>0.97436907612395862</v>
      </c>
      <c r="J34" s="14">
        <f t="shared" si="128"/>
        <v>0.96872299586287058</v>
      </c>
      <c r="K34" s="14">
        <f t="shared" si="128"/>
        <v>0.96548098691531403</v>
      </c>
      <c r="L34" s="14">
        <f t="shared" si="128"/>
        <v>0.97531297680683859</v>
      </c>
      <c r="M34" s="14">
        <f t="shared" si="128"/>
        <v>0.97375079266456999</v>
      </c>
      <c r="N34" s="14">
        <f t="shared" si="128"/>
        <v>0.97165723836461815</v>
      </c>
      <c r="O34" s="136">
        <f t="shared" si="128"/>
        <v>0.95489956318444691</v>
      </c>
      <c r="P34" s="14">
        <f t="shared" si="128"/>
        <v>0.951765687946866</v>
      </c>
      <c r="Q34" s="14">
        <f t="shared" si="128"/>
        <v>0.94644918027603431</v>
      </c>
      <c r="R34" s="14">
        <f t="shared" ref="R34:W34" si="129">SUM(R31)/R33</f>
        <v>0.94866168850234489</v>
      </c>
      <c r="S34" s="14">
        <f t="shared" si="129"/>
        <v>0.9416524515592879</v>
      </c>
      <c r="T34" s="14">
        <f t="shared" si="129"/>
        <v>0.93825005804318418</v>
      </c>
      <c r="U34" s="14">
        <f t="shared" si="129"/>
        <v>0.9336901306240929</v>
      </c>
      <c r="V34" s="14">
        <f t="shared" si="129"/>
        <v>0.92948599222103223</v>
      </c>
      <c r="W34" s="14">
        <f t="shared" si="129"/>
        <v>0.92576518218623483</v>
      </c>
      <c r="X34" s="14">
        <f t="shared" ref="X34:AC34" si="130">SUM(X31)/X33</f>
        <v>0.92240318040319613</v>
      </c>
      <c r="Y34" s="14">
        <f t="shared" si="130"/>
        <v>0.9241835857072116</v>
      </c>
      <c r="Z34" s="150">
        <f t="shared" si="130"/>
        <v>0.91831970076863001</v>
      </c>
      <c r="AA34" s="136">
        <f t="shared" si="130"/>
        <v>0.92078209870372218</v>
      </c>
      <c r="AB34" s="14">
        <f t="shared" si="130"/>
        <v>0.91897085831405179</v>
      </c>
      <c r="AC34" s="14">
        <f t="shared" si="130"/>
        <v>0.91259248424568207</v>
      </c>
      <c r="AD34" s="14">
        <f t="shared" ref="AD34:AI34" si="131">SUM(AD31)/AD33</f>
        <v>0.91409110914552594</v>
      </c>
      <c r="AE34" s="14">
        <f t="shared" si="131"/>
        <v>0.91361068987494776</v>
      </c>
      <c r="AF34" s="14">
        <f t="shared" si="131"/>
        <v>0.90764020337659468</v>
      </c>
      <c r="AG34" s="14">
        <f t="shared" si="131"/>
        <v>0.90562575459732286</v>
      </c>
      <c r="AH34" s="14">
        <f t="shared" si="131"/>
        <v>0.90032305104722743</v>
      </c>
      <c r="AI34" s="14">
        <f t="shared" si="131"/>
        <v>0.8974084698789323</v>
      </c>
      <c r="AJ34" s="14">
        <f t="shared" ref="AJ34:AO34" si="132">SUM(AJ31)/AJ33</f>
        <v>0.89251324989979064</v>
      </c>
      <c r="AK34" s="14">
        <f t="shared" si="132"/>
        <v>0.89042008523997696</v>
      </c>
      <c r="AL34" s="150">
        <f t="shared" si="132"/>
        <v>0.88771086109948916</v>
      </c>
      <c r="AM34" s="14">
        <f t="shared" si="132"/>
        <v>0.87677538494962393</v>
      </c>
      <c r="AN34" s="14">
        <f t="shared" si="132"/>
        <v>0.8764677808806921</v>
      </c>
      <c r="AO34" s="14">
        <f t="shared" si="132"/>
        <v>0.87028395484091692</v>
      </c>
      <c r="AP34" s="14">
        <f t="shared" ref="AP34:AU34" si="133">SUM(AP31)/AP33</f>
        <v>0.86821023186778679</v>
      </c>
      <c r="AQ34" s="14">
        <f t="shared" si="133"/>
        <v>0.86317190020149226</v>
      </c>
      <c r="AR34" s="14">
        <f t="shared" si="133"/>
        <v>0.85659461115956714</v>
      </c>
      <c r="AS34" s="14">
        <f t="shared" si="133"/>
        <v>0.85596701823903032</v>
      </c>
      <c r="AT34" s="14">
        <f t="shared" si="133"/>
        <v>0.84700010560583316</v>
      </c>
      <c r="AU34" s="14">
        <f t="shared" si="133"/>
        <v>0.84645343693503095</v>
      </c>
      <c r="AV34" s="14">
        <f t="shared" ref="AV34:BJ34" si="134">SUM(AV31)/AV33</f>
        <v>0.84320129876404815</v>
      </c>
      <c r="AW34" s="14">
        <f t="shared" si="134"/>
        <v>0.84093615213213246</v>
      </c>
      <c r="AX34" s="23">
        <f t="shared" si="134"/>
        <v>0.83858834708330654</v>
      </c>
      <c r="AY34" s="14">
        <f t="shared" si="134"/>
        <v>0.83565046146611022</v>
      </c>
      <c r="AZ34" s="14">
        <f t="shared" si="134"/>
        <v>0.83486951637815177</v>
      </c>
      <c r="BA34" s="14">
        <f t="shared" si="134"/>
        <v>0.82542898451470537</v>
      </c>
      <c r="BB34" s="14">
        <f t="shared" si="134"/>
        <v>0.82915401874092654</v>
      </c>
      <c r="BC34" s="14">
        <f t="shared" si="134"/>
        <v>0.81882419722638167</v>
      </c>
      <c r="BD34" s="14">
        <f t="shared" si="134"/>
        <v>0.81559393091446619</v>
      </c>
      <c r="BE34" s="14">
        <f t="shared" si="134"/>
        <v>0.81530292730156773</v>
      </c>
      <c r="BF34" s="14">
        <f t="shared" si="134"/>
        <v>0.80670209828823858</v>
      </c>
      <c r="BG34" s="14">
        <f t="shared" si="134"/>
        <v>0.80783444968594442</v>
      </c>
      <c r="BH34" s="14">
        <f t="shared" si="134"/>
        <v>0.79984013517683783</v>
      </c>
      <c r="BI34" s="14">
        <f t="shared" si="134"/>
        <v>0.79953117180709565</v>
      </c>
      <c r="BJ34" s="23">
        <f t="shared" si="134"/>
        <v>0.79928498467824316</v>
      </c>
      <c r="BK34" s="14">
        <f t="shared" ref="BK34:BP34" si="135">SUM(BK31)/BK33</f>
        <v>0.78591014444766361</v>
      </c>
      <c r="BL34" s="14">
        <f t="shared" si="135"/>
        <v>0.78434631591844994</v>
      </c>
      <c r="BM34" s="14">
        <f t="shared" si="135"/>
        <v>0.77679928521546238</v>
      </c>
      <c r="BN34" s="14">
        <f t="shared" si="135"/>
        <v>0.77888091483495858</v>
      </c>
      <c r="BO34" s="14">
        <f t="shared" si="135"/>
        <v>0.7703697957072666</v>
      </c>
      <c r="BP34" s="14">
        <f t="shared" si="135"/>
        <v>0.76949777690632271</v>
      </c>
      <c r="BQ34" s="14">
        <f t="shared" ref="BQ34:CB34" si="136">SUM(BQ31)/BQ33</f>
        <v>0.7625087364753943</v>
      </c>
      <c r="BR34" s="14">
        <f t="shared" si="136"/>
        <v>0.75459150525309404</v>
      </c>
      <c r="BS34" s="14">
        <f t="shared" si="136"/>
        <v>0.75861362705384372</v>
      </c>
      <c r="BT34" s="14">
        <f t="shared" si="136"/>
        <v>0.75034983527441412</v>
      </c>
      <c r="BU34" s="14">
        <f t="shared" si="136"/>
        <v>0.74782233816766885</v>
      </c>
      <c r="BV34" s="23">
        <f t="shared" si="136"/>
        <v>0.74475055432372506</v>
      </c>
      <c r="BW34" s="14">
        <f t="shared" si="136"/>
        <v>0.74140250614305248</v>
      </c>
      <c r="BX34" s="14">
        <f t="shared" si="136"/>
        <v>0.73985845370721792</v>
      </c>
      <c r="BY34" s="14">
        <f t="shared" si="136"/>
        <v>0.73790875652918753</v>
      </c>
      <c r="BZ34" s="14">
        <f t="shared" si="136"/>
        <v>0.73550462269075967</v>
      </c>
      <c r="CA34" s="14">
        <f t="shared" si="136"/>
        <v>0.73272932546213343</v>
      </c>
      <c r="CB34" s="14">
        <f t="shared" si="136"/>
        <v>0.72846250077834451</v>
      </c>
      <c r="CC34" s="14">
        <f>SUM(CC31)/CC33</f>
        <v>0.72487116340584667</v>
      </c>
      <c r="CD34" s="14">
        <f>SUM(CD31)/CD33</f>
        <v>0.72197085977411746</v>
      </c>
      <c r="CE34" s="14">
        <f>SUM(CE31)/CE33</f>
        <v>0.71939078110154608</v>
      </c>
      <c r="CF34" s="14">
        <f t="shared" ref="CF34:CQ34" si="137">SUM(CF31)/CF33</f>
        <v>0.7162134816519331</v>
      </c>
      <c r="CG34" s="14">
        <f t="shared" si="137"/>
        <v>0.7119505972399397</v>
      </c>
      <c r="CH34" s="14">
        <f t="shared" si="137"/>
        <v>0.70785779419537331</v>
      </c>
      <c r="CI34" s="78">
        <f t="shared" si="137"/>
        <v>0.70804764893223926</v>
      </c>
      <c r="CJ34" s="14">
        <f t="shared" si="137"/>
        <v>0.70430727927843062</v>
      </c>
      <c r="CK34" s="14">
        <f t="shared" si="137"/>
        <v>0.70217263861007972</v>
      </c>
      <c r="CL34" s="14">
        <f t="shared" si="137"/>
        <v>0.6997818346104232</v>
      </c>
      <c r="CM34" s="14">
        <f t="shared" si="137"/>
        <v>0.69575878341695652</v>
      </c>
      <c r="CN34" s="14">
        <f t="shared" si="137"/>
        <v>0.69258280764184688</v>
      </c>
      <c r="CO34" s="14">
        <f t="shared" si="137"/>
        <v>0.68901321442950803</v>
      </c>
      <c r="CP34" s="14">
        <f t="shared" si="137"/>
        <v>0.68509813598801061</v>
      </c>
      <c r="CQ34" s="14">
        <f t="shared" si="137"/>
        <v>0.67882170206617543</v>
      </c>
      <c r="CR34" s="14">
        <f t="shared" ref="CR34:FC34" si="138">SUM(CR31)/CR33</f>
        <v>0.67339331852864825</v>
      </c>
      <c r="CS34" s="14">
        <f t="shared" si="138"/>
        <v>0.66929100348965864</v>
      </c>
      <c r="CT34" s="23">
        <f t="shared" si="138"/>
        <v>0.66492478612674466</v>
      </c>
      <c r="CU34" s="14">
        <f t="shared" si="138"/>
        <v>0.6686372796612331</v>
      </c>
      <c r="CV34" s="14">
        <f t="shared" si="138"/>
        <v>0.66041655109500297</v>
      </c>
      <c r="CW34" s="14">
        <f t="shared" si="138"/>
        <v>0.65648604472621908</v>
      </c>
      <c r="CX34" s="14">
        <f t="shared" si="138"/>
        <v>0.65348435519546688</v>
      </c>
      <c r="CY34" s="14">
        <f t="shared" si="138"/>
        <v>0.65065191771682263</v>
      </c>
      <c r="CZ34" s="14">
        <f t="shared" si="138"/>
        <v>0.64703012715071084</v>
      </c>
      <c r="DA34" s="14">
        <f t="shared" si="138"/>
        <v>0.64852418365152265</v>
      </c>
      <c r="DB34" s="14">
        <f t="shared" si="138"/>
        <v>0.64398104143653501</v>
      </c>
      <c r="DC34" s="14">
        <f t="shared" si="138"/>
        <v>0.63824085252160068</v>
      </c>
      <c r="DD34" s="14">
        <f t="shared" si="138"/>
        <v>0.63745159016997588</v>
      </c>
      <c r="DE34" s="14">
        <f t="shared" si="138"/>
        <v>0.63187322237267496</v>
      </c>
      <c r="DF34" s="23">
        <f t="shared" si="138"/>
        <v>0.62490105961955833</v>
      </c>
      <c r="DG34" s="14">
        <f t="shared" si="138"/>
        <v>0.62671444622472794</v>
      </c>
      <c r="DH34" s="14">
        <f t="shared" si="138"/>
        <v>0.61827936287910878</v>
      </c>
      <c r="DI34" s="14">
        <f t="shared" si="138"/>
        <v>0.61560704809500499</v>
      </c>
      <c r="DJ34" s="14">
        <f t="shared" si="138"/>
        <v>0.6151121217697626</v>
      </c>
      <c r="DK34" s="14">
        <f t="shared" si="138"/>
        <v>0.61438729127080582</v>
      </c>
      <c r="DL34" s="14">
        <f t="shared" si="138"/>
        <v>0.60596935669787988</v>
      </c>
      <c r="DM34" s="14">
        <f t="shared" si="138"/>
        <v>0.60627067072364071</v>
      </c>
      <c r="DN34" s="14">
        <f t="shared" si="138"/>
        <v>0.60026296776041299</v>
      </c>
      <c r="DO34" s="14">
        <f t="shared" si="138"/>
        <v>0.59938642549595056</v>
      </c>
      <c r="DP34" s="14">
        <f t="shared" si="138"/>
        <v>0.59597731821214139</v>
      </c>
      <c r="DQ34" s="14">
        <f t="shared" si="138"/>
        <v>0.58896462145017281</v>
      </c>
      <c r="DR34" s="14">
        <f t="shared" si="138"/>
        <v>0.59323090412159984</v>
      </c>
      <c r="DS34" s="14">
        <f t="shared" si="138"/>
        <v>0.59031936470830904</v>
      </c>
      <c r="DT34" s="14">
        <f t="shared" si="138"/>
        <v>0.58374735764968833</v>
      </c>
      <c r="DU34" s="14">
        <f t="shared" si="138"/>
        <v>0.57916080388669122</v>
      </c>
      <c r="DV34" s="14">
        <f t="shared" si="138"/>
        <v>0.57649936353275977</v>
      </c>
      <c r="DW34" s="14">
        <f t="shared" si="138"/>
        <v>0.57164381095873973</v>
      </c>
      <c r="DX34" s="14">
        <f t="shared" si="138"/>
        <v>0.56078580430912039</v>
      </c>
      <c r="DY34" s="14">
        <f t="shared" si="138"/>
        <v>0.55106458315239537</v>
      </c>
      <c r="DZ34" s="14">
        <f t="shared" si="138"/>
        <v>0.54908925196692093</v>
      </c>
      <c r="EA34" s="14">
        <f t="shared" si="138"/>
        <v>0.54668968018374997</v>
      </c>
      <c r="EB34" s="14">
        <f t="shared" si="138"/>
        <v>0.54733621675770439</v>
      </c>
      <c r="EC34" s="14">
        <f t="shared" si="138"/>
        <v>0.54505257883439528</v>
      </c>
      <c r="ED34" s="14">
        <f t="shared" si="138"/>
        <v>0.54326019871816611</v>
      </c>
      <c r="EE34" s="14">
        <f t="shared" si="138"/>
        <v>0.53822221322373176</v>
      </c>
      <c r="EF34" s="14">
        <f t="shared" si="138"/>
        <v>0.53568596620829412</v>
      </c>
      <c r="EG34" s="14">
        <f t="shared" si="138"/>
        <v>0.53301790732720589</v>
      </c>
      <c r="EH34" s="14">
        <f t="shared" si="138"/>
        <v>0.52978998164888191</v>
      </c>
      <c r="EI34" s="14">
        <f t="shared" si="138"/>
        <v>0.52808193059868169</v>
      </c>
      <c r="EJ34" s="14">
        <f t="shared" si="138"/>
        <v>0.52567728185581375</v>
      </c>
      <c r="EK34" s="14">
        <f t="shared" si="138"/>
        <v>0.52436452284430812</v>
      </c>
      <c r="EL34" s="14">
        <f t="shared" si="138"/>
        <v>0.5234452257993627</v>
      </c>
      <c r="EM34" s="14">
        <f t="shared" si="138"/>
        <v>0.5215802081612424</v>
      </c>
      <c r="EN34" s="14">
        <f t="shared" si="138"/>
        <v>0.51828313087451217</v>
      </c>
      <c r="EO34" s="14">
        <f t="shared" si="138"/>
        <v>0.51674782860252233</v>
      </c>
      <c r="EP34" s="14">
        <f t="shared" si="138"/>
        <v>0.5173200393826356</v>
      </c>
      <c r="EQ34" s="14">
        <f t="shared" si="138"/>
        <v>0.51466936771543326</v>
      </c>
      <c r="ER34" s="14">
        <f t="shared" si="138"/>
        <v>0.51650174374096236</v>
      </c>
      <c r="ES34" s="14">
        <f t="shared" si="138"/>
        <v>0.51394108161482122</v>
      </c>
      <c r="ET34" s="14">
        <f t="shared" si="138"/>
        <v>0.50887045576631951</v>
      </c>
      <c r="EU34" s="14">
        <f t="shared" si="138"/>
        <v>0.50741226723247435</v>
      </c>
      <c r="EV34" s="14">
        <f t="shared" si="138"/>
        <v>0.50675897988757201</v>
      </c>
      <c r="EW34" s="14">
        <f t="shared" si="138"/>
        <v>0.50521692149006781</v>
      </c>
      <c r="EX34" s="14">
        <f t="shared" si="138"/>
        <v>0.50384504436048438</v>
      </c>
      <c r="EY34" s="14">
        <f t="shared" si="138"/>
        <v>0.50231373710867511</v>
      </c>
      <c r="EZ34" s="14">
        <f t="shared" si="138"/>
        <v>0.50062846006101003</v>
      </c>
      <c r="FA34" s="14">
        <f t="shared" si="138"/>
        <v>0.49952255992757055</v>
      </c>
      <c r="FB34" s="14">
        <f t="shared" si="138"/>
        <v>0.4981818955068365</v>
      </c>
      <c r="FC34" s="14">
        <f t="shared" si="138"/>
        <v>0.49718163876702021</v>
      </c>
      <c r="FD34" s="14">
        <f>SUM(FD31)/FD33</f>
        <v>0.49560795191863155</v>
      </c>
      <c r="FE34" s="14">
        <f>SUM(FE31)/FE33</f>
        <v>0.49410371469541209</v>
      </c>
      <c r="FF34" s="14">
        <f>SUM(FF31)/FF33</f>
        <v>0.49175072997651226</v>
      </c>
      <c r="FG34" s="14">
        <f>SUM(FG31)/FG33</f>
        <v>0.48856880917933215</v>
      </c>
      <c r="FH34" s="14">
        <f>SUM(FH31)/FH33</f>
        <v>0.48121094654015273</v>
      </c>
      <c r="FI34" s="14">
        <f t="shared" ref="FI34:FT34" si="139">SUM(FI31)/FI33</f>
        <v>0.47808519281548328</v>
      </c>
      <c r="FJ34" s="14">
        <f t="shared" si="139"/>
        <v>0.47694669149741026</v>
      </c>
      <c r="FK34" s="14">
        <f t="shared" si="139"/>
        <v>0.47444925571155727</v>
      </c>
      <c r="FL34" s="14">
        <f t="shared" si="139"/>
        <v>0.46397700705660294</v>
      </c>
      <c r="FM34" s="14">
        <f t="shared" si="139"/>
        <v>0.46161116401623908</v>
      </c>
      <c r="FN34" s="14">
        <f t="shared" si="139"/>
        <v>0.45860551640253283</v>
      </c>
      <c r="FO34" s="14">
        <f t="shared" si="139"/>
        <v>0.45694002693486918</v>
      </c>
      <c r="FP34" s="14">
        <f t="shared" si="139"/>
        <v>0.4548017532658522</v>
      </c>
      <c r="FQ34" s="14">
        <f t="shared" si="139"/>
        <v>0.45330193082352604</v>
      </c>
      <c r="FR34" s="14">
        <f t="shared" si="139"/>
        <v>0.45231972686215616</v>
      </c>
      <c r="FS34" s="14">
        <f t="shared" si="139"/>
        <v>0.44966843596714567</v>
      </c>
      <c r="FT34" s="14">
        <f t="shared" si="139"/>
        <v>0.44803027572535592</v>
      </c>
    </row>
    <row r="35" spans="1:182" ht="13.8" thickBot="1" x14ac:dyDescent="0.3">
      <c r="B35" s="117" t="s">
        <v>11</v>
      </c>
      <c r="C35" s="79">
        <f t="shared" ref="C35:Q35" si="140">SUM(C32/C33)</f>
        <v>9.4561070691488256E-3</v>
      </c>
      <c r="D35" s="15">
        <f t="shared" si="140"/>
        <v>1.2362260385047195E-2</v>
      </c>
      <c r="E35" s="15">
        <f t="shared" si="140"/>
        <v>1.5025488658301158E-2</v>
      </c>
      <c r="F35" s="15">
        <f t="shared" si="140"/>
        <v>1.7639415595207517E-2</v>
      </c>
      <c r="G35" s="15">
        <f t="shared" si="140"/>
        <v>1.9880359227523483E-2</v>
      </c>
      <c r="H35" s="15">
        <f t="shared" si="140"/>
        <v>2.2769610550897337E-2</v>
      </c>
      <c r="I35" s="15">
        <f t="shared" si="140"/>
        <v>2.563092387604134E-2</v>
      </c>
      <c r="J35" s="15">
        <f t="shared" si="140"/>
        <v>3.1277004137129395E-2</v>
      </c>
      <c r="K35" s="15">
        <f t="shared" si="140"/>
        <v>3.4519013084685926E-2</v>
      </c>
      <c r="L35" s="15">
        <f t="shared" si="140"/>
        <v>2.4687023193161434E-2</v>
      </c>
      <c r="M35" s="15">
        <f t="shared" si="140"/>
        <v>2.6249207335430024E-2</v>
      </c>
      <c r="N35" s="15">
        <f t="shared" si="140"/>
        <v>2.8342761635381845E-2</v>
      </c>
      <c r="O35" s="137">
        <f t="shared" si="140"/>
        <v>4.5100436815553098E-2</v>
      </c>
      <c r="P35" s="15">
        <f t="shared" si="140"/>
        <v>4.8234312053133957E-2</v>
      </c>
      <c r="Q35" s="15">
        <f t="shared" si="140"/>
        <v>5.3550819723965665E-2</v>
      </c>
      <c r="R35" s="15">
        <f t="shared" ref="R35:W35" si="141">SUM(R32/R33)</f>
        <v>5.1338311497655081E-2</v>
      </c>
      <c r="S35" s="15">
        <f t="shared" si="141"/>
        <v>5.834754844071207E-2</v>
      </c>
      <c r="T35" s="15">
        <f t="shared" si="141"/>
        <v>6.1749941956815872E-2</v>
      </c>
      <c r="U35" s="15">
        <f t="shared" si="141"/>
        <v>6.6309869375907118E-2</v>
      </c>
      <c r="V35" s="15">
        <f t="shared" si="141"/>
        <v>7.0514007778967797E-2</v>
      </c>
      <c r="W35" s="15">
        <f t="shared" si="141"/>
        <v>7.4234817813765189E-2</v>
      </c>
      <c r="X35" s="15">
        <f t="shared" ref="X35:AC35" si="142">SUM(X32/X33)</f>
        <v>7.7596819596803909E-2</v>
      </c>
      <c r="Y35" s="15">
        <f t="shared" si="142"/>
        <v>7.5816414292788445E-2</v>
      </c>
      <c r="Z35" s="151">
        <f t="shared" si="142"/>
        <v>8.1680299231369977E-2</v>
      </c>
      <c r="AA35" s="137">
        <f t="shared" si="142"/>
        <v>7.9217901296277787E-2</v>
      </c>
      <c r="AB35" s="15">
        <f t="shared" si="142"/>
        <v>8.1029141685948158E-2</v>
      </c>
      <c r="AC35" s="15">
        <f t="shared" si="142"/>
        <v>8.740751575431796E-2</v>
      </c>
      <c r="AD35" s="15">
        <f t="shared" ref="AD35:AI35" si="143">SUM(AD32/AD33)</f>
        <v>8.5908890854474063E-2</v>
      </c>
      <c r="AE35" s="15">
        <f t="shared" si="143"/>
        <v>8.6389310125052202E-2</v>
      </c>
      <c r="AF35" s="15">
        <f t="shared" si="143"/>
        <v>9.235979662340528E-2</v>
      </c>
      <c r="AG35" s="15">
        <f t="shared" si="143"/>
        <v>9.4374245402677109E-2</v>
      </c>
      <c r="AH35" s="15">
        <f t="shared" si="143"/>
        <v>9.9676948952772598E-2</v>
      </c>
      <c r="AI35" s="15">
        <f t="shared" si="143"/>
        <v>0.10259153012106773</v>
      </c>
      <c r="AJ35" s="15">
        <f t="shared" ref="AJ35:AO35" si="144">SUM(AJ32/AJ33)</f>
        <v>0.10748675010020933</v>
      </c>
      <c r="AK35" s="15">
        <f t="shared" si="144"/>
        <v>0.109579914760023</v>
      </c>
      <c r="AL35" s="151">
        <f t="shared" si="144"/>
        <v>0.1122891389005108</v>
      </c>
      <c r="AM35" s="15">
        <f t="shared" si="144"/>
        <v>0.12322461505037613</v>
      </c>
      <c r="AN35" s="15">
        <f t="shared" si="144"/>
        <v>0.12353221911930784</v>
      </c>
      <c r="AO35" s="15">
        <f t="shared" si="144"/>
        <v>0.12971604515908314</v>
      </c>
      <c r="AP35" s="15">
        <f t="shared" ref="AP35:AU35" si="145">SUM(AP32/AP33)</f>
        <v>0.13178976813221316</v>
      </c>
      <c r="AQ35" s="15">
        <f t="shared" si="145"/>
        <v>0.13682809979850771</v>
      </c>
      <c r="AR35" s="15">
        <f t="shared" si="145"/>
        <v>0.1434053888404328</v>
      </c>
      <c r="AS35" s="15">
        <f t="shared" si="145"/>
        <v>0.14403298176096965</v>
      </c>
      <c r="AT35" s="15">
        <f t="shared" si="145"/>
        <v>0.15299989439416689</v>
      </c>
      <c r="AU35" s="15">
        <f t="shared" si="145"/>
        <v>0.15354656306496903</v>
      </c>
      <c r="AV35" s="15">
        <f>SUM(AV32/AV33)</f>
        <v>0.1567987012359518</v>
      </c>
      <c r="AW35" s="15">
        <f>SUM(AW32/AW33)</f>
        <v>0.15906384786786756</v>
      </c>
      <c r="AX35" s="24">
        <f>SUM(AX32/AX33)</f>
        <v>0.16141165291669346</v>
      </c>
      <c r="AY35" s="15">
        <f t="shared" ref="AY35:BG35" si="146">SUM(AY32/AY33)</f>
        <v>0.16434953853388984</v>
      </c>
      <c r="AZ35" s="15">
        <f t="shared" si="146"/>
        <v>0.16513048362184823</v>
      </c>
      <c r="BA35" s="15">
        <f t="shared" si="146"/>
        <v>0.17457101548529469</v>
      </c>
      <c r="BB35" s="15">
        <f t="shared" si="146"/>
        <v>0.17084598125907352</v>
      </c>
      <c r="BC35" s="15">
        <f t="shared" si="146"/>
        <v>0.18117580277361833</v>
      </c>
      <c r="BD35" s="15">
        <f t="shared" si="146"/>
        <v>0.18440606908553375</v>
      </c>
      <c r="BE35" s="15">
        <f t="shared" si="146"/>
        <v>0.18469707269843233</v>
      </c>
      <c r="BF35" s="15">
        <f t="shared" si="146"/>
        <v>0.19329790171176145</v>
      </c>
      <c r="BG35" s="15">
        <f t="shared" si="146"/>
        <v>0.19216555031405561</v>
      </c>
      <c r="BH35" s="15">
        <f t="shared" ref="BH35:BM35" si="147">SUM(BH32/BH33)</f>
        <v>0.2001598648231622</v>
      </c>
      <c r="BI35" s="15">
        <f t="shared" si="147"/>
        <v>0.20046882819290437</v>
      </c>
      <c r="BJ35" s="24">
        <f t="shared" si="147"/>
        <v>0.2007150153217569</v>
      </c>
      <c r="BK35" s="15">
        <f t="shared" si="147"/>
        <v>0.21408985555233642</v>
      </c>
      <c r="BL35" s="15">
        <f t="shared" si="147"/>
        <v>0.21565368408155003</v>
      </c>
      <c r="BM35" s="15">
        <f t="shared" si="147"/>
        <v>0.22320071478453765</v>
      </c>
      <c r="BN35" s="15">
        <f t="shared" ref="BN35:BS35" si="148">SUM(BN32/BN33)</f>
        <v>0.22111908516504147</v>
      </c>
      <c r="BO35" s="15">
        <f t="shared" si="148"/>
        <v>0.2296302042927334</v>
      </c>
      <c r="BP35" s="15">
        <f t="shared" si="148"/>
        <v>0.23050222309367729</v>
      </c>
      <c r="BQ35" s="15">
        <f t="shared" si="148"/>
        <v>0.2374912635246057</v>
      </c>
      <c r="BR35" s="15">
        <f t="shared" si="148"/>
        <v>0.24540849474690599</v>
      </c>
      <c r="BS35" s="15">
        <f t="shared" si="148"/>
        <v>0.24138637294615631</v>
      </c>
      <c r="BT35" s="15">
        <f>SUM(BT32/BT33)</f>
        <v>0.2496501647255859</v>
      </c>
      <c r="BU35" s="15">
        <f>SUM(BU32/BU33)</f>
        <v>0.25217766183233109</v>
      </c>
      <c r="BV35" s="24">
        <f>SUM(BV32/BV33)</f>
        <v>0.25524944567627494</v>
      </c>
      <c r="BW35" s="15">
        <f t="shared" ref="BW35:CB35" si="149">SUM(BW32/BW33)</f>
        <v>0.25859749385694747</v>
      </c>
      <c r="BX35" s="15">
        <f t="shared" si="149"/>
        <v>0.26014154629278202</v>
      </c>
      <c r="BY35" s="15">
        <f t="shared" si="149"/>
        <v>0.26209124347081253</v>
      </c>
      <c r="BZ35" s="15">
        <f t="shared" si="149"/>
        <v>0.26449537730924033</v>
      </c>
      <c r="CA35" s="15">
        <f t="shared" si="149"/>
        <v>0.26727067453786657</v>
      </c>
      <c r="CB35" s="15">
        <f t="shared" si="149"/>
        <v>0.27153749922165554</v>
      </c>
      <c r="CC35" s="15">
        <f>SUM(CC32/CC33)</f>
        <v>0.27512883659415333</v>
      </c>
      <c r="CD35" s="15">
        <f>SUM(CD32/CD33)</f>
        <v>0.27802914022588254</v>
      </c>
      <c r="CE35" s="15">
        <f>SUM(CE32/CE33)</f>
        <v>0.28060921889845392</v>
      </c>
      <c r="CF35" s="15">
        <f t="shared" ref="CF35:CQ35" si="150">SUM(CF32/CF33)</f>
        <v>0.2837865183480669</v>
      </c>
      <c r="CG35" s="15">
        <f t="shared" si="150"/>
        <v>0.2880494027600603</v>
      </c>
      <c r="CH35" s="15">
        <f t="shared" si="150"/>
        <v>0.29214220580462674</v>
      </c>
      <c r="CI35" s="79">
        <f t="shared" si="150"/>
        <v>0.29195235106776074</v>
      </c>
      <c r="CJ35" s="15">
        <f t="shared" si="150"/>
        <v>0.29569272072156938</v>
      </c>
      <c r="CK35" s="15">
        <f t="shared" si="150"/>
        <v>0.29782736138992022</v>
      </c>
      <c r="CL35" s="15">
        <f t="shared" si="150"/>
        <v>0.3002181653895768</v>
      </c>
      <c r="CM35" s="15">
        <f t="shared" si="150"/>
        <v>0.30424121658304348</v>
      </c>
      <c r="CN35" s="15">
        <f t="shared" si="150"/>
        <v>0.30741719235815318</v>
      </c>
      <c r="CO35" s="15">
        <f t="shared" si="150"/>
        <v>0.31098678557049197</v>
      </c>
      <c r="CP35" s="15">
        <f t="shared" si="150"/>
        <v>0.31490186401198939</v>
      </c>
      <c r="CQ35" s="15">
        <f t="shared" si="150"/>
        <v>0.32117829793382457</v>
      </c>
      <c r="CR35" s="15">
        <f t="shared" ref="CR35:FC35" si="151">SUM(CR32/CR33)</f>
        <v>0.32660668147135175</v>
      </c>
      <c r="CS35" s="15">
        <f t="shared" si="151"/>
        <v>0.3307089965103413</v>
      </c>
      <c r="CT35" s="24">
        <f t="shared" si="151"/>
        <v>0.33507521387325534</v>
      </c>
      <c r="CU35" s="15">
        <f t="shared" si="151"/>
        <v>0.33136272033876685</v>
      </c>
      <c r="CV35" s="15">
        <f t="shared" si="151"/>
        <v>0.33958344890499703</v>
      </c>
      <c r="CW35" s="15">
        <f t="shared" si="151"/>
        <v>0.34351395527378092</v>
      </c>
      <c r="CX35" s="15">
        <f t="shared" si="151"/>
        <v>0.34651564480453312</v>
      </c>
      <c r="CY35" s="15">
        <f t="shared" si="151"/>
        <v>0.34934808228317732</v>
      </c>
      <c r="CZ35" s="15">
        <f t="shared" si="151"/>
        <v>0.35296987284928921</v>
      </c>
      <c r="DA35" s="15">
        <f t="shared" si="151"/>
        <v>0.35147581634847735</v>
      </c>
      <c r="DB35" s="15">
        <f t="shared" si="151"/>
        <v>0.35601895856346494</v>
      </c>
      <c r="DC35" s="15">
        <f t="shared" si="151"/>
        <v>0.36175914747839938</v>
      </c>
      <c r="DD35" s="15">
        <f t="shared" si="151"/>
        <v>0.36254840983002412</v>
      </c>
      <c r="DE35" s="15">
        <f t="shared" si="151"/>
        <v>0.3681267776273251</v>
      </c>
      <c r="DF35" s="24">
        <f t="shared" si="151"/>
        <v>0.37509894038044173</v>
      </c>
      <c r="DG35" s="15">
        <f t="shared" si="151"/>
        <v>0.37328555377527206</v>
      </c>
      <c r="DH35" s="15">
        <f t="shared" si="151"/>
        <v>0.38172063712089127</v>
      </c>
      <c r="DI35" s="15">
        <f t="shared" si="151"/>
        <v>0.38439295190499495</v>
      </c>
      <c r="DJ35" s="15">
        <f t="shared" si="151"/>
        <v>0.3848878782302374</v>
      </c>
      <c r="DK35" s="15">
        <f t="shared" si="151"/>
        <v>0.38561270872919423</v>
      </c>
      <c r="DL35" s="15">
        <f t="shared" si="151"/>
        <v>0.39403064330212018</v>
      </c>
      <c r="DM35" s="15">
        <f t="shared" si="151"/>
        <v>0.39372932927635929</v>
      </c>
      <c r="DN35" s="15">
        <f t="shared" si="151"/>
        <v>0.39973703223958706</v>
      </c>
      <c r="DO35" s="15">
        <f t="shared" si="151"/>
        <v>0.40061357450404944</v>
      </c>
      <c r="DP35" s="15">
        <f t="shared" si="151"/>
        <v>0.40402268178785855</v>
      </c>
      <c r="DQ35" s="15">
        <f t="shared" si="151"/>
        <v>0.41103537854982714</v>
      </c>
      <c r="DR35" s="15">
        <f t="shared" si="151"/>
        <v>0.40676909587840016</v>
      </c>
      <c r="DS35" s="15">
        <f t="shared" si="151"/>
        <v>0.40968063529169102</v>
      </c>
      <c r="DT35" s="15">
        <f t="shared" si="151"/>
        <v>0.41625264235031167</v>
      </c>
      <c r="DU35" s="15">
        <f t="shared" si="151"/>
        <v>0.42083919611330872</v>
      </c>
      <c r="DV35" s="15">
        <f t="shared" si="151"/>
        <v>0.42350063646724029</v>
      </c>
      <c r="DW35" s="15">
        <f t="shared" si="151"/>
        <v>0.42835618904126027</v>
      </c>
      <c r="DX35" s="15">
        <f t="shared" si="151"/>
        <v>0.43921419569087961</v>
      </c>
      <c r="DY35" s="15">
        <f t="shared" si="151"/>
        <v>0.44893541684760463</v>
      </c>
      <c r="DZ35" s="15">
        <f t="shared" si="151"/>
        <v>0.45091074803307912</v>
      </c>
      <c r="EA35" s="15">
        <f t="shared" si="151"/>
        <v>0.45331031981625003</v>
      </c>
      <c r="EB35" s="15">
        <f t="shared" si="151"/>
        <v>0.45266378324229561</v>
      </c>
      <c r="EC35" s="15">
        <f t="shared" si="151"/>
        <v>0.45494742116560472</v>
      </c>
      <c r="ED35" s="15">
        <f t="shared" si="151"/>
        <v>0.45673980128183389</v>
      </c>
      <c r="EE35" s="15">
        <f t="shared" si="151"/>
        <v>0.4617777867762683</v>
      </c>
      <c r="EF35" s="15">
        <f t="shared" si="151"/>
        <v>0.46431403379170594</v>
      </c>
      <c r="EG35" s="15">
        <f t="shared" si="151"/>
        <v>0.46698209267279417</v>
      </c>
      <c r="EH35" s="15">
        <f t="shared" si="151"/>
        <v>0.47021001835111809</v>
      </c>
      <c r="EI35" s="15">
        <f t="shared" si="151"/>
        <v>0.47191806940131831</v>
      </c>
      <c r="EJ35" s="15">
        <f t="shared" si="151"/>
        <v>0.47432271814418625</v>
      </c>
      <c r="EK35" s="15">
        <f t="shared" si="151"/>
        <v>0.47563547715569188</v>
      </c>
      <c r="EL35" s="15">
        <f t="shared" si="151"/>
        <v>0.4765547742006373</v>
      </c>
      <c r="EM35" s="15">
        <f t="shared" si="151"/>
        <v>0.47841979183875766</v>
      </c>
      <c r="EN35" s="15">
        <f t="shared" si="151"/>
        <v>0.48171686912548783</v>
      </c>
      <c r="EO35" s="15">
        <f t="shared" si="151"/>
        <v>0.48325217139747767</v>
      </c>
      <c r="EP35" s="15">
        <f t="shared" si="151"/>
        <v>0.4826799606173644</v>
      </c>
      <c r="EQ35" s="15">
        <f t="shared" si="151"/>
        <v>0.48533063228456674</v>
      </c>
      <c r="ER35" s="15">
        <f t="shared" si="151"/>
        <v>0.4834982562590377</v>
      </c>
      <c r="ES35" s="15">
        <f t="shared" si="151"/>
        <v>0.48605891838517878</v>
      </c>
      <c r="ET35" s="15">
        <f t="shared" si="151"/>
        <v>0.49112954423368055</v>
      </c>
      <c r="EU35" s="15">
        <f t="shared" si="151"/>
        <v>0.4925877327675256</v>
      </c>
      <c r="EV35" s="15">
        <f t="shared" si="151"/>
        <v>0.49324102011242799</v>
      </c>
      <c r="EW35" s="15">
        <f t="shared" si="151"/>
        <v>0.49478307850993214</v>
      </c>
      <c r="EX35" s="15">
        <f t="shared" si="151"/>
        <v>0.49615495563951567</v>
      </c>
      <c r="EY35" s="15">
        <f t="shared" si="151"/>
        <v>0.49768626289132489</v>
      </c>
      <c r="EZ35" s="15">
        <f t="shared" si="151"/>
        <v>0.49937153993898997</v>
      </c>
      <c r="FA35" s="15">
        <f t="shared" si="151"/>
        <v>0.50047744007242945</v>
      </c>
      <c r="FB35" s="15">
        <f t="shared" si="151"/>
        <v>0.50181810449316355</v>
      </c>
      <c r="FC35" s="15">
        <f t="shared" si="151"/>
        <v>0.50281836123297985</v>
      </c>
      <c r="FD35" s="15">
        <f>SUM(FD32/FD33)</f>
        <v>0.5043920480813685</v>
      </c>
      <c r="FE35" s="15">
        <f>SUM(FE32/FE33)</f>
        <v>0.50589628530458786</v>
      </c>
      <c r="FF35" s="15">
        <f>SUM(FF32/FF33)</f>
        <v>0.50824927002348774</v>
      </c>
      <c r="FG35" s="15">
        <f>SUM(FG32/FG33)</f>
        <v>0.51143119082066779</v>
      </c>
      <c r="FH35" s="15">
        <f>SUM(FH32/FH33)</f>
        <v>0.51878905345984727</v>
      </c>
      <c r="FI35" s="15">
        <f t="shared" ref="FI35:FT35" si="152">SUM(FI32/FI33)</f>
        <v>0.52191480718451677</v>
      </c>
      <c r="FJ35" s="15">
        <f t="shared" si="152"/>
        <v>0.5230533085025898</v>
      </c>
      <c r="FK35" s="15">
        <f t="shared" si="152"/>
        <v>0.52555074428844273</v>
      </c>
      <c r="FL35" s="15">
        <f t="shared" si="152"/>
        <v>0.53602299294339706</v>
      </c>
      <c r="FM35" s="15">
        <f t="shared" si="152"/>
        <v>0.53838883598376086</v>
      </c>
      <c r="FN35" s="15">
        <f t="shared" si="152"/>
        <v>0.54139448359746722</v>
      </c>
      <c r="FO35" s="15">
        <f t="shared" si="152"/>
        <v>0.54305997306513076</v>
      </c>
      <c r="FP35" s="15">
        <f t="shared" si="152"/>
        <v>0.54519824673414774</v>
      </c>
      <c r="FQ35" s="15">
        <f t="shared" si="152"/>
        <v>0.54669806917647401</v>
      </c>
      <c r="FR35" s="15">
        <f t="shared" si="152"/>
        <v>0.54768027313784384</v>
      </c>
      <c r="FS35" s="15">
        <f t="shared" si="152"/>
        <v>0.55033156403285433</v>
      </c>
      <c r="FT35" s="15">
        <f t="shared" si="152"/>
        <v>0.55196972427464408</v>
      </c>
    </row>
    <row r="36" spans="1:182" x14ac:dyDescent="0.25">
      <c r="A36" s="20"/>
      <c r="B36" s="118"/>
      <c r="C36" s="74"/>
      <c r="D36" s="18"/>
      <c r="E36" s="18"/>
      <c r="F36" s="18"/>
      <c r="G36" s="18"/>
      <c r="H36" s="82"/>
      <c r="I36" s="18"/>
      <c r="J36" s="18"/>
      <c r="K36" s="18"/>
      <c r="L36" s="18"/>
      <c r="M36" s="18"/>
      <c r="N36" s="18"/>
      <c r="O36" s="138"/>
      <c r="P36" s="18"/>
      <c r="Q36" s="18"/>
      <c r="U36" s="18"/>
      <c r="V36" s="18"/>
      <c r="W36" s="18"/>
      <c r="X36" s="18"/>
      <c r="Y36" s="18"/>
      <c r="Z36" s="146"/>
      <c r="AA36" s="13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46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20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20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20"/>
      <c r="BW36" s="18"/>
      <c r="BX36" s="18"/>
      <c r="BY36" s="18"/>
      <c r="BZ36" s="18"/>
      <c r="CA36" s="18"/>
      <c r="CB36" s="18"/>
      <c r="CC36" s="69"/>
      <c r="CD36" s="69"/>
      <c r="CE36" s="69"/>
      <c r="CF36" s="69"/>
      <c r="CG36" s="69"/>
      <c r="CH36" s="69"/>
      <c r="CI36" s="88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8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69"/>
      <c r="DH36" s="69"/>
      <c r="DI36" s="69"/>
      <c r="DJ36" s="69"/>
    </row>
    <row r="37" spans="1:182" x14ac:dyDescent="0.25">
      <c r="A37" s="20"/>
      <c r="B37" s="279" t="s">
        <v>57</v>
      </c>
      <c r="C37" s="74"/>
      <c r="D37" s="18"/>
      <c r="E37" s="18"/>
      <c r="F37" s="18"/>
      <c r="G37" s="18"/>
      <c r="H37" s="82"/>
      <c r="I37" s="18"/>
      <c r="J37" s="18"/>
      <c r="K37" s="18"/>
      <c r="L37" s="18"/>
      <c r="M37" s="18"/>
      <c r="N37" s="18"/>
      <c r="O37" s="138"/>
      <c r="P37" s="18"/>
      <c r="Q37" s="18"/>
      <c r="U37" s="18"/>
      <c r="V37" s="18"/>
      <c r="W37" s="18"/>
      <c r="X37" s="18"/>
      <c r="Y37" s="18"/>
      <c r="Z37" s="146"/>
      <c r="AA37" s="13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46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20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20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20"/>
      <c r="BW37" s="18"/>
      <c r="BX37" s="18"/>
      <c r="BY37" s="18"/>
      <c r="BZ37" s="18"/>
      <c r="CA37" s="18"/>
      <c r="CB37" s="18"/>
      <c r="CC37" s="69"/>
      <c r="CD37" s="69"/>
      <c r="CE37" s="69"/>
      <c r="CF37" s="69"/>
      <c r="CG37" s="69"/>
      <c r="CH37" s="69"/>
      <c r="CI37" s="88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69"/>
      <c r="DH37" s="69"/>
      <c r="DI37" s="69"/>
      <c r="DJ37" s="69"/>
    </row>
    <row r="38" spans="1:182" x14ac:dyDescent="0.25">
      <c r="B38" s="3" t="s">
        <v>1</v>
      </c>
      <c r="C38" s="75">
        <f>SUM(Oncor!C38,Centerpoint!C38,'AEP Central'!C38,TNMP!C38,'AEP North'!C38)</f>
        <v>4822129</v>
      </c>
      <c r="D38" s="16">
        <f>SUM(Oncor!D38,Centerpoint!D38,'AEP Central'!D38,TNMP!D38,'AEP North'!D38)</f>
        <v>4829902</v>
      </c>
      <c r="E38" s="16">
        <f>SUM(Oncor!E38,Centerpoint!E38,'AEP Central'!E38,TNMP!E38,'AEP North'!E38)</f>
        <v>5585958</v>
      </c>
      <c r="F38" s="16">
        <f>SUM(Oncor!F38,Centerpoint!F38,'AEP Central'!F38,TNMP!F38,'AEP North'!F38)</f>
        <v>5590395</v>
      </c>
      <c r="G38" s="16">
        <f>SUM(Oncor!G38,Centerpoint!G38,'AEP Central'!G38,TNMP!G38,'AEP North'!G38)</f>
        <v>5551942</v>
      </c>
      <c r="H38" s="16">
        <f>SUM(Oncor!H38,Centerpoint!H38,'AEP Central'!H38,TNMP!H38,'AEP North'!H38)</f>
        <v>5595444</v>
      </c>
      <c r="I38" s="16">
        <f>SUM(Oncor!I38,Centerpoint!I38,'AEP Central'!I38,TNMP!I38,'AEP North'!I38)</f>
        <v>5584268</v>
      </c>
      <c r="J38" s="16">
        <f>SUM(Oncor!J38,Centerpoint!J38,'AEP Central'!J38,TNMP!J38,'AEP North'!J38)</f>
        <v>5515314</v>
      </c>
      <c r="K38" s="16">
        <f>SUM(Oncor!K38,Centerpoint!K38,'AEP Central'!K38,TNMP!K38,'AEP North'!K38)</f>
        <v>5493739</v>
      </c>
      <c r="L38" s="16">
        <f t="shared" ref="L38:N39" si="153">SUM(L8,L16,L24,L31)</f>
        <v>5393271</v>
      </c>
      <c r="M38" s="16">
        <f t="shared" si="153"/>
        <v>5380645</v>
      </c>
      <c r="N38" s="16">
        <f t="shared" si="153"/>
        <v>5373936</v>
      </c>
      <c r="O38" s="133">
        <f>SUM(Oncor!O38,Centerpoint!O38,'AEP Central'!O38,TNMP!O38,'AEP North'!O38)</f>
        <v>5489061</v>
      </c>
      <c r="P38" s="16">
        <f>SUM(Oncor!P38,Centerpoint!P38,'AEP Central'!P38,TNMP!P38,'AEP North'!P38)</f>
        <v>5389247</v>
      </c>
      <c r="Q38" s="16">
        <f>SUM(Oncor!Q38,Centerpoint!Q38,'AEP Central'!Q38,TNMP!Q38,'AEP North'!Q38)</f>
        <v>5457986</v>
      </c>
      <c r="R38" s="16">
        <f>SUM(Oncor!R38,Centerpoint!R38,'AEP Central'!R38,TNMP!R38,'AEP North'!R38)</f>
        <v>5385072</v>
      </c>
      <c r="S38" s="16">
        <f>SUM(Oncor!S38,Centerpoint!S38,'AEP Central'!S38,TNMP!S38,'AEP North'!S38)</f>
        <v>5366866</v>
      </c>
      <c r="T38" s="16">
        <f>SUM(Oncor!T38,Centerpoint!T38,'AEP Central'!T38,TNMP!T38,'AEP North'!T38)</f>
        <v>5334573</v>
      </c>
      <c r="U38" s="16">
        <f>SUM(Oncor!U38,Centerpoint!U38,'AEP Central'!U38,TNMP!U38,'AEP North'!U38)</f>
        <v>5349691</v>
      </c>
      <c r="V38" s="16">
        <f>SUM(Oncor!V38,Centerpoint!V38,'AEP Central'!V38,TNMP!V38,'AEP North'!V38)</f>
        <v>5283115</v>
      </c>
      <c r="W38" s="16">
        <f>SUM(Oncor!W38,Centerpoint!W38,'AEP Central'!W38,TNMP!W38,'AEP North'!W38)</f>
        <v>5246303</v>
      </c>
      <c r="X38" s="16">
        <f>SUM(Oncor!X38,Centerpoint!X38,'AEP Central'!X38,TNMP!X38,'AEP North'!X38)</f>
        <v>5267617</v>
      </c>
      <c r="Y38" s="16">
        <f>SUM(Oncor!Y38,Centerpoint!Y38,'AEP Central'!Y38,TNMP!Y38,'AEP North'!Y38)</f>
        <v>5026778</v>
      </c>
      <c r="Z38" s="147">
        <f>SUM(Oncor!Z38,Centerpoint!Z38,'AEP Central'!Z38,TNMP!Z38,'AEP North'!Z38)</f>
        <v>5132821</v>
      </c>
      <c r="AA38" s="133">
        <f>SUM(Oncor!AA38,Centerpoint!AA38,'AEP Central'!AA38,TNMP!AA38,'AEP North'!AA38)</f>
        <v>5150497</v>
      </c>
      <c r="AB38" s="16">
        <f>SUM(Oncor!AB38,Centerpoint!AB38,'AEP Central'!AB38,TNMP!AB38,'AEP North'!AB38)</f>
        <v>5105537</v>
      </c>
      <c r="AC38" s="16">
        <f>SUM(Oncor!AC38,Centerpoint!AC38,'AEP Central'!AC38,TNMP!AC38,'AEP North'!AC38)</f>
        <v>5204539</v>
      </c>
      <c r="AD38" s="16">
        <f>SUM(Oncor!AD38,Centerpoint!AD38,'AEP Central'!AD38,TNMP!AD38,'AEP North'!AD38)</f>
        <v>5110287</v>
      </c>
      <c r="AE38" s="16">
        <f>SUM(Oncor!AE38,Centerpoint!AE38,'AEP Central'!AE38,TNMP!AE38,'AEP North'!AE38)</f>
        <v>5051103</v>
      </c>
      <c r="AF38" s="16">
        <f>SUM(Oncor!AF38,Centerpoint!AF38,'AEP Central'!AF38,TNMP!AF38,'AEP North'!AF38)</f>
        <v>5096455</v>
      </c>
      <c r="AG38" s="16">
        <f>SUM(Oncor!AG38,Centerpoint!AG38,'AEP Central'!AG38,TNMP!AG38,'AEP North'!AG38)</f>
        <v>5029217</v>
      </c>
      <c r="AH38" s="16">
        <f>SUM(Oncor!AH38,Centerpoint!AH38,'AEP Central'!AH38,TNMP!AH38,'AEP North'!AH38)</f>
        <v>5038193</v>
      </c>
      <c r="AI38" s="16">
        <f>SUM(Oncor!AI38,Centerpoint!AI38,'AEP Central'!AI38,TNMP!AI38,'AEP North'!AI38)</f>
        <v>4946665</v>
      </c>
      <c r="AJ38" s="16">
        <f>SUM(Oncor!AJ38,Centerpoint!AJ38,'AEP Central'!AJ38,TNMP!AJ38,'AEP North'!AJ38)</f>
        <v>4907622</v>
      </c>
      <c r="AK38" s="16">
        <f>SUM(Oncor!AK38,Centerpoint!AK38,'AEP Central'!AK38,TNMP!AK38,'AEP North'!AK38)</f>
        <v>4844284</v>
      </c>
      <c r="AL38" s="147">
        <f>SUM(Oncor!AL38,Centerpoint!AL38,'AEP Central'!AL38,TNMP!AL38,'AEP North'!AL38)</f>
        <v>4799112</v>
      </c>
      <c r="AM38" s="16">
        <f>SUM(Oncor!AM38,Centerpoint!AM38,'AEP Central'!AM38,TNMP!AM38,'AEP North'!AM38)</f>
        <v>4816078</v>
      </c>
      <c r="AN38" s="16">
        <f>SUM(Oncor!AN38,Centerpoint!AN38,'AEP Central'!AN38,TNMP!AN38,'AEP North'!AN38)</f>
        <v>4717057</v>
      </c>
      <c r="AO38" s="16">
        <f>SUM(Oncor!AO38,Centerpoint!AO38,'AEP Central'!AO38,TNMP!AO38,'AEP North'!AO38)</f>
        <v>4755897</v>
      </c>
      <c r="AP38" s="16">
        <f>SUM(Oncor!AP38,Centerpoint!AP38,'AEP Central'!AP38,TNMP!AP38,'AEP North'!AP38)</f>
        <v>4690428</v>
      </c>
      <c r="AQ38" s="16">
        <f>SUM(Oncor!AQ38,Centerpoint!AQ38,'AEP Central'!AQ38,TNMP!AQ38,'AEP North'!AQ38)</f>
        <v>4662988</v>
      </c>
      <c r="AR38" s="16">
        <f>SUM(Oncor!AR38,Centerpoint!AR38,'AEP Central'!AR38,TNMP!AR38,'AEP North'!AR38)</f>
        <v>4638683</v>
      </c>
      <c r="AS38" s="16">
        <f>SUM(Oncor!AS38,Centerpoint!AS38,'AEP Central'!AS38,TNMP!AS38,'AEP North'!AS38)</f>
        <v>4572481</v>
      </c>
      <c r="AT38" s="16">
        <f>SUM(Oncor!AT38,Centerpoint!AT38,'AEP Central'!AT38,TNMP!AT38,'AEP North'!AT38)</f>
        <v>4618552</v>
      </c>
      <c r="AU38" s="16">
        <f>SUM(Oncor!AU38,Centerpoint!AU38,'AEP Central'!AU38,TNMP!AU38,'AEP North'!AU38)</f>
        <v>4507277</v>
      </c>
      <c r="AV38" s="16">
        <f>SUM(Oncor!AV38,Centerpoint!AV38,'AEP Central'!AV38,TNMP!AV38,'AEP North'!AV38)</f>
        <v>4456299</v>
      </c>
      <c r="AW38" s="16">
        <f>SUM(Oncor!AW38,Centerpoint!AW38,'AEP Central'!AW38,TNMP!AW38,'AEP North'!AW38)</f>
        <v>4389541</v>
      </c>
      <c r="AX38" s="21">
        <f>SUM(Oncor!AX38,Centerpoint!AX38,'AEP Central'!AX38,TNMP!AX38,'AEP North'!AX38)</f>
        <v>4375469</v>
      </c>
      <c r="AY38" s="16">
        <f>SUM(Oncor!AY38,Centerpoint!AY38,'AEP Central'!AY38,TNMP!AY38,'AEP North'!AY38)</f>
        <v>4395049</v>
      </c>
      <c r="AZ38" s="16">
        <f>SUM(Oncor!AZ38,Centerpoint!AZ38,'AEP Central'!AZ38,TNMP!AZ38,'AEP North'!AZ38)</f>
        <v>4344129</v>
      </c>
      <c r="BA38" s="16">
        <f>SUM(Oncor!BA38,Centerpoint!BA38,'AEP Central'!BA38,TNMP!BA38,'AEP North'!BA38)</f>
        <v>4430543</v>
      </c>
      <c r="BB38" s="16">
        <f>SUM(Oncor!BB38,Centerpoint!BB38,'AEP Central'!BB38,TNMP!BB38,'AEP North'!BB38)</f>
        <v>4305573</v>
      </c>
      <c r="BC38" s="16">
        <f>SUM(Oncor!BC38,Centerpoint!BC38,'AEP Central'!BC38,TNMP!BC38,'AEP North'!BC38)</f>
        <v>4345677</v>
      </c>
      <c r="BD38" s="16">
        <f>SUM(Oncor!BD38,Centerpoint!BD38,'AEP Central'!BD38,TNMP!BD38,'AEP North'!BD38)</f>
        <v>4306554</v>
      </c>
      <c r="BE38" s="16">
        <f>SUM(Oncor!BE38,Centerpoint!BE38,'AEP Central'!BE38,TNMP!BE38,'AEP North'!BE38)</f>
        <v>4202428</v>
      </c>
      <c r="BF38" s="16">
        <f>SUM(Oncor!BF38,Centerpoint!BF38,'AEP Central'!BF38,TNMP!BF38,'AEP North'!BF38)</f>
        <v>4247598</v>
      </c>
      <c r="BG38" s="16">
        <f>SUM(Oncor!BG38,Centerpoint!BG38,'AEP Central'!BG38,TNMP!BG38,'AEP North'!BG38)</f>
        <v>4121667</v>
      </c>
      <c r="BH38" s="16">
        <f>SUM(Oncor!BH38,Centerpoint!BH38,'AEP Central'!BH38,TNMP!BH38,'AEP North'!BH38)</f>
        <v>4121162</v>
      </c>
      <c r="BI38" s="16">
        <f>SUM(Oncor!BI38,Centerpoint!BI38,'AEP Central'!BI38,TNMP!BI38,'AEP North'!BI38)</f>
        <v>4018992</v>
      </c>
      <c r="BJ38" s="21">
        <f>SUM(Oncor!BJ38,Centerpoint!BJ38,'AEP Central'!BJ38,TNMP!BJ38,'AEP North'!BJ38)</f>
        <v>3950159</v>
      </c>
      <c r="BK38" s="16">
        <f>SUM(Oncor!BK38,Centerpoint!BK38,'AEP Central'!BK38,TNMP!BK38,'AEP North'!BK38)</f>
        <v>3977432</v>
      </c>
      <c r="BL38" s="16">
        <f>SUM(Oncor!BL38,Centerpoint!BL38,'AEP Central'!BL38,TNMP!BL38,'AEP North'!BL38)</f>
        <v>3919715</v>
      </c>
      <c r="BM38" s="16">
        <f>SUM(Oncor!BM38,Centerpoint!BM38,'AEP Central'!BM38,TNMP!BM38,'AEP North'!BM38)</f>
        <v>3950142</v>
      </c>
      <c r="BN38" s="16">
        <f>SUM(Oncor!BN38,Centerpoint!BN38,'AEP Central'!BN38,TNMP!BN38,'AEP North'!BN38)</f>
        <v>3866115</v>
      </c>
      <c r="BO38" s="16">
        <f>SUM(Oncor!BO38,Centerpoint!BO38,'AEP Central'!BO38,TNMP!BO38,'AEP North'!BO38)</f>
        <v>3894595</v>
      </c>
      <c r="BP38" s="16">
        <f>SUM(Oncor!BP38,Centerpoint!BP38,'AEP Central'!BP38,TNMP!BP38,'AEP North'!BP38)</f>
        <v>3848168</v>
      </c>
      <c r="BQ38" s="16">
        <f>SUM(Oncor!BQ38,Centerpoint!BQ38,'AEP Central'!BQ38,TNMP!BQ38,'AEP North'!BQ38)</f>
        <v>3821704</v>
      </c>
      <c r="BR38" s="16">
        <f>SUM(Oncor!BR38,Centerpoint!BR38,'AEP Central'!BR38,TNMP!BR38,'AEP North'!BR38)</f>
        <v>3853831</v>
      </c>
      <c r="BS38" s="16">
        <f>SUM(Oncor!BS38,Centerpoint!BS38,'AEP Central'!BS38,TNMP!BS38,'AEP North'!BS38)</f>
        <v>3726270</v>
      </c>
      <c r="BT38" s="16">
        <f>SUM(Oncor!BT38,Centerpoint!BT38,'AEP Central'!BT38,TNMP!BT38,'AEP North'!BT38)</f>
        <v>3758102</v>
      </c>
      <c r="BU38" s="16">
        <f>SUM(Oncor!BU38,Centerpoint!BU38,'AEP Central'!BU38,TNMP!BU38,'AEP North'!BU38)</f>
        <v>3726356</v>
      </c>
      <c r="BV38" s="21">
        <f>SUM(Oncor!BV38,Centerpoint!BV38,'AEP Central'!BV38,TNMP!BV38,'AEP North'!BV38)</f>
        <v>3713527</v>
      </c>
      <c r="BW38" s="16">
        <f>SUM(Oncor!BW38,Centerpoint!BW38,'AEP Central'!BW38,TNMP!BW38,'AEP North'!BW38)</f>
        <v>3694889</v>
      </c>
      <c r="BX38" s="16">
        <f>SUM(Oncor!BX38,Centerpoint!BX38,'AEP Central'!BX38,TNMP!BX38,'AEP North'!BX38)</f>
        <v>3677276</v>
      </c>
      <c r="BY38" s="16">
        <f>SUM(Oncor!BY38,Centerpoint!BY38,'AEP Central'!BY38,TNMP!BY38,'AEP North'!BY38)</f>
        <v>3660972</v>
      </c>
      <c r="BZ38" s="16">
        <f>SUM(Oncor!BZ38,Centerpoint!BZ38,'AEP Central'!BZ38,TNMP!BZ38,'AEP North'!BZ38)</f>
        <v>3638693</v>
      </c>
      <c r="CA38" s="16">
        <f>SUM(Oncor!CA38,Centerpoint!CA38,'AEP Central'!CA38,TNMP!CA38,'AEP North'!CA38)</f>
        <v>3622151</v>
      </c>
      <c r="CB38" s="16">
        <f>SUM(Oncor!CB38,Centerpoint!CB38,'AEP Central'!CB38,TNMP!CB38,'AEP North'!CB38)</f>
        <v>3612157</v>
      </c>
      <c r="CC38" s="69">
        <f>SUM(Oncor!CC38,Centerpoint!CC38,'AEP Central'!CC38,TNMP!CC38,'AEP North'!CC38)</f>
        <v>3606851</v>
      </c>
      <c r="CD38" s="69">
        <f>SUM(Oncor!CD38,Centerpoint!CD38,'AEP Central'!CD38,TNMP!CD38,'AEP North'!CD38)</f>
        <v>3597417</v>
      </c>
      <c r="CE38" s="69">
        <f>SUM(Oncor!CE38,Centerpoint!CE38,'AEP Central'!CE38,TNMP!CE38,'AEP North'!CE38)</f>
        <v>3573298</v>
      </c>
      <c r="CF38" s="69">
        <f>SUM(Oncor!CF38,Centerpoint!CF38,'AEP Central'!CF38,TNMP!CF38,'AEP North'!CF38)</f>
        <v>3541332</v>
      </c>
      <c r="CG38" s="69">
        <f>SUM(Oncor!CG38,Centerpoint!CG38,'AEP Central'!CG38,TNMP!CG38,'AEP North'!CG38)</f>
        <v>3496355</v>
      </c>
      <c r="CH38" s="69">
        <f>SUM(Oncor!CH38,Centerpoint!CH38,'AEP Central'!CH38,TNMP!CH38,'AEP North'!CH38)</f>
        <v>3507572</v>
      </c>
      <c r="CI38" s="88">
        <f>SUM(Oncor!CI38,Centerpoint!CI38,'AEP Central'!CI38,TNMP!CI38,'AEP North'!CI38)</f>
        <v>3499047</v>
      </c>
      <c r="CJ38" s="69">
        <f>SUM(Oncor!CJ38,Centerpoint!CJ38,'AEP Central'!CJ38,TNMP!CJ38,'AEP North'!CJ38)</f>
        <v>3484958</v>
      </c>
      <c r="CK38" s="69">
        <f>SUM(Oncor!CK38,Centerpoint!CK38,'AEP Central'!CK38,TNMP!CK38,'AEP North'!CK38)</f>
        <v>3474795</v>
      </c>
      <c r="CL38" s="69">
        <f>SUM(Oncor!CL38,Centerpoint!CL38,'AEP Central'!CL38,TNMP!CL38,'AEP North'!CL38)</f>
        <v>3457418</v>
      </c>
      <c r="CM38" s="69">
        <f>SUM(Oncor!CM38,Centerpoint!CM38,'AEP Central'!CM38,TNMP!CM38,'AEP North'!CM38)</f>
        <v>3437700</v>
      </c>
      <c r="CN38" s="69">
        <f>SUM(Oncor!CN38,Centerpoint!CN38,'AEP Central'!CN38,TNMP!CN38,'AEP North'!CN38)</f>
        <v>3418658</v>
      </c>
      <c r="CO38" s="69">
        <f>SUM(Oncor!CO38,Centerpoint!CO38,'AEP Central'!CO38,TNMP!CO38,'AEP North'!CO38)</f>
        <v>3394522</v>
      </c>
      <c r="CP38" s="69">
        <f>SUM(Oncor!CP38,Centerpoint!CP38,'AEP Central'!CP38,TNMP!CP38,'AEP North'!CP38)</f>
        <v>3367610</v>
      </c>
      <c r="CQ38" s="69">
        <f>SUM(Oncor!CQ38,Centerpoint!CQ38,'AEP Central'!CQ38,TNMP!CQ38,'AEP North'!CQ38)</f>
        <v>3336495</v>
      </c>
      <c r="CR38" s="69">
        <f>SUM(Oncor!CR38,Centerpoint!CR38,'AEP Central'!CR38,TNMP!CR38,'AEP North'!CR38)</f>
        <v>3299235</v>
      </c>
      <c r="CS38" s="69">
        <f>SUM(Oncor!CS38,Centerpoint!CS38,'AEP Central'!CS38,TNMP!CS38,'AEP North'!CS38)</f>
        <v>3272936</v>
      </c>
      <c r="CT38" s="89">
        <f>SUM(Oncor!CT38,Centerpoint!CT38,'AEP Central'!CT38,TNMP!CT38,'AEP North'!CT38)</f>
        <v>3250488</v>
      </c>
      <c r="CU38" s="69">
        <f>SUM(Oncor!CU38,Centerpoint!CU38,'AEP Central'!CU38,TNMP!CU38,'AEP North'!CU38)</f>
        <v>3203131</v>
      </c>
      <c r="CV38" s="69">
        <f>SUM(Oncor!CV38,Centerpoint!CV38,'AEP Central'!CV38,TNMP!CV38,'AEP North'!CV38)</f>
        <v>3214727</v>
      </c>
      <c r="CW38" s="69">
        <f>SUM(Oncor!CW38,Centerpoint!CW38,'AEP Central'!CW38,TNMP!CW38,'AEP North'!CW38)</f>
        <v>3193773</v>
      </c>
      <c r="CX38" s="69">
        <f>SUM(Oncor!CX38,Centerpoint!CX38,'AEP Central'!CX38,TNMP!CX38,'AEP North'!CX38)</f>
        <v>3179609</v>
      </c>
      <c r="CY38" s="69">
        <f>SUM(Oncor!CY38,Centerpoint!CY38,'AEP Central'!CY38,TNMP!CY38,'AEP North'!CY38)</f>
        <v>3161010</v>
      </c>
      <c r="CZ38" s="69">
        <f>SUM(Oncor!CZ38,Centerpoint!CZ38,'AEP Central'!CZ38,TNMP!CZ38,'AEP North'!CZ38)</f>
        <v>3141437</v>
      </c>
      <c r="DA38" s="69">
        <f>SUM(Oncor!DA38,Centerpoint!DA38,'AEP Central'!DA38,TNMP!DA38,'AEP North'!DA38)</f>
        <v>3114265</v>
      </c>
      <c r="DB38" s="69">
        <f>SUM(Oncor!DB38,Centerpoint!DB38,'AEP Central'!DB38,TNMP!DB38,'AEP North'!DB38)</f>
        <v>3071555</v>
      </c>
      <c r="DC38" s="69">
        <f>SUM(Oncor!DC38,Centerpoint!DC38,'AEP Central'!DC38,TNMP!DC38,'AEP North'!DC38)</f>
        <v>3062375</v>
      </c>
      <c r="DD38" s="69">
        <f>SUM(Oncor!DD38,Centerpoint!DD38,'AEP Central'!DD38,TNMP!DD38,'AEP North'!DD38)</f>
        <v>3023009</v>
      </c>
      <c r="DE38" s="69">
        <f>SUM(Oncor!DE38,Centerpoint!DE38,'AEP Central'!DE38,TNMP!DE38,'AEP North'!DE38)</f>
        <v>3001406</v>
      </c>
      <c r="DF38" s="89">
        <f>SUM(Oncor!DF38,Centerpoint!DF38,'AEP Central'!DF38,TNMP!DF38,'AEP North'!DF38)</f>
        <v>2992576</v>
      </c>
      <c r="DG38" s="69">
        <f>SUM(Oncor!DG38,Centerpoint!DG38,'AEP Central'!DG38,TNMP!DG38,'AEP North'!DG38)</f>
        <v>2950866</v>
      </c>
      <c r="DH38" s="69">
        <f>SUM(Oncor!DH38,Centerpoint!DH38,'AEP Central'!DH38,TNMP!DH38,'AEP North'!DH38)</f>
        <v>2964275</v>
      </c>
      <c r="DI38" s="69">
        <f>SUM(Oncor!DI38,Centerpoint!DI38,'AEP Central'!DI38,TNMP!DI38,'AEP North'!DI38)</f>
        <v>2948945</v>
      </c>
      <c r="DJ38" s="69">
        <f>SUM(Oncor!DJ38,Centerpoint!DJ38,'AEP Central'!DJ38,TNMP!DJ38,'AEP North'!DJ38)</f>
        <v>2917251</v>
      </c>
      <c r="DK38" s="69">
        <f>SUM(Oncor!DK38,Centerpoint!DK38,'AEP Central'!DK38,TNMP!DK38,'AEP North'!DK38)</f>
        <v>2885108</v>
      </c>
      <c r="DL38" s="69">
        <f>SUM(Oncor!DL38,Centerpoint!DL38,'AEP Central'!DL38,TNMP!DL38,'AEP North'!DL38)</f>
        <v>2901479</v>
      </c>
      <c r="DM38" s="69">
        <f>SUM(Oncor!DM38,Centerpoint!DM38,'AEP Central'!DM38,TNMP!DM38,'AEP North'!DM38)</f>
        <v>2857537</v>
      </c>
      <c r="DN38" s="69">
        <f>SUM(Oncor!DN38,Centerpoint!DN38,'AEP Central'!DN38,TNMP!DN38,'AEP North'!DN38)</f>
        <v>2866281</v>
      </c>
      <c r="DO38" s="69">
        <f>SUM(Oncor!DO38,Centerpoint!DO38,'AEP Central'!DO38,TNMP!DO38,'AEP North'!DO38)</f>
        <v>2831450</v>
      </c>
      <c r="DP38" s="69">
        <f>SUM(Oncor!DP38,Centerpoint!DP38,'AEP Central'!DP38,TNMP!DP38,'AEP North'!DP38)</f>
        <v>2809824</v>
      </c>
      <c r="DQ38" s="69">
        <f>SUM(Oncor!DQ38,Centerpoint!DQ38,'AEP Central'!DQ38,TNMP!DQ38,'AEP North'!DQ38)</f>
        <v>2805278</v>
      </c>
      <c r="DR38" s="69">
        <f>SUM(Oncor!DR38,Centerpoint!DR38,'AEP Central'!DR38,TNMP!DR38,'AEP North'!DR38)</f>
        <v>2763265</v>
      </c>
      <c r="DS38" s="69">
        <f>SUM(Oncor!DS38,Centerpoint!DS38,'AEP Central'!DS38,TNMP!DS38,'AEP North'!DS38)</f>
        <v>2761682</v>
      </c>
      <c r="DT38" s="69">
        <f>SUM(Oncor!DT38,Centerpoint!DT38,'AEP Central'!DT38,TNMP!DT38,'AEP North'!DT38)</f>
        <v>2765948</v>
      </c>
      <c r="DU38" s="69">
        <f>SUM(Oncor!DU38,Centerpoint!DU38,'AEP Central'!DU38,TNMP!DU38,'AEP North'!DU38)</f>
        <v>2768830</v>
      </c>
      <c r="DV38" s="69">
        <f>SUM(Oncor!DV38,Centerpoint!DV38,'AEP Central'!DV38,TNMP!DV38,'AEP North'!DV38)</f>
        <v>2753448</v>
      </c>
      <c r="DW38" s="69">
        <f>SUM(Oncor!DW38,Centerpoint!DW38,'AEP Central'!DW38,TNMP!DW38,'AEP North'!DW38)</f>
        <v>2742121</v>
      </c>
      <c r="DX38" s="69">
        <f>SUM(Oncor!DX38,Centerpoint!DX38,'AEP Central'!DX38,TNMP!DX38,'AEP North'!DX38)</f>
        <v>2721348</v>
      </c>
      <c r="DY38" s="69">
        <f>SUM(Oncor!DY38,Centerpoint!DY38,'AEP Central'!DY38,TNMP!DY38,'AEP North'!DY38)</f>
        <v>2714822</v>
      </c>
      <c r="DZ38" s="69">
        <f>SUM(Oncor!DZ38,Centerpoint!DZ38,'AEP Central'!DZ38,TNMP!DZ38,'AEP North'!DZ38)</f>
        <v>2708765</v>
      </c>
      <c r="EA38" s="69">
        <f>SUM(Oncor!EA38,Centerpoint!EA38,'AEP Central'!EA38,TNMP!EA38,'AEP North'!EA38)</f>
        <v>2700043</v>
      </c>
      <c r="EB38" s="69">
        <f>SUM(Oncor!EB38,Centerpoint!EB38,'AEP Central'!EB38,TNMP!EB38,'AEP North'!EB38)</f>
        <v>2688592</v>
      </c>
      <c r="EC38" s="69">
        <f>SUM(Oncor!EC38,Centerpoint!EC38,'AEP Central'!EC38,TNMP!EC38,'AEP North'!EC38)</f>
        <v>2676544</v>
      </c>
      <c r="ED38" s="69">
        <f>SUM(Oncor!ED38,Centerpoint!ED38,'AEP Central'!ED38,TNMP!ED38,'AEP North'!ED38)</f>
        <v>2668467</v>
      </c>
      <c r="EE38" s="69">
        <f>SUM(Oncor!EE38,Centerpoint!EE38,'AEP Central'!EE38,TNMP!EE38,'AEP North'!EE38)</f>
        <v>2658730</v>
      </c>
      <c r="EF38" s="69">
        <f>SUM(Oncor!EF38,Centerpoint!EF38,'AEP Central'!EF38,TNMP!EF38,'AEP North'!EF38)</f>
        <v>2648180</v>
      </c>
      <c r="EG38" s="69">
        <f>SUM(Oncor!EG38,Centerpoint!EG38,'AEP Central'!EG38,TNMP!EG38,'AEP North'!EG38)</f>
        <v>2636673</v>
      </c>
      <c r="EH38" s="69">
        <f>SUM(Oncor!EH38,Centerpoint!EH38,'AEP Central'!EH38,TNMP!EH38,'AEP North'!EH38)</f>
        <v>2626490</v>
      </c>
      <c r="EI38" s="69">
        <f>SUM(Oncor!EI38,Centerpoint!EI38,'AEP Central'!EI38,TNMP!EI38,'AEP North'!EI38)</f>
        <v>2618401</v>
      </c>
      <c r="EJ38" s="69">
        <f>SUM(Oncor!EJ38,Centerpoint!EJ38,'AEP Central'!EJ38,TNMP!EJ38,'AEP North'!EJ38)</f>
        <v>2610273</v>
      </c>
      <c r="EK38" s="69">
        <f>SUM(Oncor!EK38,Centerpoint!EK38,'AEP Central'!EK38,TNMP!EK38,'AEP North'!EK38)</f>
        <v>2603586</v>
      </c>
      <c r="EL38" s="69">
        <f>SUM(Oncor!EL38,Centerpoint!EL38,'AEP Central'!EL38,TNMP!EL38,'AEP North'!EL38)</f>
        <v>2597302</v>
      </c>
      <c r="EM38" s="69">
        <f>SUM(Oncor!EM38,Centerpoint!EM38,'AEP Central'!EM38,TNMP!EM38,'AEP North'!EM38)</f>
        <v>2589116</v>
      </c>
      <c r="EN38" s="69">
        <f>SUM(Oncor!EN38,Centerpoint!EN38,'AEP Central'!EN38,TNMP!EN38,'AEP North'!EN38)</f>
        <v>2581364</v>
      </c>
      <c r="EO38" s="69">
        <f>SUM(Oncor!EO38,Centerpoint!EO38,'AEP Central'!EO38,TNMP!EO38,'AEP North'!EO38)</f>
        <v>2572645</v>
      </c>
      <c r="EP38" s="69">
        <f>SUM(Oncor!EP38,Centerpoint!EP38,'AEP Central'!EP38,TNMP!EP38,'AEP North'!EP38)</f>
        <v>2566592</v>
      </c>
      <c r="EQ38" s="69">
        <f>SUM(Oncor!EQ38,Centerpoint!EQ38,'AEP Central'!EQ38,TNMP!EQ38,'AEP North'!EQ38)</f>
        <v>2551775</v>
      </c>
      <c r="ER38" s="69">
        <f>SUM(Oncor!ER38,Centerpoint!ER38,'AEP Central'!ER38,TNMP!ER38,'AEP North'!ER38)</f>
        <v>2540931</v>
      </c>
      <c r="ES38" s="69">
        <f>SUM(Oncor!ES38,Centerpoint!ES38,'AEP Central'!ES38,TNMP!ES38,'AEP North'!ES38)</f>
        <v>2528709</v>
      </c>
      <c r="ET38" s="69">
        <f>SUM(Oncor!ET38,Centerpoint!ET38,'AEP Central'!ET38,TNMP!ET38,'AEP North'!ET38)</f>
        <v>2534159</v>
      </c>
      <c r="EU38" s="69">
        <f>SUM(Oncor!EU38,Centerpoint!EU38,'AEP Central'!EU38,TNMP!EU38,'AEP North'!EU38)</f>
        <v>2529336</v>
      </c>
      <c r="EV38" s="69">
        <f>SUM(Oncor!EV38,Centerpoint!EV38,'AEP Central'!EV38,TNMP!EV38,'AEP North'!EV38)</f>
        <v>2524439</v>
      </c>
      <c r="EW38" s="69">
        <f>SUM(Oncor!EW38,Centerpoint!EW38,'AEP Central'!EW38,TNMP!EW38,'AEP North'!EW38)</f>
        <v>2516735</v>
      </c>
      <c r="EX38" s="69">
        <f>SUM(Oncor!EX38,Centerpoint!EX38,'AEP Central'!EX38,TNMP!EX38,'AEP North'!EX38)</f>
        <v>2507004</v>
      </c>
      <c r="EY38" s="69">
        <f>SUM(Oncor!EY38,Centerpoint!EY38,'AEP Central'!EY38,TNMP!EY38,'AEP North'!EY38)</f>
        <v>2497271</v>
      </c>
      <c r="EZ38" s="69">
        <f>SUM(Oncor!EZ38,Centerpoint!EZ38,'AEP Central'!EZ38,TNMP!EZ38,'AEP North'!EZ38)</f>
        <v>2492972</v>
      </c>
      <c r="FA38" s="69">
        <f>SUM(Oncor!FA38,Centerpoint!FA38,'AEP Central'!FA38,TNMP!FA38,'AEP North'!FA38)</f>
        <v>2484155</v>
      </c>
      <c r="FB38" s="69">
        <f>SUM(Oncor!FB38,Centerpoint!FB38,'AEP Central'!FB38,TNMP!FB38,'AEP North'!FB38)</f>
        <v>2476187</v>
      </c>
      <c r="FC38" s="69">
        <f>SUM(Oncor!FC38,Centerpoint!FC38,'AEP Central'!FC38,TNMP!FC38,'AEP North'!FC38)</f>
        <v>2472153</v>
      </c>
      <c r="FD38" s="69">
        <f>SUM(Oncor!FD38,Centerpoint!FD38,'AEP Central'!FD38,TNMP!FD38,'AEP North'!FD38)</f>
        <v>2469850</v>
      </c>
      <c r="FE38" s="69">
        <f>SUM(Oncor!FE38,Centerpoint!FE38,'AEP Central'!FE38,TNMP!FE38,'AEP North'!FE38)</f>
        <v>2462967</v>
      </c>
      <c r="FF38" s="69">
        <f>SUM(Oncor!FF38,Centerpoint!FF38,'AEP Central'!FF38,TNMP!FF38,'AEP North'!FF38)</f>
        <v>2456077</v>
      </c>
      <c r="FG38" s="69">
        <f>SUM(Oncor!FG38,Centerpoint!FG38,'AEP Central'!FG38,TNMP!FG38,'AEP North'!FG38)</f>
        <v>2448329</v>
      </c>
      <c r="FH38" s="69">
        <f>SUM(Oncor!FH38,Centerpoint!FH38,'AEP Central'!FH38,TNMP!FH38,'AEP North'!FH38)</f>
        <v>2439676</v>
      </c>
      <c r="FI38" s="69">
        <f>SUM(Oncor!FI38,Centerpoint!FI38,'AEP Central'!FI38,TNMP!FI38,'AEP North'!FI38)</f>
        <v>2428963</v>
      </c>
      <c r="FJ38" s="69">
        <f>SUM(Oncor!FJ38,Centerpoint!FJ38,'AEP Central'!FJ38,TNMP!FJ38,'AEP North'!FJ38)</f>
        <v>2417610</v>
      </c>
      <c r="FK38" s="69">
        <f>SUM(Oncor!FK38,Centerpoint!FK38,'AEP Central'!FK38,TNMP!FK38,'AEP North'!FK38)</f>
        <v>2405901</v>
      </c>
      <c r="FL38" s="69">
        <f>SUM(Oncor!FL38,Centerpoint!FL38,'AEP Central'!FL38,TNMP!FL38,'AEP North'!FL38,[1]TNMP!FL38,'Sharyland Utilities LP McAllen'!FL38)</f>
        <v>2435141</v>
      </c>
      <c r="FM38" s="69">
        <f>SUM(Oncor!FM38,Centerpoint!FM38,'AEP Central'!FM38,TNMP!FM38,'AEP North'!FM38,[1]TNMP!FM38,'Sharyland Utilities LP McAllen'!FM38)</f>
        <v>2426372</v>
      </c>
      <c r="FN38" s="69">
        <f>SUM(Oncor!FN38,Centerpoint!FN38,'AEP Central'!FN38,TNMP!FN38,'AEP North'!FN38,[1]TNMP!FN38,'Sharyland Utilities LP McAllen'!FN38)</f>
        <v>2420356</v>
      </c>
      <c r="FO38" s="69">
        <f>SUM(Oncor!FO38,Centerpoint!FO38,'AEP Central'!FO38,TNMP!FO38,'AEP North'!FO38,[1]TNMP!FO38,'Sharyland Utilities LP McAllen'!FO38)</f>
        <v>2416544</v>
      </c>
      <c r="FP38" s="69">
        <f>SUM(Oncor!FP38,Centerpoint!FP38,'AEP Central'!FP38,TNMP!FP38,'AEP North'!FP38,[1]TNMP!FP38,'Sharyland Utilities LP McAllen'!FP38)</f>
        <v>2405948</v>
      </c>
      <c r="FQ38" s="69">
        <f>SUM(Oncor!FQ38,Centerpoint!FQ38,'AEP Central'!FQ38,TNMP!FQ38,'AEP North'!FQ38,[1]TNMP!FQ38,'Sharyland Utilities LP McAllen'!FQ38)</f>
        <v>2397670</v>
      </c>
      <c r="FR38" s="69">
        <f>SUM(Oncor!FR38,Centerpoint!FR38,'AEP Central'!FR38,TNMP!FR38,'AEP North'!FR38,[1]TNMP!FR38,'Sharyland Utilities LP McAllen'!FR38)</f>
        <v>2390690</v>
      </c>
      <c r="FS38" s="69">
        <f>SUM(Oncor!FS38,Centerpoint!FS38,'AEP Central'!FS38,TNMP!FS38,'AEP North'!FS38,[1]TNMP!FS38,'Sharyland Utilities LP McAllen'!FS38)</f>
        <v>2385202</v>
      </c>
      <c r="FT38" s="69">
        <f>SUM(Oncor!FT38,Centerpoint!FT38,'AEP Central'!FT38,TNMP!FT38,'AEP North'!FT38,[1]TNMP!FT38,'Sharyland Utilities LP McAllen'!FT38)</f>
        <v>2381071</v>
      </c>
    </row>
    <row r="39" spans="1:182" ht="13.8" thickBot="1" x14ac:dyDescent="0.3">
      <c r="B39" s="5" t="s">
        <v>8</v>
      </c>
      <c r="C39" s="76">
        <f>SUM(Oncor!C39,Centerpoint!C39,'AEP Central'!C39,TNMP!C39,'AEP North'!C39)</f>
        <v>82419</v>
      </c>
      <c r="D39" s="17">
        <f>SUM(Oncor!D39,Centerpoint!D39,'AEP Central'!D39,TNMP!D39,'AEP North'!D39)</f>
        <v>123509</v>
      </c>
      <c r="E39" s="17">
        <f>SUM(Oncor!E39,Centerpoint!E39,'AEP Central'!E39,TNMP!E39,'AEP North'!E39)</f>
        <v>146252</v>
      </c>
      <c r="F39" s="17">
        <f>SUM(Oncor!F39,Centerpoint!F39,'AEP Central'!F39,TNMP!F39,'AEP North'!F39)</f>
        <v>158211</v>
      </c>
      <c r="G39" s="17">
        <f>SUM(Oncor!G39,Centerpoint!G39,'AEP Central'!G39,TNMP!G39,'AEP North'!G39)</f>
        <v>193062</v>
      </c>
      <c r="H39" s="17">
        <f>SUM(Oncor!H39,Centerpoint!H39,'AEP Central'!H39,TNMP!H39,'AEP North'!H39)</f>
        <v>240378</v>
      </c>
      <c r="I39" s="17">
        <f>SUM(Oncor!I39,Centerpoint!I39,'AEP Central'!I39,TNMP!I39,'AEP North'!I39)</f>
        <v>224745</v>
      </c>
      <c r="J39" s="17">
        <f>SUM(Oncor!J39,Centerpoint!J39,'AEP Central'!J39,TNMP!J39,'AEP North'!J39)</f>
        <v>377298</v>
      </c>
      <c r="K39" s="17">
        <f>SUM(Oncor!K39,Centerpoint!K39,'AEP Central'!K39,TNMP!K39,'AEP North'!K39)</f>
        <v>401447</v>
      </c>
      <c r="L39" s="17">
        <f t="shared" si="153"/>
        <v>418357</v>
      </c>
      <c r="M39" s="17">
        <f t="shared" si="153"/>
        <v>433586</v>
      </c>
      <c r="N39" s="17">
        <f t="shared" si="153"/>
        <v>453740</v>
      </c>
      <c r="O39" s="134">
        <f>SUM(Oncor!O39,Centerpoint!O39,'AEP Central'!O39,TNMP!O39,'AEP North'!O39)</f>
        <v>484687</v>
      </c>
      <c r="P39" s="17">
        <f>SUM(Oncor!P39,Centerpoint!P39,'AEP Central'!P39,TNMP!P39,'AEP North'!P39)</f>
        <v>503146</v>
      </c>
      <c r="Q39" s="17">
        <f>SUM(Oncor!Q39,Centerpoint!Q39,'AEP Central'!Q39,TNMP!Q39,'AEP North'!Q39)</f>
        <v>537616</v>
      </c>
      <c r="R39" s="17">
        <f>SUM(Oncor!R39,Centerpoint!R39,'AEP Central'!R39,TNMP!R39,'AEP North'!R39)</f>
        <v>562549</v>
      </c>
      <c r="S39" s="17">
        <f>SUM(Oncor!S39,Centerpoint!S39,'AEP Central'!S39,TNMP!S39,'AEP North'!S39)</f>
        <v>591852</v>
      </c>
      <c r="T39" s="17">
        <f>SUM(Oncor!T39,Centerpoint!T39,'AEP Central'!T39,TNMP!T39,'AEP North'!T39)</f>
        <v>626023</v>
      </c>
      <c r="U39" s="17">
        <f>SUM(Oncor!U39,Centerpoint!U39,'AEP Central'!U39,TNMP!U39,'AEP North'!U39)</f>
        <v>669559</v>
      </c>
      <c r="V39" s="17">
        <f>SUM(Oncor!V39,Centerpoint!V39,'AEP Central'!V39,TNMP!V39,'AEP North'!V39)</f>
        <v>702419</v>
      </c>
      <c r="W39" s="17">
        <f>SUM(Oncor!W39,Centerpoint!W39,'AEP Central'!W39,TNMP!W39,'AEP North'!W39)</f>
        <v>748347</v>
      </c>
      <c r="X39" s="17">
        <f>SUM(Oncor!X39,Centerpoint!X39,'AEP Central'!X39,TNMP!X39,'AEP North'!X39)</f>
        <v>810086</v>
      </c>
      <c r="Y39" s="17">
        <f>SUM(Oncor!Y39,Centerpoint!Y39,'AEP Central'!Y39,TNMP!Y39,'AEP North'!Y39)</f>
        <v>805786</v>
      </c>
      <c r="Z39" s="148">
        <f>SUM(Oncor!Z39,Centerpoint!Z39,'AEP Central'!Z39,TNMP!Z39,'AEP North'!Z39)</f>
        <v>869716</v>
      </c>
      <c r="AA39" s="134">
        <f>SUM(Oncor!AA39,Centerpoint!AA39,'AEP Central'!AA39,TNMP!AA39,'AEP North'!AA39)</f>
        <v>885231</v>
      </c>
      <c r="AB39" s="17">
        <f>SUM(Oncor!AB39,Centerpoint!AB39,'AEP Central'!AB39,TNMP!AB39,'AEP North'!AB39)</f>
        <v>891342</v>
      </c>
      <c r="AC39" s="17">
        <f>SUM(Oncor!AC39,Centerpoint!AC39,'AEP Central'!AC39,TNMP!AC39,'AEP North'!AC39)</f>
        <v>940833</v>
      </c>
      <c r="AD39" s="17">
        <f>SUM(Oncor!AD39,Centerpoint!AD39,'AEP Central'!AD39,TNMP!AD39,'AEP North'!AD39)</f>
        <v>938900</v>
      </c>
      <c r="AE39" s="17">
        <f>SUM(Oncor!AE39,Centerpoint!AE39,'AEP Central'!AE39,TNMP!AE39,'AEP North'!AE39)</f>
        <v>953177</v>
      </c>
      <c r="AF39" s="17">
        <f>SUM(Oncor!AF39,Centerpoint!AF39,'AEP Central'!AF39,TNMP!AF39,'AEP North'!AF39)</f>
        <v>1004258</v>
      </c>
      <c r="AG39" s="17">
        <f>SUM(Oncor!AG39,Centerpoint!AG39,'AEP Central'!AG39,TNMP!AG39,'AEP North'!AG39)</f>
        <v>1038213</v>
      </c>
      <c r="AH39" s="17">
        <f>SUM(Oncor!AH39,Centerpoint!AH39,'AEP Central'!AH39,TNMP!AH39,'AEP North'!AH39)</f>
        <v>1096075</v>
      </c>
      <c r="AI39" s="17">
        <f>SUM(Oncor!AI39,Centerpoint!AI39,'AEP Central'!AI39,TNMP!AI39,'AEP North'!AI39)</f>
        <v>1131120</v>
      </c>
      <c r="AJ39" s="17">
        <f>SUM(Oncor!AJ39,Centerpoint!AJ39,'AEP Central'!AJ39,TNMP!AJ39,'AEP North'!AJ39)</f>
        <v>1174470</v>
      </c>
      <c r="AK39" s="17">
        <f>SUM(Oncor!AK39,Centerpoint!AK39,'AEP Central'!AK39,TNMP!AK39,'AEP North'!AK39)</f>
        <v>1205722</v>
      </c>
      <c r="AL39" s="148">
        <f>SUM(Oncor!AL39,Centerpoint!AL39,'AEP Central'!AL39,TNMP!AL39,'AEP North'!AL39)</f>
        <v>1237387</v>
      </c>
      <c r="AM39" s="17">
        <f>SUM(Oncor!AM39,Centerpoint!AM39,'AEP Central'!AM39,TNMP!AM39,'AEP North'!AM39)</f>
        <v>1294536</v>
      </c>
      <c r="AN39" s="17">
        <f>SUM(Oncor!AN39,Centerpoint!AN39,'AEP Central'!AN39,TNMP!AN39,'AEP North'!AN39)</f>
        <v>1303919</v>
      </c>
      <c r="AO39" s="17">
        <f>SUM(Oncor!AO39,Centerpoint!AO39,'AEP Central'!AO39,TNMP!AO39,'AEP North'!AO39)</f>
        <v>1363564</v>
      </c>
      <c r="AP39" s="17">
        <f>SUM(Oncor!AP39,Centerpoint!AP39,'AEP Central'!AP39,TNMP!AP39,'AEP North'!AP39)</f>
        <v>1397616</v>
      </c>
      <c r="AQ39" s="17">
        <f>SUM(Oncor!AQ39,Centerpoint!AQ39,'AEP Central'!AQ39,TNMP!AQ39,'AEP North'!AQ39)</f>
        <v>1448496</v>
      </c>
      <c r="AR39" s="17">
        <f>SUM(Oncor!AR39,Centerpoint!AR39,'AEP Central'!AR39,TNMP!AR39,'AEP North'!AR39)</f>
        <v>1516618</v>
      </c>
      <c r="AS39" s="17">
        <f>SUM(Oncor!AS39,Centerpoint!AS39,'AEP Central'!AS39,TNMP!AS39,'AEP North'!AS39)</f>
        <v>1561441</v>
      </c>
      <c r="AT39" s="17">
        <f>SUM(Oncor!AT39,Centerpoint!AT39,'AEP Central'!AT39,TNMP!AT39,'AEP North'!AT39)</f>
        <v>1658203</v>
      </c>
      <c r="AU39" s="17">
        <f>SUM(Oncor!AU39,Centerpoint!AU39,'AEP Central'!AU39,TNMP!AU39,'AEP North'!AU39)</f>
        <v>1694176</v>
      </c>
      <c r="AV39" s="17">
        <f>SUM(Oncor!AV39,Centerpoint!AV39,'AEP Central'!AV39,TNMP!AV39,'AEP North'!AV39)</f>
        <v>1738240</v>
      </c>
      <c r="AW39" s="17">
        <f>SUM(Oncor!AW39,Centerpoint!AW39,'AEP Central'!AW39,TNMP!AW39,'AEP North'!AW39)</f>
        <v>1761318</v>
      </c>
      <c r="AX39" s="22">
        <f>SUM(Oncor!AX39,Centerpoint!AX39,'AEP Central'!AX39,TNMP!AX39,'AEP North'!AX39)</f>
        <v>1792941</v>
      </c>
      <c r="AY39" s="17">
        <f>SUM(Oncor!AY39,Centerpoint!AY39,'AEP Central'!AY39,TNMP!AY39,'AEP North'!AY39)</f>
        <v>1833195</v>
      </c>
      <c r="AZ39" s="17">
        <f>SUM(Oncor!AZ39,Centerpoint!AZ39,'AEP Central'!AZ39,TNMP!AZ39,'AEP North'!AZ39)</f>
        <v>1839176</v>
      </c>
      <c r="BA39" s="17">
        <f>SUM(Oncor!BA39,Centerpoint!BA39,'AEP Central'!BA39,TNMP!BA39,'AEP North'!BA39)</f>
        <v>1911432</v>
      </c>
      <c r="BB39" s="17">
        <f>SUM(Oncor!BB39,Centerpoint!BB39,'AEP Central'!BB39,TNMP!BB39,'AEP North'!BB39)</f>
        <v>1894236</v>
      </c>
      <c r="BC39" s="17">
        <f>SUM(Oncor!BC39,Centerpoint!BC39,'AEP Central'!BC39,TNMP!BC39,'AEP North'!BC39)</f>
        <v>1968244</v>
      </c>
      <c r="BD39" s="17">
        <f>SUM(Oncor!BD39,Centerpoint!BD39,'AEP Central'!BD39,TNMP!BD39,'AEP North'!BD39)</f>
        <v>2017682</v>
      </c>
      <c r="BE39" s="17">
        <f>SUM(Oncor!BE39,Centerpoint!BE39,'AEP Central'!BE39,TNMP!BE39,'AEP North'!BE39)</f>
        <v>2038195</v>
      </c>
      <c r="BF39" s="17">
        <f>SUM(Oncor!BF39,Centerpoint!BF39,'AEP Central'!BF39,TNMP!BF39,'AEP North'!BF39)</f>
        <v>2140173</v>
      </c>
      <c r="BG39" s="17">
        <f>SUM(Oncor!BG39,Centerpoint!BG39,'AEP Central'!BG39,TNMP!BG39,'AEP North'!BG39)</f>
        <v>2146110</v>
      </c>
      <c r="BH39" s="17">
        <f>SUM(Oncor!BH39,Centerpoint!BH39,'AEP Central'!BH39,TNMP!BH39,'AEP North'!BH39)</f>
        <v>2229556</v>
      </c>
      <c r="BI39" s="17">
        <f>SUM(Oncor!BI39,Centerpoint!BI39,'AEP Central'!BI39,TNMP!BI39,'AEP North'!BI39)</f>
        <v>2237986</v>
      </c>
      <c r="BJ39" s="22">
        <f>SUM(Oncor!BJ39,Centerpoint!BJ39,'AEP Central'!BJ39,TNMP!BJ39,'AEP North'!BJ39)</f>
        <v>2256911</v>
      </c>
      <c r="BK39" s="17">
        <f>SUM(Oncor!BK39,Centerpoint!BK39,'AEP Central'!BK39,TNMP!BK39,'AEP North'!BK39)</f>
        <v>2338515</v>
      </c>
      <c r="BL39" s="17">
        <f>SUM(Oncor!BL39,Centerpoint!BL39,'AEP Central'!BL39,TNMP!BL39,'AEP North'!BL39)</f>
        <v>2352975</v>
      </c>
      <c r="BM39" s="17">
        <f>SUM(Oncor!BM39,Centerpoint!BM39,'AEP Central'!BM39,TNMP!BM39,'AEP North'!BM39)</f>
        <v>2430629</v>
      </c>
      <c r="BN39" s="17">
        <f>SUM(Oncor!BN39,Centerpoint!BN39,'AEP Central'!BN39,TNMP!BN39,'AEP North'!BN39)</f>
        <v>2431788</v>
      </c>
      <c r="BO39" s="17">
        <f>SUM(Oncor!BO39,Centerpoint!BO39,'AEP Central'!BO39,TNMP!BO39,'AEP North'!BO39)</f>
        <v>2509710</v>
      </c>
      <c r="BP39" s="17">
        <f>SUM(Oncor!BP39,Centerpoint!BP39,'AEP Central'!BP39,TNMP!BP39,'AEP North'!BP39)</f>
        <v>2526047</v>
      </c>
      <c r="BQ39" s="17">
        <f>SUM(Oncor!BQ39,Centerpoint!BQ39,'AEP Central'!BQ39,TNMP!BQ39,'AEP North'!BQ39)</f>
        <v>2559365</v>
      </c>
      <c r="BR39" s="17">
        <f>SUM(Oncor!BR39,Centerpoint!BR39,'AEP Central'!BR39,TNMP!BR39,'AEP North'!BR39)</f>
        <v>2632681</v>
      </c>
      <c r="BS39" s="17">
        <f>SUM(Oncor!BS39,Centerpoint!BS39,'AEP Central'!BS39,TNMP!BS39,'AEP North'!BS39)</f>
        <v>2576148</v>
      </c>
      <c r="BT39" s="17">
        <f>SUM(Oncor!BT39,Centerpoint!BT39,'AEP Central'!BT39,TNMP!BT39,'AEP North'!BT39)</f>
        <v>2656296</v>
      </c>
      <c r="BU39" s="17">
        <f>SUM(Oncor!BU39,Centerpoint!BU39,'AEP Central'!BU39,TNMP!BU39,'AEP North'!BU39)</f>
        <v>2681882</v>
      </c>
      <c r="BV39" s="22">
        <f>SUM(Oncor!BV39,Centerpoint!BV39,'AEP Central'!BV39,TNMP!BV39,'AEP North'!BV39)</f>
        <v>2711749</v>
      </c>
      <c r="BW39" s="17">
        <f>SUM(Oncor!BW39,Centerpoint!BW39,'AEP Central'!BW39,TNMP!BW39,'AEP North'!BW39)</f>
        <v>2734373</v>
      </c>
      <c r="BX39" s="17">
        <f>SUM(Oncor!BX39,Centerpoint!BX39,'AEP Central'!BX39,TNMP!BX39,'AEP North'!BX39)</f>
        <v>2759004</v>
      </c>
      <c r="BY39" s="17">
        <f>SUM(Oncor!BY39,Centerpoint!BY39,'AEP Central'!BY39,TNMP!BY39,'AEP North'!BY39)</f>
        <v>2787609</v>
      </c>
      <c r="BZ39" s="17">
        <f>SUM(Oncor!BZ39,Centerpoint!BZ39,'AEP Central'!BZ39,TNMP!BZ39,'AEP North'!BZ39)</f>
        <v>2819586</v>
      </c>
      <c r="CA39" s="17">
        <f>SUM(Oncor!CA39,Centerpoint!CA39,'AEP Central'!CA39,TNMP!CA39,'AEP North'!CA39)</f>
        <v>2883327</v>
      </c>
      <c r="CB39" s="17">
        <f>SUM(Oncor!CB39,Centerpoint!CB39,'AEP Central'!CB39,TNMP!CB39,'AEP North'!CB39)</f>
        <v>2879242</v>
      </c>
      <c r="CC39" s="92">
        <f>SUM(Oncor!CC39,Centerpoint!CC39,'AEP Central'!CC39,TNMP!CC39,'AEP North'!CC39)</f>
        <v>2887091</v>
      </c>
      <c r="CD39" s="92">
        <f>SUM(Oncor!CD39,Centerpoint!CD39,'AEP Central'!CD39,TNMP!CD39,'AEP North'!CD39)</f>
        <v>2905036</v>
      </c>
      <c r="CE39" s="92">
        <f>SUM(Oncor!CE39,Centerpoint!CE39,'AEP Central'!CE39,TNMP!CE39,'AEP North'!CE39)</f>
        <v>2920523</v>
      </c>
      <c r="CF39" s="92">
        <f>SUM(Oncor!CF39,Centerpoint!CF39,'AEP Central'!CF39,TNMP!CF39,'AEP North'!CF39)</f>
        <v>2925030</v>
      </c>
      <c r="CG39" s="92">
        <f>SUM(Oncor!CG39,Centerpoint!CG39,'AEP Central'!CG39,TNMP!CG39,'AEP North'!CG39)</f>
        <v>2935591</v>
      </c>
      <c r="CH39" s="92">
        <f>SUM(Oncor!CH39,Centerpoint!CH39,'AEP Central'!CH39,TNMP!CH39,'AEP North'!CH39)</f>
        <v>2978833</v>
      </c>
      <c r="CI39" s="91">
        <f>SUM(Oncor!CI39,Centerpoint!CI39,'AEP Central'!CI39,TNMP!CI39,'AEP North'!CI39)</f>
        <v>2991743</v>
      </c>
      <c r="CJ39" s="92">
        <f>SUM(Oncor!CJ39,Centerpoint!CJ39,'AEP Central'!CJ39,TNMP!CJ39,'AEP North'!CJ39)</f>
        <v>3004112</v>
      </c>
      <c r="CK39" s="92">
        <f>SUM(Oncor!CK39,Centerpoint!CK39,'AEP Central'!CK39,TNMP!CK39,'AEP North'!CK39)</f>
        <v>3028459</v>
      </c>
      <c r="CL39" s="92">
        <f>SUM(Oncor!CL39,Centerpoint!CL39,'AEP Central'!CL39,TNMP!CL39,'AEP North'!CL39)</f>
        <v>3055073</v>
      </c>
      <c r="CM39" s="92">
        <f>SUM(Oncor!CM39,Centerpoint!CM39,'AEP Central'!CM39,TNMP!CM39,'AEP North'!CM39)</f>
        <v>3083354</v>
      </c>
      <c r="CN39" s="92">
        <f>SUM(Oncor!CN39,Centerpoint!CN39,'AEP Central'!CN39,TNMP!CN39,'AEP North'!CN39)</f>
        <v>3113093</v>
      </c>
      <c r="CO39" s="92">
        <f>SUM(Oncor!CO39,Centerpoint!CO39,'AEP Central'!CO39,TNMP!CO39,'AEP North'!CO39)</f>
        <v>3141747</v>
      </c>
      <c r="CP39" s="92">
        <f>SUM(Oncor!CP39,Centerpoint!CP39,'AEP Central'!CP39,TNMP!CP39,'AEP North'!CP39)</f>
        <v>3178903</v>
      </c>
      <c r="CQ39" s="92">
        <f>SUM(Oncor!CQ39,Centerpoint!CQ39,'AEP Central'!CQ39,TNMP!CQ39,'AEP North'!CQ39)</f>
        <v>3225977</v>
      </c>
      <c r="CR39" s="92">
        <f>SUM(Oncor!CR39,Centerpoint!CR39,'AEP Central'!CR39,TNMP!CR39,'AEP North'!CR39)</f>
        <v>3254343</v>
      </c>
      <c r="CS39" s="92">
        <f>SUM(Oncor!CS39,Centerpoint!CS39,'AEP Central'!CS39,TNMP!CS39,'AEP North'!CS39)</f>
        <v>3276021</v>
      </c>
      <c r="CT39" s="93">
        <f>SUM(Oncor!CT39,Centerpoint!CT39,'AEP Central'!CT39,TNMP!CT39,'AEP North'!CT39)</f>
        <v>3300169</v>
      </c>
      <c r="CU39" s="92">
        <f>SUM(Oncor!CU39,Centerpoint!CU39,'AEP Central'!CU39,TNMP!CU39,'AEP North'!CU39)</f>
        <v>3265220</v>
      </c>
      <c r="CV39" s="92">
        <f>SUM(Oncor!CV39,Centerpoint!CV39,'AEP Central'!CV39,TNMP!CV39,'AEP North'!CV39)</f>
        <v>3346793</v>
      </c>
      <c r="CW39" s="92">
        <f>SUM(Oncor!CW39,Centerpoint!CW39,'AEP Central'!CW39,TNMP!CW39,'AEP North'!CW39)</f>
        <v>3371129</v>
      </c>
      <c r="CX39" s="92">
        <f>SUM(Oncor!CX39,Centerpoint!CX39,'AEP Central'!CX39,TNMP!CX39,'AEP North'!CX39)</f>
        <v>3398044</v>
      </c>
      <c r="CY39" s="92">
        <f>SUM(Oncor!CY39,Centerpoint!CY39,'AEP Central'!CY39,TNMP!CY39,'AEP North'!CY39)</f>
        <v>3422353</v>
      </c>
      <c r="CZ39" s="92">
        <f>SUM(Oncor!CZ39,Centerpoint!CZ39,'AEP Central'!CZ39,TNMP!CZ39,'AEP North'!CZ39)</f>
        <v>3454065</v>
      </c>
      <c r="DA39" s="92">
        <f>SUM(Oncor!DA39,Centerpoint!DA39,'AEP Central'!DA39,TNMP!DA39,'AEP North'!DA39)</f>
        <v>3483750</v>
      </c>
      <c r="DB39" s="92">
        <f>SUM(Oncor!DB39,Centerpoint!DB39,'AEP Central'!DB39,TNMP!DB39,'AEP North'!DB39)</f>
        <v>3486618</v>
      </c>
      <c r="DC39" s="92">
        <f>SUM(Oncor!DC39,Centerpoint!DC39,'AEP Central'!DC39,TNMP!DC39,'AEP North'!DC39)</f>
        <v>3544761</v>
      </c>
      <c r="DD39" s="92">
        <f>SUM(Oncor!DD39,Centerpoint!DD39,'AEP Central'!DD39,TNMP!DD39,'AEP North'!DD39)</f>
        <v>3534384</v>
      </c>
      <c r="DE39" s="92">
        <f>SUM(Oncor!DE39,Centerpoint!DE39,'AEP Central'!DE39,TNMP!DE39,'AEP North'!DE39)</f>
        <v>3559459</v>
      </c>
      <c r="DF39" s="93">
        <f>SUM(Oncor!DF39,Centerpoint!DF39,'AEP Central'!DF39,TNMP!DF39,'AEP North'!DF39)</f>
        <v>3601976</v>
      </c>
      <c r="DG39" s="92">
        <f>SUM(Oncor!DG39,Centerpoint!DG39,'AEP Central'!DG39,TNMP!DG39,'AEP North'!DG39)</f>
        <v>3569775</v>
      </c>
      <c r="DH39" s="92">
        <f>SUM(Oncor!DH39,Centerpoint!DH39,'AEP Central'!DH39,TNMP!DH39,'AEP North'!DH39)</f>
        <v>3654806</v>
      </c>
      <c r="DI39" s="92">
        <f>SUM(Oncor!DI39,Centerpoint!DI39,'AEP Central'!DI39,TNMP!DI39,'AEP North'!DI39)</f>
        <v>3685511</v>
      </c>
      <c r="DJ39" s="92">
        <f>SUM(Oncor!DJ39,Centerpoint!DJ39,'AEP Central'!DJ39,TNMP!DJ39,'AEP North'!DJ39)</f>
        <v>3684148</v>
      </c>
      <c r="DK39" s="92">
        <f>SUM(Oncor!DK39,Centerpoint!DK39,'AEP Central'!DK39,TNMP!DK39,'AEP North'!DK39)</f>
        <v>3672354</v>
      </c>
      <c r="DL39" s="92">
        <f>SUM(Oncor!DL39,Centerpoint!DL39,'AEP Central'!DL39,TNMP!DL39,'AEP North'!DL39)</f>
        <v>3765493</v>
      </c>
      <c r="DM39" s="92">
        <f>SUM(Oncor!DM39,Centerpoint!DM39,'AEP Central'!DM39,TNMP!DM39,'AEP North'!DM39)</f>
        <v>3764210</v>
      </c>
      <c r="DN39" s="92">
        <f>SUM(Oncor!DN39,Centerpoint!DN39,'AEP Central'!DN39,TNMP!DN39,'AEP North'!DN39)</f>
        <v>3823720</v>
      </c>
      <c r="DO39" s="92">
        <f>SUM(Oncor!DO39,Centerpoint!DO39,'AEP Central'!DO39,TNMP!DO39,'AEP North'!DO39)</f>
        <v>3797364</v>
      </c>
      <c r="DP39" s="92">
        <f>SUM(Oncor!DP39,Centerpoint!DP39,'AEP Central'!DP39,TNMP!DP39,'AEP North'!DP39)</f>
        <v>3802327</v>
      </c>
      <c r="DQ39" s="92">
        <f>SUM(Oncor!DQ39,Centerpoint!DQ39,'AEP Central'!DQ39,TNMP!DQ39,'AEP North'!DQ39)</f>
        <v>3849078</v>
      </c>
      <c r="DR39" s="92">
        <f>SUM(Oncor!DR39,Centerpoint!DR39,'AEP Central'!DR39,TNMP!DR39,'AEP North'!DR39)</f>
        <v>3796188</v>
      </c>
      <c r="DS39" s="92">
        <f>SUM(Oncor!DS39,Centerpoint!DS39,'AEP Central'!DS39,TNMP!DS39,'AEP North'!DS39)</f>
        <v>3840548</v>
      </c>
      <c r="DT39" s="92">
        <f>SUM(Oncor!DT39,Centerpoint!DT39,'AEP Central'!DT39,TNMP!DT39,'AEP North'!DT39)</f>
        <v>3894279</v>
      </c>
      <c r="DU39" s="92">
        <f>SUM(Oncor!DU39,Centerpoint!DU39,'AEP Central'!DU39,TNMP!DU39,'AEP North'!DU39)</f>
        <v>3953298</v>
      </c>
      <c r="DV39" s="92">
        <f>SUM(Oncor!DV39,Centerpoint!DV39,'AEP Central'!DV39,TNMP!DV39,'AEP North'!DV39)</f>
        <v>3976264</v>
      </c>
      <c r="DW39" s="92">
        <f>SUM(Oncor!DW39,Centerpoint!DW39,'AEP Central'!DW39,TNMP!DW39,'AEP North'!DW39)</f>
        <v>4001806</v>
      </c>
      <c r="DX39" s="92">
        <f>SUM(Oncor!DX39,Centerpoint!DX39,'AEP Central'!DX39,TNMP!DX39,'AEP North'!DX39)</f>
        <v>4023979</v>
      </c>
      <c r="DY39" s="92">
        <f>SUM(Oncor!DY39,Centerpoint!DY39,'AEP Central'!DY39,TNMP!DY39,'AEP North'!DY39)</f>
        <v>4062623</v>
      </c>
      <c r="DZ39" s="92">
        <f>SUM(Oncor!DZ39,Centerpoint!DZ39,'AEP Central'!DZ39,TNMP!DZ39,'AEP North'!DZ39)</f>
        <v>4077652</v>
      </c>
      <c r="EA39" s="92">
        <f>SUM(Oncor!EA39,Centerpoint!EA39,'AEP Central'!EA39,TNMP!EA39,'AEP North'!EA39)</f>
        <v>4088398</v>
      </c>
      <c r="EB39" s="92">
        <f>SUM(Oncor!EB39,Centerpoint!EB39,'AEP Central'!EB39,TNMP!EB39,'AEP North'!EB39)</f>
        <v>4094419</v>
      </c>
      <c r="EC39" s="92">
        <f>SUM(Oncor!EC39,Centerpoint!EC39,'AEP Central'!EC39,TNMP!EC39,'AEP North'!EC39)</f>
        <v>4110245</v>
      </c>
      <c r="ED39" s="92">
        <f>SUM(Oncor!ED39,Centerpoint!ED39,'AEP Central'!ED39,TNMP!ED39,'AEP North'!ED39)</f>
        <v>4120538</v>
      </c>
      <c r="EE39" s="92">
        <f>SUM(Oncor!EE39,Centerpoint!EE39,'AEP Central'!EE39,TNMP!EE39,'AEP North'!EE39)</f>
        <v>4142382</v>
      </c>
      <c r="EF39" s="92">
        <f>SUM(Oncor!EF39,Centerpoint!EF39,'AEP Central'!EF39,TNMP!EF39,'AEP North'!EF39)</f>
        <v>4155194</v>
      </c>
      <c r="EG39" s="92">
        <f>SUM(Oncor!EG39,Centerpoint!EG39,'AEP Central'!EG39,TNMP!EG39,'AEP North'!EG39)</f>
        <v>4176100</v>
      </c>
      <c r="EH39" s="92">
        <f>SUM(Oncor!EH39,Centerpoint!EH39,'AEP Central'!EH39,TNMP!EH39,'AEP North'!EH39)</f>
        <v>4202244</v>
      </c>
      <c r="EI39" s="92">
        <f>SUM(Oncor!EI39,Centerpoint!EI39,'AEP Central'!EI39,TNMP!EI39,'AEP North'!EI39)</f>
        <v>4217164</v>
      </c>
      <c r="EJ39" s="92">
        <f>SUM(Oncor!EJ39,Centerpoint!EJ39,'AEP Central'!EJ39,TNMP!EJ39,'AEP North'!EJ39)</f>
        <v>4246700</v>
      </c>
      <c r="EK39" s="92">
        <f>SUM(Oncor!EK39,Centerpoint!EK39,'AEP Central'!EK39,TNMP!EK39,'AEP North'!EK39)</f>
        <v>4268257</v>
      </c>
      <c r="EL39" s="92">
        <f>SUM(Oncor!EL39,Centerpoint!EL39,'AEP Central'!EL39,TNMP!EL39,'AEP North'!EL39)</f>
        <v>4284429</v>
      </c>
      <c r="EM39" s="92">
        <f>SUM(Oncor!EM39,Centerpoint!EM39,'AEP Central'!EM39,TNMP!EM39,'AEP North'!EM39)</f>
        <v>4292492</v>
      </c>
      <c r="EN39" s="92">
        <f>SUM(Oncor!EN39,Centerpoint!EN39,'AEP Central'!EN39,TNMP!EN39,'AEP North'!EN39)</f>
        <v>4300864</v>
      </c>
      <c r="EO39" s="92">
        <f>SUM(Oncor!EO39,Centerpoint!EO39,'AEP Central'!EO39,TNMP!EO39,'AEP North'!EO39)</f>
        <v>4324515</v>
      </c>
      <c r="EP39" s="92">
        <f>SUM(Oncor!EP39,Centerpoint!EP39,'AEP Central'!EP39,TNMP!EP39,'AEP North'!EP39)</f>
        <v>4314504</v>
      </c>
      <c r="EQ39" s="92">
        <f>SUM(Oncor!EQ39,Centerpoint!EQ39,'AEP Central'!EQ39,TNMP!EQ39,'AEP North'!EQ39)</f>
        <v>4293595</v>
      </c>
      <c r="ER39" s="92">
        <f>SUM(Oncor!ER39,Centerpoint!ER39,'AEP Central'!ER39,TNMP!ER39,'AEP North'!ER39)</f>
        <v>4325215</v>
      </c>
      <c r="ES39" s="92">
        <f>SUM(Oncor!ES39,Centerpoint!ES39,'AEP Central'!ES39,TNMP!ES39,'AEP North'!ES39)</f>
        <v>4340994</v>
      </c>
      <c r="ET39" s="92">
        <f>SUM(Oncor!ET39,Centerpoint!ET39,'AEP Central'!ET39,TNMP!ET39,'AEP North'!ET39)</f>
        <v>4399694</v>
      </c>
      <c r="EU39" s="92">
        <f>SUM(Oncor!EU39,Centerpoint!EU39,'AEP Central'!EU39,TNMP!EU39,'AEP North'!EU39)</f>
        <v>4414125</v>
      </c>
      <c r="EV39" s="92">
        <f>SUM(Oncor!EV39,Centerpoint!EV39,'AEP Central'!EV39,TNMP!EV39,'AEP North'!EV39)</f>
        <v>4434931</v>
      </c>
      <c r="EW39" s="92">
        <f>SUM(Oncor!EW39,Centerpoint!EW39,'AEP Central'!EW39,TNMP!EW39,'AEP North'!EW39)</f>
        <v>4462119</v>
      </c>
      <c r="EX39" s="92">
        <f>SUM(Oncor!EX39,Centerpoint!EX39,'AEP Central'!EX39,TNMP!EX39,'AEP North'!EX39)</f>
        <v>4475294</v>
      </c>
      <c r="EY39" s="92">
        <f>SUM(Oncor!EY39,Centerpoint!EY39,'AEP Central'!EY39,TNMP!EY39,'AEP North'!EY39)</f>
        <v>4479828</v>
      </c>
      <c r="EZ39" s="92">
        <f>SUM(Oncor!EZ39,Centerpoint!EZ39,'AEP Central'!EZ39,TNMP!EZ39,'AEP North'!EZ39)</f>
        <v>4501502</v>
      </c>
      <c r="FA39" s="92">
        <f>SUM(Oncor!FA39,Centerpoint!FA39,'AEP Central'!FA39,TNMP!FA39,'AEP North'!FA39)</f>
        <v>4513834</v>
      </c>
      <c r="FB39" s="92">
        <f>SUM(Oncor!FB39,Centerpoint!FB39,'AEP Central'!FB39,TNMP!FB39,'AEP North'!FB39)</f>
        <v>4525536</v>
      </c>
      <c r="FC39" s="92">
        <f>SUM(Oncor!FC39,Centerpoint!FC39,'AEP Central'!FC39,TNMP!FC39,'AEP North'!FC39)</f>
        <v>4537353</v>
      </c>
      <c r="FD39" s="92">
        <f>SUM(Oncor!FD39,Centerpoint!FD39,'AEP Central'!FD39,TNMP!FD39,'AEP North'!FD39)</f>
        <v>4552577</v>
      </c>
      <c r="FE39" s="92">
        <f>SUM(Oncor!FE39,Centerpoint!FE39,'AEP Central'!FE39,TNMP!FE39,'AEP North'!FE39)</f>
        <v>4569250</v>
      </c>
      <c r="FF39" s="92">
        <f>SUM(Oncor!FF39,Centerpoint!FF39,'AEP Central'!FF39,TNMP!FF39,'AEP North'!FF39)</f>
        <v>4592361</v>
      </c>
      <c r="FG39" s="92">
        <f>SUM(Oncor!FG39,Centerpoint!FG39,'AEP Central'!FG39,TNMP!FG39,'AEP North'!FG39)</f>
        <v>4609087</v>
      </c>
      <c r="FH39" s="92">
        <f>SUM(Oncor!FH39,Centerpoint!FH39,'AEP Central'!FH39,TNMP!FH39,'AEP North'!FH39)</f>
        <v>4634283</v>
      </c>
      <c r="FI39" s="92">
        <f>SUM(Oncor!FI39,Centerpoint!FI39,'AEP Central'!FI39,TNMP!FI39,'AEP North'!FI39)</f>
        <v>4661623</v>
      </c>
      <c r="FJ39" s="92">
        <f>SUM(Oncor!FJ39,Centerpoint!FJ39,'AEP Central'!FJ39,TNMP!FJ39,'AEP North'!FJ39)</f>
        <v>4680899</v>
      </c>
      <c r="FK39" s="92">
        <f>SUM(Oncor!FK39,Centerpoint!FK39,'AEP Central'!FK39,TNMP!FK39,'AEP North'!FK39)</f>
        <v>4687960</v>
      </c>
      <c r="FL39" s="92">
        <f>SUM(Oncor!FL39,Centerpoint!FL39,'AEP Central'!FL39,TNMP!FL39,'AEP North'!FL39,'[1]Sharyland Utilities LP '!FL39,'Sharyland Utilities LP McAllen'!FL39)</f>
        <v>4756696</v>
      </c>
      <c r="FM39" s="92">
        <f>SUM(Oncor!FM39,Centerpoint!FM39,'AEP Central'!FM39,TNMP!FM39,'AEP North'!FM39,'[1]Sharyland Utilities LP '!FM39,'Sharyland Utilities LP McAllen'!FM39)</f>
        <v>4763480</v>
      </c>
      <c r="FN39" s="92">
        <f>SUM(Oncor!FN39,Centerpoint!FN39,'AEP Central'!FN39,TNMP!FN39,'AEP North'!FN39,'[1]Sharyland Utilities LP '!FN39,'Sharyland Utilities LP McAllen'!FN39)</f>
        <v>4775699</v>
      </c>
      <c r="FO39" s="92">
        <f>SUM(Oncor!FO39,Centerpoint!FO39,'AEP Central'!FO39,TNMP!FO39,'AEP North'!FO39,'[1]Sharyland Utilities LP '!FO39,'Sharyland Utilities LP McAllen'!FO39)</f>
        <v>4787840</v>
      </c>
      <c r="FP39" s="92">
        <f>SUM(Oncor!FP39,Centerpoint!FP39,'AEP Central'!FP39,TNMP!FP39,'AEP North'!FP39,'[1]Sharyland Utilities LP '!FP39,'Sharyland Utilities LP McAllen'!FP39)</f>
        <v>4818009</v>
      </c>
      <c r="FQ39" s="92">
        <f>SUM(Oncor!FQ39,Centerpoint!FQ39,'AEP Central'!FQ39,TNMP!FQ39,'AEP North'!FQ39,'[1]Sharyland Utilities LP '!FQ39,'Sharyland Utilities LP McAllen'!FQ39)</f>
        <v>4839980</v>
      </c>
      <c r="FR39" s="92">
        <f>SUM(Oncor!FR39,Centerpoint!FR39,'AEP Central'!FR39,TNMP!FR39,'AEP North'!FR39,'[1]Sharyland Utilities LP '!FR39,'Sharyland Utilities LP McAllen'!FR39)</f>
        <v>4858794</v>
      </c>
      <c r="FS39" s="92">
        <f>SUM(Oncor!FS39,Centerpoint!FS39,'AEP Central'!FS39,TNMP!FS39,'AEP North'!FS39,'[1]Sharyland Utilities LP '!FS39,'Sharyland Utilities LP McAllen'!FS39)</f>
        <v>4882061</v>
      </c>
      <c r="FT39" s="92">
        <f>SUM(Oncor!FT39,Centerpoint!FT39,'AEP Central'!FT39,TNMP!FT39,'AEP North'!FT39,'[1]Sharyland Utilities LP '!FT39,'Sharyland Utilities LP McAllen'!FT39)</f>
        <v>4896360</v>
      </c>
    </row>
    <row r="40" spans="1:182" ht="13.8" thickTop="1" x14ac:dyDescent="0.25">
      <c r="B40" s="3" t="s">
        <v>9</v>
      </c>
      <c r="C40" s="77">
        <f t="shared" ref="C40:K40" si="154">SUM(C38:C39)</f>
        <v>4904548</v>
      </c>
      <c r="D40" s="8">
        <f t="shared" si="154"/>
        <v>4953411</v>
      </c>
      <c r="E40" s="8">
        <f t="shared" si="154"/>
        <v>5732210</v>
      </c>
      <c r="F40" s="8">
        <f t="shared" si="154"/>
        <v>5748606</v>
      </c>
      <c r="G40" s="8">
        <f t="shared" si="154"/>
        <v>5745004</v>
      </c>
      <c r="H40" s="8">
        <f t="shared" si="154"/>
        <v>5835822</v>
      </c>
      <c r="I40" s="8">
        <f t="shared" si="154"/>
        <v>5809013</v>
      </c>
      <c r="J40" s="8">
        <f t="shared" si="154"/>
        <v>5892612</v>
      </c>
      <c r="K40" s="8">
        <f t="shared" si="154"/>
        <v>5895186</v>
      </c>
      <c r="L40" s="8">
        <f t="shared" ref="L40:Q40" si="155">SUM(L38:L39)</f>
        <v>5811628</v>
      </c>
      <c r="M40" s="8">
        <f t="shared" si="155"/>
        <v>5814231</v>
      </c>
      <c r="N40" s="80">
        <f t="shared" si="155"/>
        <v>5827676</v>
      </c>
      <c r="O40" s="135">
        <f t="shared" si="155"/>
        <v>5973748</v>
      </c>
      <c r="P40" s="8">
        <f t="shared" si="155"/>
        <v>5892393</v>
      </c>
      <c r="Q40" s="8">
        <f t="shared" si="155"/>
        <v>5995602</v>
      </c>
      <c r="R40" s="8">
        <f t="shared" ref="R40:W40" si="156">SUM(R38:R39)</f>
        <v>5947621</v>
      </c>
      <c r="S40" s="8">
        <f t="shared" si="156"/>
        <v>5958718</v>
      </c>
      <c r="T40" s="8">
        <f t="shared" si="156"/>
        <v>5960596</v>
      </c>
      <c r="U40" s="8">
        <f t="shared" si="156"/>
        <v>6019250</v>
      </c>
      <c r="V40" s="8">
        <f t="shared" si="156"/>
        <v>5985534</v>
      </c>
      <c r="W40" s="8">
        <f t="shared" si="156"/>
        <v>5994650</v>
      </c>
      <c r="X40" s="8">
        <f t="shared" ref="X40:AC40" si="157">SUM(X38:X39)</f>
        <v>6077703</v>
      </c>
      <c r="Y40" s="8">
        <f t="shared" si="157"/>
        <v>5832564</v>
      </c>
      <c r="Z40" s="149">
        <f t="shared" si="157"/>
        <v>6002537</v>
      </c>
      <c r="AA40" s="135">
        <f t="shared" si="157"/>
        <v>6035728</v>
      </c>
      <c r="AB40" s="8">
        <f t="shared" si="157"/>
        <v>5996879</v>
      </c>
      <c r="AC40" s="8">
        <f t="shared" si="157"/>
        <v>6145372</v>
      </c>
      <c r="AD40" s="8">
        <f t="shared" ref="AD40:AI40" si="158">SUM(AD38:AD39)</f>
        <v>6049187</v>
      </c>
      <c r="AE40" s="8">
        <f t="shared" si="158"/>
        <v>6004280</v>
      </c>
      <c r="AF40" s="8">
        <f t="shared" si="158"/>
        <v>6100713</v>
      </c>
      <c r="AG40" s="8">
        <f t="shared" si="158"/>
        <v>6067430</v>
      </c>
      <c r="AH40" s="8">
        <f t="shared" si="158"/>
        <v>6134268</v>
      </c>
      <c r="AI40" s="8">
        <f t="shared" si="158"/>
        <v>6077785</v>
      </c>
      <c r="AJ40" s="8">
        <f t="shared" ref="AJ40:AO40" si="159">SUM(AJ38:AJ39)</f>
        <v>6082092</v>
      </c>
      <c r="AK40" s="8">
        <f t="shared" si="159"/>
        <v>6050006</v>
      </c>
      <c r="AL40" s="149">
        <f t="shared" si="159"/>
        <v>6036499</v>
      </c>
      <c r="AM40" s="8">
        <f t="shared" si="159"/>
        <v>6110614</v>
      </c>
      <c r="AN40" s="8">
        <f t="shared" si="159"/>
        <v>6020976</v>
      </c>
      <c r="AO40" s="8">
        <f t="shared" si="159"/>
        <v>6119461</v>
      </c>
      <c r="AP40" s="8">
        <f t="shared" ref="AP40:AU40" si="160">SUM(AP38:AP39)</f>
        <v>6088044</v>
      </c>
      <c r="AQ40" s="8">
        <f t="shared" si="160"/>
        <v>6111484</v>
      </c>
      <c r="AR40" s="8">
        <f t="shared" si="160"/>
        <v>6155301</v>
      </c>
      <c r="AS40" s="8">
        <f t="shared" si="160"/>
        <v>6133922</v>
      </c>
      <c r="AT40" s="8">
        <f t="shared" si="160"/>
        <v>6276755</v>
      </c>
      <c r="AU40" s="8">
        <f t="shared" si="160"/>
        <v>6201453</v>
      </c>
      <c r="AV40" s="8">
        <f t="shared" ref="AV40:BJ40" si="161">SUM(AV38:AV39)</f>
        <v>6194539</v>
      </c>
      <c r="AW40" s="8">
        <f t="shared" si="161"/>
        <v>6150859</v>
      </c>
      <c r="AX40" s="9">
        <f t="shared" si="161"/>
        <v>6168410</v>
      </c>
      <c r="AY40" s="8">
        <f t="shared" si="161"/>
        <v>6228244</v>
      </c>
      <c r="AZ40" s="8">
        <f t="shared" si="161"/>
        <v>6183305</v>
      </c>
      <c r="BA40" s="8">
        <f t="shared" si="161"/>
        <v>6341975</v>
      </c>
      <c r="BB40" s="8">
        <f t="shared" si="161"/>
        <v>6199809</v>
      </c>
      <c r="BC40" s="8">
        <f t="shared" si="161"/>
        <v>6313921</v>
      </c>
      <c r="BD40" s="8">
        <f t="shared" si="161"/>
        <v>6324236</v>
      </c>
      <c r="BE40" s="8">
        <f t="shared" si="161"/>
        <v>6240623</v>
      </c>
      <c r="BF40" s="8">
        <f t="shared" si="161"/>
        <v>6387771</v>
      </c>
      <c r="BG40" s="8">
        <f t="shared" si="161"/>
        <v>6267777</v>
      </c>
      <c r="BH40" s="8">
        <f t="shared" si="161"/>
        <v>6350718</v>
      </c>
      <c r="BI40" s="8">
        <f t="shared" si="161"/>
        <v>6256978</v>
      </c>
      <c r="BJ40" s="9">
        <f t="shared" si="161"/>
        <v>6207070</v>
      </c>
      <c r="BK40" s="8">
        <f t="shared" ref="BK40:BP40" si="162">SUM(BK38:BK39)</f>
        <v>6315947</v>
      </c>
      <c r="BL40" s="8">
        <f t="shared" si="162"/>
        <v>6272690</v>
      </c>
      <c r="BM40" s="8">
        <f t="shared" si="162"/>
        <v>6380771</v>
      </c>
      <c r="BN40" s="8">
        <f t="shared" si="162"/>
        <v>6297903</v>
      </c>
      <c r="BO40" s="8">
        <f t="shared" si="162"/>
        <v>6404305</v>
      </c>
      <c r="BP40" s="8">
        <f t="shared" si="162"/>
        <v>6374215</v>
      </c>
      <c r="BQ40" s="8">
        <f t="shared" ref="BQ40:CB40" si="163">SUM(BQ38:BQ39)</f>
        <v>6381069</v>
      </c>
      <c r="BR40" s="8">
        <f t="shared" si="163"/>
        <v>6486512</v>
      </c>
      <c r="BS40" s="8">
        <f t="shared" si="163"/>
        <v>6302418</v>
      </c>
      <c r="BT40" s="8">
        <f t="shared" si="163"/>
        <v>6414398</v>
      </c>
      <c r="BU40" s="8">
        <f t="shared" si="163"/>
        <v>6408238</v>
      </c>
      <c r="BV40" s="9">
        <f t="shared" si="163"/>
        <v>6425276</v>
      </c>
      <c r="BW40" s="8">
        <f t="shared" si="163"/>
        <v>6429262</v>
      </c>
      <c r="BX40" s="8">
        <f t="shared" si="163"/>
        <v>6436280</v>
      </c>
      <c r="BY40" s="8">
        <f t="shared" si="163"/>
        <v>6448581</v>
      </c>
      <c r="BZ40" s="8">
        <f t="shared" si="163"/>
        <v>6458279</v>
      </c>
      <c r="CA40" s="8">
        <f t="shared" si="163"/>
        <v>6505478</v>
      </c>
      <c r="CB40" s="8">
        <f t="shared" si="163"/>
        <v>6491399</v>
      </c>
      <c r="CC40" s="94">
        <f>SUM(CC38:CC39)</f>
        <v>6493942</v>
      </c>
      <c r="CD40" s="94">
        <f>SUM(CD38:CD39)</f>
        <v>6502453</v>
      </c>
      <c r="CE40" s="94">
        <f>SUM(CE38:CE39)</f>
        <v>6493821</v>
      </c>
      <c r="CF40" s="94">
        <f t="shared" ref="CF40:CQ40" si="164">SUM(CF38:CF39)</f>
        <v>6466362</v>
      </c>
      <c r="CG40" s="94">
        <f t="shared" si="164"/>
        <v>6431946</v>
      </c>
      <c r="CH40" s="94">
        <f t="shared" si="164"/>
        <v>6486405</v>
      </c>
      <c r="CI40" s="87">
        <f t="shared" si="164"/>
        <v>6490790</v>
      </c>
      <c r="CJ40" s="94">
        <f t="shared" si="164"/>
        <v>6489070</v>
      </c>
      <c r="CK40" s="94">
        <f t="shared" si="164"/>
        <v>6503254</v>
      </c>
      <c r="CL40" s="94">
        <f t="shared" si="164"/>
        <v>6512491</v>
      </c>
      <c r="CM40" s="94">
        <f t="shared" si="164"/>
        <v>6521054</v>
      </c>
      <c r="CN40" s="94">
        <f t="shared" si="164"/>
        <v>6531751</v>
      </c>
      <c r="CO40" s="94">
        <f t="shared" si="164"/>
        <v>6536269</v>
      </c>
      <c r="CP40" s="94">
        <f t="shared" si="164"/>
        <v>6546513</v>
      </c>
      <c r="CQ40" s="94">
        <f t="shared" si="164"/>
        <v>6562472</v>
      </c>
      <c r="CR40" s="94">
        <f t="shared" ref="CR40:DO40" si="165">SUM(CR38:CR39)</f>
        <v>6553578</v>
      </c>
      <c r="CS40" s="94">
        <f t="shared" si="165"/>
        <v>6548957</v>
      </c>
      <c r="CT40" s="96">
        <f t="shared" si="165"/>
        <v>6550657</v>
      </c>
      <c r="CU40" s="94">
        <f t="shared" si="165"/>
        <v>6468351</v>
      </c>
      <c r="CV40" s="94">
        <f t="shared" si="165"/>
        <v>6561520</v>
      </c>
      <c r="CW40" s="94">
        <f t="shared" si="165"/>
        <v>6564902</v>
      </c>
      <c r="CX40" s="94">
        <f t="shared" si="165"/>
        <v>6577653</v>
      </c>
      <c r="CY40" s="94">
        <f t="shared" si="165"/>
        <v>6583363</v>
      </c>
      <c r="CZ40" s="94">
        <f t="shared" si="165"/>
        <v>6595502</v>
      </c>
      <c r="DA40" s="94">
        <f t="shared" si="165"/>
        <v>6598015</v>
      </c>
      <c r="DB40" s="94">
        <f t="shared" si="165"/>
        <v>6558173</v>
      </c>
      <c r="DC40" s="94">
        <f t="shared" si="165"/>
        <v>6607136</v>
      </c>
      <c r="DD40" s="94">
        <f t="shared" si="165"/>
        <v>6557393</v>
      </c>
      <c r="DE40" s="94">
        <f t="shared" si="165"/>
        <v>6560865</v>
      </c>
      <c r="DF40" s="96">
        <f t="shared" si="165"/>
        <v>6594552</v>
      </c>
      <c r="DG40" s="94">
        <f t="shared" si="165"/>
        <v>6520641</v>
      </c>
      <c r="DH40" s="94">
        <f t="shared" si="165"/>
        <v>6619081</v>
      </c>
      <c r="DI40" s="94">
        <f t="shared" si="165"/>
        <v>6634456</v>
      </c>
      <c r="DJ40" s="94">
        <f t="shared" si="165"/>
        <v>6601399</v>
      </c>
      <c r="DK40" s="94">
        <f t="shared" si="165"/>
        <v>6557462</v>
      </c>
      <c r="DL40" s="94">
        <f t="shared" si="165"/>
        <v>6666972</v>
      </c>
      <c r="DM40" s="94">
        <f t="shared" si="165"/>
        <v>6621747</v>
      </c>
      <c r="DN40" s="94">
        <f t="shared" si="165"/>
        <v>6690001</v>
      </c>
      <c r="DO40" s="94">
        <f t="shared" si="165"/>
        <v>6628814</v>
      </c>
      <c r="DP40" s="69">
        <f>SUM(Oncor!DP40,Centerpoint!DP40,'AEP Central'!DP40,TNMP!DP40,'AEP North'!DP40)</f>
        <v>6612151</v>
      </c>
      <c r="DQ40" s="69">
        <f>SUM(Oncor!DQ40,Centerpoint!DQ40,'AEP Central'!DQ40,TNMP!DQ40,'AEP North'!DQ40)</f>
        <v>6654356</v>
      </c>
      <c r="DR40" s="69">
        <f>SUM(Oncor!DR40,Centerpoint!DR40,'AEP Central'!DR40,TNMP!DR40,'AEP North'!DR40)</f>
        <v>6559453</v>
      </c>
      <c r="DS40" s="69">
        <f>SUM(Oncor!DS40,Centerpoint!DS40,'AEP Central'!DS40,TNMP!DS40,'AEP North'!DS40)</f>
        <v>6602230</v>
      </c>
      <c r="DT40" s="69">
        <f>SUM(Oncor!DT40,Centerpoint!DT40,'AEP Central'!DT40,TNMP!DT40,'AEP North'!DT40)</f>
        <v>6660227</v>
      </c>
      <c r="DU40" s="69">
        <f>SUM(Oncor!DU40,Centerpoint!DU40,'AEP Central'!DU40,TNMP!DU40,'AEP North'!DU40)</f>
        <v>6722128</v>
      </c>
      <c r="DV40" s="69">
        <f>SUM(Oncor!DV40,Centerpoint!DV40,'AEP Central'!DV40,TNMP!DV40,'AEP North'!DV40)</f>
        <v>6729712</v>
      </c>
      <c r="DW40" s="69">
        <f>SUM(Oncor!DW40,Centerpoint!DW40,'AEP Central'!DW40,TNMP!DW40,'AEP North'!DW40)</f>
        <v>6743927</v>
      </c>
      <c r="DX40" s="69">
        <f>SUM(Oncor!DX40,Centerpoint!DX40,'AEP Central'!DX40,TNMP!DX40,'AEP North'!DX40)</f>
        <v>6745327</v>
      </c>
      <c r="DY40" s="69">
        <f>SUM(Oncor!DY40,Centerpoint!DY40,'AEP Central'!DY40,TNMP!DY40,'AEP North'!DY40)</f>
        <v>6777445</v>
      </c>
      <c r="DZ40" s="69">
        <f>SUM(Oncor!DZ40,Centerpoint!DZ40,'AEP Central'!DZ40,TNMP!DZ40,'AEP North'!DZ40)</f>
        <v>6786417</v>
      </c>
      <c r="EA40" s="69">
        <f>SUM(Oncor!EA40,Centerpoint!EA40,'AEP Central'!EA40,TNMP!EA40,'AEP North'!EA40)</f>
        <v>6788441</v>
      </c>
      <c r="EB40" s="69">
        <f>SUM(Oncor!EB40,Centerpoint!EB40,'AEP Central'!EB40,TNMP!EB40,'AEP North'!EB40)</f>
        <v>6783011</v>
      </c>
      <c r="EC40" s="94">
        <f>SUM(Oncor!EC40,Centerpoint!EC40,'AEP Central'!EC40,TNMP!EC40,'AEP North'!EC40)</f>
        <v>6786789</v>
      </c>
      <c r="ED40" s="94">
        <f>SUM(Oncor!ED40,Centerpoint!ED40,'AEP Central'!ED40,TNMP!ED40,'AEP North'!ED40)</f>
        <v>6789005</v>
      </c>
      <c r="EE40" s="94">
        <f>SUM(Oncor!EE40,Centerpoint!EE40,'AEP Central'!EE40,TNMP!EE40,'AEP North'!EE40)</f>
        <v>6801112</v>
      </c>
      <c r="EF40" s="94">
        <f>SUM(Oncor!EF40,Centerpoint!EF40,'AEP Central'!EF40,TNMP!EF40,'AEP North'!EF40)</f>
        <v>6803374</v>
      </c>
      <c r="EG40" s="94">
        <f>SUM(Oncor!EG40,Centerpoint!EG40,'AEP Central'!EG40,TNMP!EG40,'AEP North'!EG40)</f>
        <v>6812773</v>
      </c>
      <c r="EH40" s="94">
        <f>SUM(Oncor!EH40,Centerpoint!EH40,'AEP Central'!EH40,TNMP!EH40,'AEP North'!EH40)</f>
        <v>6828734</v>
      </c>
      <c r="EI40" s="94">
        <f>SUM(Oncor!EI40,Centerpoint!EI40,'AEP Central'!EI40,TNMP!EI40,'AEP North'!EI40)</f>
        <v>6835565</v>
      </c>
      <c r="EJ40" s="94">
        <f>SUM(Oncor!EJ40,Centerpoint!EJ40,'AEP Central'!EJ40,TNMP!EJ40,'AEP North'!EJ40)</f>
        <v>6856973</v>
      </c>
      <c r="EK40" s="94">
        <f>SUM(Oncor!EK40,Centerpoint!EK40,'AEP Central'!EK40,TNMP!EK40,'AEP North'!EK40)</f>
        <v>6871843</v>
      </c>
      <c r="EL40" s="94">
        <f>SUM(Oncor!EL40,Centerpoint!EL40,'AEP Central'!EL40,TNMP!EL40,'AEP North'!EL40)</f>
        <v>6881731</v>
      </c>
      <c r="EM40" s="94">
        <f>SUM(Oncor!EM40,Centerpoint!EM40,'AEP Central'!EM40,TNMP!EM40,'AEP North'!EM40)</f>
        <v>6881608</v>
      </c>
      <c r="EN40" s="94">
        <f>SUM(Oncor!EN40,Centerpoint!EN40,'AEP Central'!EN40,TNMP!EN40,'AEP North'!EN40)</f>
        <v>6882228</v>
      </c>
      <c r="EO40" s="94">
        <f>SUM(Oncor!EO40,Centerpoint!EO40,'AEP Central'!EO40,TNMP!EO40,'AEP North'!EO40)</f>
        <v>6897160</v>
      </c>
      <c r="EP40" s="94">
        <f>SUM(Oncor!EP40,Centerpoint!EP40,'AEP Central'!EP40,TNMP!EP40,'AEP North'!EP40)</f>
        <v>6881096</v>
      </c>
      <c r="EQ40" s="94">
        <f>SUM(Oncor!EQ40,Centerpoint!EQ40,'AEP Central'!EQ40,TNMP!EQ40,'AEP North'!EQ40)</f>
        <v>6845370</v>
      </c>
      <c r="ER40" s="94">
        <f>SUM(Oncor!ER40,Centerpoint!ER40,'AEP Central'!ER40,TNMP!ER40,'AEP North'!ER40)</f>
        <v>6866146</v>
      </c>
      <c r="ES40" s="94">
        <f>SUM(Oncor!ES40,Centerpoint!ES40,'AEP Central'!ES40,TNMP!ES40,'AEP North'!ES40)</f>
        <v>6869703</v>
      </c>
      <c r="ET40" s="94">
        <f>SUM(Oncor!ET40,Centerpoint!ET40,'AEP Central'!ET40,TNMP!ET40,'AEP North'!ET40)</f>
        <v>6933853</v>
      </c>
      <c r="EU40" s="94">
        <f>SUM(Oncor!EU40,Centerpoint!EU40,'AEP Central'!EU40,TNMP!EU40,'AEP North'!EU40)</f>
        <v>6943461</v>
      </c>
      <c r="EV40" s="94">
        <f>SUM(Oncor!EV40,Centerpoint!EV40,'AEP Central'!EV40,TNMP!EV40,'AEP North'!EV40)</f>
        <v>6959370</v>
      </c>
      <c r="EW40" s="94">
        <f>SUM(Oncor!EW40,Centerpoint!EW40,'AEP Central'!EW40,TNMP!EW40,'AEP North'!EW40)</f>
        <v>6978854</v>
      </c>
      <c r="EX40" s="94">
        <f>SUM(Oncor!EX40,Centerpoint!EX40,'AEP Central'!EX40,TNMP!EX40,'AEP North'!EX40)</f>
        <v>6982298</v>
      </c>
      <c r="EY40" s="94">
        <f>SUM(Oncor!EY40,Centerpoint!EY40,'AEP Central'!EY40,TNMP!EY40,'AEP North'!EY40)</f>
        <v>6977099</v>
      </c>
      <c r="EZ40" s="94">
        <f>SUM(Oncor!EZ40,Centerpoint!EZ40,'AEP Central'!EZ40,TNMP!EZ40,'AEP North'!EZ40)</f>
        <v>6994474</v>
      </c>
      <c r="FA40" s="94">
        <f>SUM(Oncor!FA40,Centerpoint!FA40,'AEP Central'!FA40,TNMP!FA40,'AEP North'!FA40)</f>
        <v>6997989</v>
      </c>
      <c r="FB40" s="94">
        <f>SUM(Oncor!FB40,Centerpoint!FB40,'AEP Central'!FB40,TNMP!FB40,'AEP North'!FB40)</f>
        <v>7001723</v>
      </c>
      <c r="FC40" s="94">
        <f>SUM(Oncor!FC40,Centerpoint!FC40,'AEP Central'!FC40,TNMP!FC40,'AEP North'!FC40)</f>
        <v>7009506</v>
      </c>
      <c r="FD40" s="94">
        <f>SUM(Oncor!FD40,Centerpoint!FD40,'AEP Central'!FD40,TNMP!FD40,'AEP North'!FD40)</f>
        <v>7022427</v>
      </c>
      <c r="FE40" s="94">
        <f>SUM(Oncor!FE40,Centerpoint!FE40,'AEP Central'!FE40,TNMP!FE40,'AEP North'!FE40)</f>
        <v>7032217</v>
      </c>
      <c r="FF40" s="94">
        <f>SUM(Oncor!FF40,Centerpoint!FF40,'AEP Central'!FF40,TNMP!FF40,'AEP North'!FF40)</f>
        <v>7048438</v>
      </c>
      <c r="FG40" s="94">
        <f>SUM(Oncor!FG40,Centerpoint!FG40,'AEP Central'!FG40,TNMP!FG40,'AEP North'!FG40)</f>
        <v>7057416</v>
      </c>
      <c r="FH40" s="94">
        <f>SUM(Oncor!FH40,Centerpoint!FH40,'AEP Central'!FH40,TNMP!FH40,'AEP North'!FH40)</f>
        <v>7073959</v>
      </c>
      <c r="FI40" s="94">
        <f>SUM(Oncor!FI40,Centerpoint!FI40,'AEP Central'!FI40,TNMP!FI40,'AEP North'!FI40)</f>
        <v>7090586</v>
      </c>
      <c r="FJ40" s="94">
        <f>SUM(Oncor!FJ40,Centerpoint!FJ40,'AEP Central'!FJ40,TNMP!FJ40,'AEP North'!FJ40)</f>
        <v>7098509</v>
      </c>
      <c r="FK40" s="94">
        <f>SUM(Oncor!FK40,Centerpoint!FK40,'AEP Central'!FK40,TNMP!FK40,'AEP North'!FK40)</f>
        <v>7093861</v>
      </c>
      <c r="FL40" s="94">
        <f>SUM(Oncor!FL40,Centerpoint!FL40,'AEP Central'!FL40,TNMP!FL40,'AEP North'!FL40)</f>
        <v>7101243</v>
      </c>
      <c r="FM40" s="94">
        <f>SUM(Oncor!FM40,Centerpoint!FM40,'AEP Central'!FM40,TNMP!FM40,'AEP North'!FM40)</f>
        <v>7102690</v>
      </c>
      <c r="FN40" s="94">
        <f>SUM(Oncor!FN40,Centerpoint!FN40,'AEP Central'!FN40,TNMP!FN40,'AEP North'!FN40)</f>
        <v>7104606</v>
      </c>
      <c r="FO40" s="94">
        <f>SUM(Oncor!FO40,Centerpoint!FO40,'AEP Central'!FO40,TNMP!FO40,'AEP North'!FO40)</f>
        <v>7119320</v>
      </c>
      <c r="FP40" s="94">
        <f>SUM(Oncor!FP40,Centerpoint!FP40,'AEP Central'!FP40,TNMP!FP40,'AEP North'!FP40)</f>
        <v>7134536</v>
      </c>
      <c r="FQ40" s="94">
        <f>SUM(Oncor!FQ40,Centerpoint!FQ40,'AEP Central'!FQ40,TNMP!FQ40,'AEP North'!FQ40)</f>
        <v>7146047</v>
      </c>
      <c r="FR40" s="94">
        <f>SUM(Oncor!FR40,Centerpoint!FR40,'AEP Central'!FR40,TNMP!FR40,'AEP North'!FR40)</f>
        <v>7161248</v>
      </c>
      <c r="FS40" s="94">
        <f>SUM(Oncor!FS40,Centerpoint!FS40,'AEP Central'!FS40,TNMP!FS40,'AEP North'!FS40)</f>
        <v>7176003</v>
      </c>
      <c r="FT40" s="94">
        <f>SUM(Oncor!FT40,Centerpoint!FT40,'AEP Central'!FT40,TNMP!FT40,'AEP North'!FT40)</f>
        <v>7186208</v>
      </c>
    </row>
    <row r="41" spans="1:182" x14ac:dyDescent="0.25">
      <c r="B41" s="3" t="s">
        <v>10</v>
      </c>
      <c r="C41" s="78">
        <f t="shared" ref="C41:Q41" si="166">SUM(C38)/C40</f>
        <v>0.98319539333695993</v>
      </c>
      <c r="D41" s="14">
        <f t="shared" si="166"/>
        <v>0.97506586875185608</v>
      </c>
      <c r="E41" s="14">
        <f t="shared" si="166"/>
        <v>0.9744859312551355</v>
      </c>
      <c r="F41" s="14">
        <f t="shared" si="166"/>
        <v>0.97247837127818471</v>
      </c>
      <c r="G41" s="14">
        <f t="shared" si="166"/>
        <v>0.96639480146576051</v>
      </c>
      <c r="H41" s="14">
        <f t="shared" si="166"/>
        <v>0.95880991572395458</v>
      </c>
      <c r="I41" s="14">
        <f t="shared" si="166"/>
        <v>0.96131098346655453</v>
      </c>
      <c r="J41" s="14">
        <f t="shared" si="166"/>
        <v>0.9359710091212522</v>
      </c>
      <c r="K41" s="14">
        <f t="shared" si="166"/>
        <v>0.93190257270932586</v>
      </c>
      <c r="L41" s="14">
        <f t="shared" si="166"/>
        <v>0.92801380267284828</v>
      </c>
      <c r="M41" s="14">
        <f t="shared" si="166"/>
        <v>0.92542676752953223</v>
      </c>
      <c r="N41" s="14">
        <f t="shared" si="166"/>
        <v>0.92214048962227824</v>
      </c>
      <c r="O41" s="136">
        <f t="shared" si="166"/>
        <v>0.91886383556855766</v>
      </c>
      <c r="P41" s="14">
        <f t="shared" si="166"/>
        <v>0.91461092293063273</v>
      </c>
      <c r="Q41" s="14">
        <f t="shared" si="166"/>
        <v>0.91033160640082511</v>
      </c>
      <c r="R41" s="14">
        <f t="shared" ref="R41:W41" si="167">SUM(R38)/R40</f>
        <v>0.90541613192905201</v>
      </c>
      <c r="S41" s="14">
        <f t="shared" si="167"/>
        <v>0.90067460819592404</v>
      </c>
      <c r="T41" s="14">
        <f t="shared" si="167"/>
        <v>0.89497308658395902</v>
      </c>
      <c r="U41" s="14">
        <f t="shared" si="167"/>
        <v>0.88876371640985175</v>
      </c>
      <c r="V41" s="14">
        <f t="shared" si="167"/>
        <v>0.88264722913611382</v>
      </c>
      <c r="W41" s="14">
        <f t="shared" si="167"/>
        <v>0.87516418806769369</v>
      </c>
      <c r="X41" s="14">
        <f t="shared" ref="X41:AC41" si="168">SUM(X38)/X40</f>
        <v>0.86671181530259045</v>
      </c>
      <c r="Y41" s="14">
        <f t="shared" si="168"/>
        <v>0.86184703674061702</v>
      </c>
      <c r="Z41" s="150">
        <f t="shared" si="168"/>
        <v>0.85510859824770757</v>
      </c>
      <c r="AA41" s="136">
        <f t="shared" si="168"/>
        <v>0.85333484212674926</v>
      </c>
      <c r="AB41" s="14">
        <f t="shared" si="168"/>
        <v>0.85136568538401391</v>
      </c>
      <c r="AC41" s="14">
        <f t="shared" si="168"/>
        <v>0.84690381640037415</v>
      </c>
      <c r="AD41" s="14">
        <f t="shared" ref="AD41:AI41" si="169">SUM(AD38)/AD40</f>
        <v>0.84478906008361121</v>
      </c>
      <c r="AE41" s="14">
        <f t="shared" si="169"/>
        <v>0.84125040804226314</v>
      </c>
      <c r="AF41" s="14">
        <f t="shared" si="169"/>
        <v>0.83538678184008985</v>
      </c>
      <c r="AG41" s="14">
        <f t="shared" si="169"/>
        <v>0.82888751909787173</v>
      </c>
      <c r="AH41" s="14">
        <f t="shared" si="169"/>
        <v>0.82131934894269376</v>
      </c>
      <c r="AI41" s="14">
        <f t="shared" si="169"/>
        <v>0.81389272572162397</v>
      </c>
      <c r="AJ41" s="14">
        <f t="shared" ref="AJ41:AO41" si="170">SUM(AJ38)/AJ40</f>
        <v>0.80689703477027308</v>
      </c>
      <c r="AK41" s="14">
        <f t="shared" si="170"/>
        <v>0.80070730508366439</v>
      </c>
      <c r="AL41" s="150">
        <f t="shared" si="170"/>
        <v>0.79501578646828241</v>
      </c>
      <c r="AM41" s="14">
        <f t="shared" si="170"/>
        <v>0.78814960329682093</v>
      </c>
      <c r="AN41" s="14">
        <f t="shared" si="170"/>
        <v>0.78343726997084862</v>
      </c>
      <c r="AO41" s="14">
        <f t="shared" si="170"/>
        <v>0.77717580028698607</v>
      </c>
      <c r="AP41" s="14">
        <f t="shared" ref="AP41:AU41" si="171">SUM(AP38)/AP40</f>
        <v>0.77043267098595214</v>
      </c>
      <c r="AQ41" s="14">
        <f t="shared" si="171"/>
        <v>0.76298784386901775</v>
      </c>
      <c r="AR41" s="14">
        <f t="shared" si="171"/>
        <v>0.75360782519002723</v>
      </c>
      <c r="AS41" s="14">
        <f t="shared" si="171"/>
        <v>0.74544166032760117</v>
      </c>
      <c r="AT41" s="14">
        <f t="shared" si="171"/>
        <v>0.73581842847139967</v>
      </c>
      <c r="AU41" s="14">
        <f t="shared" si="171"/>
        <v>0.72680982988986609</v>
      </c>
      <c r="AV41" s="14">
        <f t="shared" ref="AV41:BJ41" si="172">SUM(AV38)/AV40</f>
        <v>0.71939154794246996</v>
      </c>
      <c r="AW41" s="14">
        <f t="shared" si="172"/>
        <v>0.71364682558972659</v>
      </c>
      <c r="AX41" s="23">
        <f t="shared" si="172"/>
        <v>0.70933498259681182</v>
      </c>
      <c r="AY41" s="14">
        <f t="shared" si="172"/>
        <v>0.70566422895442116</v>
      </c>
      <c r="AZ41" s="14">
        <f t="shared" si="172"/>
        <v>0.7025577745234951</v>
      </c>
      <c r="BA41" s="14">
        <f t="shared" si="172"/>
        <v>0.69860619128899115</v>
      </c>
      <c r="BB41" s="14">
        <f t="shared" si="172"/>
        <v>0.6944686521794462</v>
      </c>
      <c r="BC41" s="14">
        <f t="shared" si="172"/>
        <v>0.68826914369058467</v>
      </c>
      <c r="BD41" s="14">
        <f t="shared" si="172"/>
        <v>0.68096035631813867</v>
      </c>
      <c r="BE41" s="14">
        <f t="shared" si="172"/>
        <v>0.67339879367813116</v>
      </c>
      <c r="BF41" s="14">
        <f t="shared" si="172"/>
        <v>0.66495777635109332</v>
      </c>
      <c r="BG41" s="14">
        <f t="shared" si="172"/>
        <v>0.65759630567584004</v>
      </c>
      <c r="BH41" s="14">
        <f t="shared" si="172"/>
        <v>0.64892851485454084</v>
      </c>
      <c r="BI41" s="14">
        <f t="shared" si="172"/>
        <v>0.64232158080146673</v>
      </c>
      <c r="BJ41" s="23">
        <f t="shared" si="172"/>
        <v>0.63639672180271856</v>
      </c>
      <c r="BK41" s="14">
        <f t="shared" ref="BK41:BP41" si="173">SUM(BK38)/BK40</f>
        <v>0.62974435979275956</v>
      </c>
      <c r="BL41" s="14">
        <f t="shared" si="173"/>
        <v>0.62488581453889802</v>
      </c>
      <c r="BM41" s="14">
        <f t="shared" si="173"/>
        <v>0.61906970176488074</v>
      </c>
      <c r="BN41" s="14">
        <f t="shared" si="173"/>
        <v>0.61387337975831002</v>
      </c>
      <c r="BO41" s="14">
        <f t="shared" si="173"/>
        <v>0.60812141208140458</v>
      </c>
      <c r="BP41" s="14">
        <f t="shared" si="173"/>
        <v>0.60370853509020328</v>
      </c>
      <c r="BQ41" s="14">
        <f t="shared" ref="BQ41:CB41" si="174">SUM(BQ38)/BQ40</f>
        <v>0.59891281539190377</v>
      </c>
      <c r="BR41" s="14">
        <f t="shared" si="174"/>
        <v>0.59412994225556048</v>
      </c>
      <c r="BS41" s="14">
        <f t="shared" si="174"/>
        <v>0.59124450330016198</v>
      </c>
      <c r="BT41" s="14">
        <f t="shared" si="174"/>
        <v>0.58588537848758371</v>
      </c>
      <c r="BU41" s="14">
        <f t="shared" si="174"/>
        <v>0.58149463237788612</v>
      </c>
      <c r="BV41" s="23">
        <f t="shared" si="174"/>
        <v>0.57795602865931361</v>
      </c>
      <c r="BW41" s="14">
        <f t="shared" si="174"/>
        <v>0.57469877569151795</v>
      </c>
      <c r="BX41" s="14">
        <f t="shared" si="174"/>
        <v>0.57133561622552154</v>
      </c>
      <c r="BY41" s="14">
        <f t="shared" si="174"/>
        <v>0.56771745597985046</v>
      </c>
      <c r="BZ41" s="14">
        <f t="shared" si="174"/>
        <v>0.56341526899039207</v>
      </c>
      <c r="CA41" s="14">
        <f t="shared" si="174"/>
        <v>0.55678475893700663</v>
      </c>
      <c r="CB41" s="14">
        <f t="shared" si="174"/>
        <v>0.55645277697457818</v>
      </c>
      <c r="CC41" s="14">
        <f>SUM(CC38)/CC40</f>
        <v>0.55541780323877243</v>
      </c>
      <c r="CD41" s="14">
        <f>SUM(CD38)/CD40</f>
        <v>0.55323998497182525</v>
      </c>
      <c r="CE41" s="14">
        <f>SUM(CE38)/CE40</f>
        <v>0.55026124064707049</v>
      </c>
      <c r="CF41" s="14">
        <f t="shared" ref="CF41:CQ41" si="175">SUM(CF38)/CF40</f>
        <v>0.5476544616586575</v>
      </c>
      <c r="CG41" s="14">
        <f t="shared" si="175"/>
        <v>0.54359209483412951</v>
      </c>
      <c r="CH41" s="14">
        <f t="shared" si="175"/>
        <v>0.54075747659913309</v>
      </c>
      <c r="CI41" s="78">
        <f t="shared" si="175"/>
        <v>0.53907875620687162</v>
      </c>
      <c r="CJ41" s="14">
        <f t="shared" si="175"/>
        <v>0.53705045561228337</v>
      </c>
      <c r="CK41" s="14">
        <f t="shared" si="175"/>
        <v>0.53431635916419684</v>
      </c>
      <c r="CL41" s="14">
        <f t="shared" si="175"/>
        <v>0.53089025382146404</v>
      </c>
      <c r="CM41" s="14">
        <f t="shared" si="175"/>
        <v>0.52716938090069487</v>
      </c>
      <c r="CN41" s="14">
        <f t="shared" si="175"/>
        <v>0.52339074162502519</v>
      </c>
      <c r="CO41" s="14">
        <f t="shared" si="175"/>
        <v>0.51933633698368287</v>
      </c>
      <c r="CP41" s="14">
        <f t="shared" si="175"/>
        <v>0.51441278738772844</v>
      </c>
      <c r="CQ41" s="14">
        <f t="shared" si="175"/>
        <v>0.50842045497489363</v>
      </c>
      <c r="CR41" s="14">
        <f t="shared" ref="CR41:FC41" si="176">SUM(CR38)/CR40</f>
        <v>0.50342499929046391</v>
      </c>
      <c r="CS41" s="14">
        <f t="shared" si="176"/>
        <v>0.49976446631120042</v>
      </c>
      <c r="CT41" s="23">
        <f t="shared" si="176"/>
        <v>0.49620793761602844</v>
      </c>
      <c r="CU41" s="14">
        <f t="shared" si="176"/>
        <v>0.49520055420616477</v>
      </c>
      <c r="CV41" s="14">
        <f t="shared" si="176"/>
        <v>0.48993632572940415</v>
      </c>
      <c r="CW41" s="14">
        <f t="shared" si="176"/>
        <v>0.48649210605124038</v>
      </c>
      <c r="CX41" s="14">
        <f t="shared" si="176"/>
        <v>0.48339567319832771</v>
      </c>
      <c r="CY41" s="14">
        <f t="shared" si="176"/>
        <v>0.48015125400194397</v>
      </c>
      <c r="CZ41" s="14">
        <f t="shared" si="176"/>
        <v>0.47629990863470284</v>
      </c>
      <c r="DA41" s="14">
        <f t="shared" si="176"/>
        <v>0.47200029099661034</v>
      </c>
      <c r="DB41" s="14">
        <f t="shared" si="176"/>
        <v>0.46835528736433152</v>
      </c>
      <c r="DC41" s="14">
        <f t="shared" si="176"/>
        <v>0.46349507562732173</v>
      </c>
      <c r="DD41" s="14">
        <f t="shared" si="176"/>
        <v>0.46100775109864545</v>
      </c>
      <c r="DE41" s="14">
        <f t="shared" si="176"/>
        <v>0.4574710804139393</v>
      </c>
      <c r="DF41" s="23">
        <f t="shared" si="176"/>
        <v>0.4537951933656752</v>
      </c>
      <c r="DG41" s="14">
        <f t="shared" si="176"/>
        <v>0.45254231907568598</v>
      </c>
      <c r="DH41" s="14">
        <f t="shared" si="176"/>
        <v>0.44783784939329191</v>
      </c>
      <c r="DI41" s="14">
        <f t="shared" si="176"/>
        <v>0.44448934471793922</v>
      </c>
      <c r="DJ41" s="14">
        <f t="shared" si="176"/>
        <v>0.44191405488442675</v>
      </c>
      <c r="DK41" s="14">
        <f t="shared" si="176"/>
        <v>0.43997327014628523</v>
      </c>
      <c r="DL41" s="14">
        <f t="shared" si="176"/>
        <v>0.43520191775216693</v>
      </c>
      <c r="DM41" s="14">
        <f t="shared" si="176"/>
        <v>0.43153823303729361</v>
      </c>
      <c r="DN41" s="14">
        <f t="shared" si="176"/>
        <v>0.4284425368546283</v>
      </c>
      <c r="DO41" s="14">
        <f t="shared" si="176"/>
        <v>0.42714277395624617</v>
      </c>
      <c r="DP41" s="14">
        <f t="shared" si="176"/>
        <v>0.42494855305028573</v>
      </c>
      <c r="DQ41" s="14">
        <f t="shared" si="176"/>
        <v>0.4215701714786525</v>
      </c>
      <c r="DR41" s="14">
        <f t="shared" si="176"/>
        <v>0.42126454751638587</v>
      </c>
      <c r="DS41" s="14">
        <f t="shared" si="176"/>
        <v>0.41829533354639264</v>
      </c>
      <c r="DT41" s="14">
        <f t="shared" si="176"/>
        <v>0.41529335261395744</v>
      </c>
      <c r="DU41" s="14">
        <f t="shared" si="176"/>
        <v>0.41189783949368414</v>
      </c>
      <c r="DV41" s="14">
        <f t="shared" si="176"/>
        <v>0.40914796948220072</v>
      </c>
      <c r="DW41" s="14">
        <f t="shared" si="176"/>
        <v>0.40660597304804752</v>
      </c>
      <c r="DX41" s="14">
        <f t="shared" si="176"/>
        <v>0.40344196804691601</v>
      </c>
      <c r="DY41" s="14">
        <f t="shared" si="176"/>
        <v>0.40056717538836539</v>
      </c>
      <c r="DZ41" s="14">
        <f t="shared" si="176"/>
        <v>0.39914508642778657</v>
      </c>
      <c r="EA41" s="14">
        <f t="shared" si="176"/>
        <v>0.3977412486902368</v>
      </c>
      <c r="EB41" s="14">
        <f t="shared" si="176"/>
        <v>0.39637146394130868</v>
      </c>
      <c r="EC41" s="14">
        <f t="shared" si="176"/>
        <v>0.39437560236512437</v>
      </c>
      <c r="ED41" s="14">
        <f t="shared" si="176"/>
        <v>0.3930571563874235</v>
      </c>
      <c r="EE41" s="14">
        <f t="shared" si="176"/>
        <v>0.39092577801982969</v>
      </c>
      <c r="EF41" s="14">
        <f t="shared" si="176"/>
        <v>0.38924510103369298</v>
      </c>
      <c r="EG41" s="14">
        <f t="shared" si="176"/>
        <v>0.38701905963988525</v>
      </c>
      <c r="EH41" s="14">
        <f t="shared" si="176"/>
        <v>0.38462326984767603</v>
      </c>
      <c r="EI41" s="14">
        <f t="shared" si="176"/>
        <v>0.38305553381468832</v>
      </c>
      <c r="EJ41" s="14">
        <f t="shared" si="176"/>
        <v>0.38067424211820583</v>
      </c>
      <c r="EK41" s="14">
        <f t="shared" si="176"/>
        <v>0.37887739868329356</v>
      </c>
      <c r="EL41" s="14">
        <f t="shared" si="176"/>
        <v>0.37741986718167275</v>
      </c>
      <c r="EM41" s="14">
        <f t="shared" si="176"/>
        <v>0.37623706552305797</v>
      </c>
      <c r="EN41" s="14">
        <f t="shared" si="176"/>
        <v>0.3750767919923606</v>
      </c>
      <c r="EO41" s="14">
        <f t="shared" si="176"/>
        <v>0.37300062634475639</v>
      </c>
      <c r="EP41" s="14">
        <f t="shared" si="176"/>
        <v>0.37299174433840193</v>
      </c>
      <c r="EQ41" s="14">
        <f t="shared" si="176"/>
        <v>0.37277386028804871</v>
      </c>
      <c r="ER41" s="14">
        <f t="shared" si="176"/>
        <v>0.37006655553202628</v>
      </c>
      <c r="ES41" s="14">
        <f t="shared" si="176"/>
        <v>0.36809582597675622</v>
      </c>
      <c r="ET41" s="14">
        <f t="shared" si="176"/>
        <v>0.36547630877089549</v>
      </c>
      <c r="EU41" s="14">
        <f t="shared" si="176"/>
        <v>0.36427597130595246</v>
      </c>
      <c r="EV41" s="14">
        <f t="shared" si="176"/>
        <v>0.362739587060323</v>
      </c>
      <c r="EW41" s="14">
        <f t="shared" si="176"/>
        <v>0.36062296187884141</v>
      </c>
      <c r="EX41" s="14">
        <f t="shared" si="176"/>
        <v>0.3590514183152882</v>
      </c>
      <c r="EY41" s="14">
        <f t="shared" si="176"/>
        <v>0.35792397384643676</v>
      </c>
      <c r="EZ41" s="14">
        <f t="shared" si="176"/>
        <v>0.35642022545226415</v>
      </c>
      <c r="FA41" s="14">
        <f t="shared" si="176"/>
        <v>0.35498126676106523</v>
      </c>
      <c r="FB41" s="14">
        <f t="shared" si="176"/>
        <v>0.35365395060615795</v>
      </c>
      <c r="FC41" s="14">
        <f t="shared" si="176"/>
        <v>0.35268576701410914</v>
      </c>
      <c r="FD41" s="14">
        <f>SUM(FD38)/FD40</f>
        <v>0.35170888924868854</v>
      </c>
      <c r="FE41" s="14">
        <f>SUM(FE38)/FE40</f>
        <v>0.35024047181706708</v>
      </c>
      <c r="FF41" s="14">
        <f>SUM(FF38)/FF40</f>
        <v>0.34845692052622157</v>
      </c>
      <c r="FG41" s="14">
        <f>SUM(FG38)/FG40</f>
        <v>0.34691578334053141</v>
      </c>
      <c r="FH41" s="14">
        <f>SUM(FH38)/FH40</f>
        <v>0.34488127511058519</v>
      </c>
      <c r="FI41" s="14">
        <f t="shared" ref="FI41:FT41" si="177">SUM(FI38)/FI40</f>
        <v>0.34256167261774978</v>
      </c>
      <c r="FJ41" s="14">
        <f t="shared" si="177"/>
        <v>0.34057997249845001</v>
      </c>
      <c r="FK41" s="14">
        <f t="shared" si="177"/>
        <v>0.33915254330469685</v>
      </c>
      <c r="FL41" s="14">
        <f t="shared" si="177"/>
        <v>0.34291757090976888</v>
      </c>
      <c r="FM41" s="14">
        <f t="shared" si="177"/>
        <v>0.34161310714672893</v>
      </c>
      <c r="FN41" s="14">
        <f t="shared" si="177"/>
        <v>0.34067420487497829</v>
      </c>
      <c r="FO41" s="14">
        <f t="shared" si="177"/>
        <v>0.33943466510846543</v>
      </c>
      <c r="FP41" s="14">
        <f t="shared" si="177"/>
        <v>0.33722557430504241</v>
      </c>
      <c r="FQ41" s="14">
        <f t="shared" si="177"/>
        <v>0.33552396170917992</v>
      </c>
      <c r="FR41" s="14">
        <f t="shared" si="177"/>
        <v>0.33383706303705724</v>
      </c>
      <c r="FS41" s="14">
        <f t="shared" si="177"/>
        <v>0.33238586996131414</v>
      </c>
      <c r="FT41" s="14">
        <f t="shared" si="177"/>
        <v>0.33133900382510501</v>
      </c>
    </row>
    <row r="42" spans="1:182" ht="13.8" thickBot="1" x14ac:dyDescent="0.3">
      <c r="B42" s="4" t="s">
        <v>11</v>
      </c>
      <c r="C42" s="79">
        <f t="shared" ref="C42:Q42" si="178">SUM(C39/C40)</f>
        <v>1.6804606663040102E-2</v>
      </c>
      <c r="D42" s="15">
        <f t="shared" si="178"/>
        <v>2.4934131248143955E-2</v>
      </c>
      <c r="E42" s="15">
        <f t="shared" si="178"/>
        <v>2.5514068744864546E-2</v>
      </c>
      <c r="F42" s="15">
        <f t="shared" si="178"/>
        <v>2.752162872181534E-2</v>
      </c>
      <c r="G42" s="15">
        <f t="shared" si="178"/>
        <v>3.3605198534239489E-2</v>
      </c>
      <c r="H42" s="15">
        <f t="shared" si="178"/>
        <v>4.1190084276045431E-2</v>
      </c>
      <c r="I42" s="15">
        <f t="shared" si="178"/>
        <v>3.8689016533445524E-2</v>
      </c>
      <c r="J42" s="15">
        <f t="shared" si="178"/>
        <v>6.4028990878747832E-2</v>
      </c>
      <c r="K42" s="15">
        <f t="shared" si="178"/>
        <v>6.8097427290674126E-2</v>
      </c>
      <c r="L42" s="15">
        <f t="shared" si="178"/>
        <v>7.198619732715171E-2</v>
      </c>
      <c r="M42" s="15">
        <f t="shared" si="178"/>
        <v>7.4573232470467724E-2</v>
      </c>
      <c r="N42" s="15">
        <f t="shared" si="178"/>
        <v>7.785951037772175E-2</v>
      </c>
      <c r="O42" s="137">
        <f t="shared" si="178"/>
        <v>8.1136164431442365E-2</v>
      </c>
      <c r="P42" s="15">
        <f t="shared" si="178"/>
        <v>8.5389077069367228E-2</v>
      </c>
      <c r="Q42" s="15">
        <f t="shared" si="178"/>
        <v>8.9668393599174862E-2</v>
      </c>
      <c r="R42" s="15">
        <f t="shared" ref="R42:W42" si="179">SUM(R39/R40)</f>
        <v>9.4583868070948027E-2</v>
      </c>
      <c r="S42" s="15">
        <f t="shared" si="179"/>
        <v>9.9325391804075971E-2</v>
      </c>
      <c r="T42" s="15">
        <f t="shared" si="179"/>
        <v>0.10502691341604095</v>
      </c>
      <c r="U42" s="15">
        <f t="shared" si="179"/>
        <v>0.11123628359014827</v>
      </c>
      <c r="V42" s="15">
        <f t="shared" si="179"/>
        <v>0.11735277086388617</v>
      </c>
      <c r="W42" s="15">
        <f t="shared" si="179"/>
        <v>0.12483581193230631</v>
      </c>
      <c r="X42" s="15">
        <f t="shared" ref="X42:AC42" si="180">SUM(X39/X40)</f>
        <v>0.13328818469740952</v>
      </c>
      <c r="Y42" s="15">
        <f t="shared" si="180"/>
        <v>0.138152963259383</v>
      </c>
      <c r="Z42" s="151">
        <f t="shared" si="180"/>
        <v>0.1448914017522924</v>
      </c>
      <c r="AA42" s="137">
        <f t="shared" si="180"/>
        <v>0.14666515787325074</v>
      </c>
      <c r="AB42" s="15">
        <f t="shared" si="180"/>
        <v>0.14863431461598609</v>
      </c>
      <c r="AC42" s="15">
        <f t="shared" si="180"/>
        <v>0.15309618359962587</v>
      </c>
      <c r="AD42" s="15">
        <f t="shared" ref="AD42:AI42" si="181">SUM(AD39/AD40)</f>
        <v>0.15521093991638876</v>
      </c>
      <c r="AE42" s="15">
        <f t="shared" si="181"/>
        <v>0.1587495919577368</v>
      </c>
      <c r="AF42" s="15">
        <f t="shared" si="181"/>
        <v>0.16461321815991017</v>
      </c>
      <c r="AG42" s="15">
        <f t="shared" si="181"/>
        <v>0.17111248090212824</v>
      </c>
      <c r="AH42" s="15">
        <f t="shared" si="181"/>
        <v>0.17868065105730627</v>
      </c>
      <c r="AI42" s="15">
        <f t="shared" si="181"/>
        <v>0.18610727427837609</v>
      </c>
      <c r="AJ42" s="15">
        <f t="shared" ref="AJ42:AO42" si="182">SUM(AJ39/AJ40)</f>
        <v>0.19310296522972686</v>
      </c>
      <c r="AK42" s="15">
        <f t="shared" si="182"/>
        <v>0.19929269491633561</v>
      </c>
      <c r="AL42" s="151">
        <f t="shared" si="182"/>
        <v>0.20498421353171764</v>
      </c>
      <c r="AM42" s="15">
        <f t="shared" si="182"/>
        <v>0.21185039670317909</v>
      </c>
      <c r="AN42" s="15">
        <f t="shared" si="182"/>
        <v>0.21656273002915141</v>
      </c>
      <c r="AO42" s="15">
        <f t="shared" si="182"/>
        <v>0.22282419971301395</v>
      </c>
      <c r="AP42" s="15">
        <f t="shared" ref="AP42:AU42" si="183">SUM(AP39/AP40)</f>
        <v>0.22956732901404786</v>
      </c>
      <c r="AQ42" s="15">
        <f t="shared" si="183"/>
        <v>0.23701215613098225</v>
      </c>
      <c r="AR42" s="15">
        <f t="shared" si="183"/>
        <v>0.24639217480997275</v>
      </c>
      <c r="AS42" s="15">
        <f t="shared" si="183"/>
        <v>0.25455833967239883</v>
      </c>
      <c r="AT42" s="15">
        <f t="shared" si="183"/>
        <v>0.26418157152860039</v>
      </c>
      <c r="AU42" s="15">
        <f t="shared" si="183"/>
        <v>0.27319017011013386</v>
      </c>
      <c r="AV42" s="15">
        <f>SUM(AV39/AV40)</f>
        <v>0.28060845205753004</v>
      </c>
      <c r="AW42" s="15">
        <f>SUM(AW39/AW40)</f>
        <v>0.28635317441027341</v>
      </c>
      <c r="AX42" s="24">
        <f>SUM(AX39/AX40)</f>
        <v>0.29066501740318818</v>
      </c>
      <c r="AY42" s="15">
        <f t="shared" ref="AY42:BG42" si="184">SUM(AY39/AY40)</f>
        <v>0.29433577104557884</v>
      </c>
      <c r="AZ42" s="15">
        <f t="shared" si="184"/>
        <v>0.2974422254765049</v>
      </c>
      <c r="BA42" s="15">
        <f t="shared" si="184"/>
        <v>0.30139380871100879</v>
      </c>
      <c r="BB42" s="15">
        <f t="shared" si="184"/>
        <v>0.3055313478205538</v>
      </c>
      <c r="BC42" s="15">
        <f t="shared" si="184"/>
        <v>0.31173085630941533</v>
      </c>
      <c r="BD42" s="15">
        <f t="shared" si="184"/>
        <v>0.31903964368186133</v>
      </c>
      <c r="BE42" s="15">
        <f t="shared" si="184"/>
        <v>0.32660120632186884</v>
      </c>
      <c r="BF42" s="15">
        <f t="shared" si="184"/>
        <v>0.33504222364890662</v>
      </c>
      <c r="BG42" s="15">
        <f t="shared" si="184"/>
        <v>0.3424036943241599</v>
      </c>
      <c r="BH42" s="15">
        <f t="shared" ref="BH42:BM42" si="185">SUM(BH39/BH40)</f>
        <v>0.35107148514545916</v>
      </c>
      <c r="BI42" s="15">
        <f t="shared" si="185"/>
        <v>0.35767841919853322</v>
      </c>
      <c r="BJ42" s="24">
        <f t="shared" si="185"/>
        <v>0.3636032781972815</v>
      </c>
      <c r="BK42" s="15">
        <f t="shared" si="185"/>
        <v>0.3702556402072405</v>
      </c>
      <c r="BL42" s="15">
        <f t="shared" si="185"/>
        <v>0.37511418546110203</v>
      </c>
      <c r="BM42" s="15">
        <f t="shared" si="185"/>
        <v>0.38093029823511926</v>
      </c>
      <c r="BN42" s="15">
        <f t="shared" ref="BN42:BS42" si="186">SUM(BN39/BN40)</f>
        <v>0.38612662024168998</v>
      </c>
      <c r="BO42" s="15">
        <f t="shared" si="186"/>
        <v>0.39187858791859537</v>
      </c>
      <c r="BP42" s="15">
        <f t="shared" si="186"/>
        <v>0.39629146490979672</v>
      </c>
      <c r="BQ42" s="15">
        <f t="shared" si="186"/>
        <v>0.40108718460809623</v>
      </c>
      <c r="BR42" s="15">
        <f t="shared" si="186"/>
        <v>0.40587005774443952</v>
      </c>
      <c r="BS42" s="15">
        <f t="shared" si="186"/>
        <v>0.40875549669983807</v>
      </c>
      <c r="BT42" s="15">
        <f>SUM(BT39/BT40)</f>
        <v>0.41411462151241629</v>
      </c>
      <c r="BU42" s="15">
        <f>SUM(BU39/BU40)</f>
        <v>0.41850536762211393</v>
      </c>
      <c r="BV42" s="24">
        <f>SUM(BV39/BV40)</f>
        <v>0.42204397134068639</v>
      </c>
      <c r="BW42" s="15">
        <f t="shared" ref="BW42:CB42" si="187">SUM(BW39/BW40)</f>
        <v>0.42530122430848205</v>
      </c>
      <c r="BX42" s="15">
        <f t="shared" si="187"/>
        <v>0.42866438377447841</v>
      </c>
      <c r="BY42" s="15">
        <f t="shared" si="187"/>
        <v>0.43228254402014954</v>
      </c>
      <c r="BZ42" s="15">
        <f t="shared" si="187"/>
        <v>0.43658473100960798</v>
      </c>
      <c r="CA42" s="15">
        <f t="shared" si="187"/>
        <v>0.44321524106299337</v>
      </c>
      <c r="CB42" s="15">
        <f t="shared" si="187"/>
        <v>0.44354722302542177</v>
      </c>
      <c r="CC42" s="15">
        <f>SUM(CC39/CC40)</f>
        <v>0.44458219676122762</v>
      </c>
      <c r="CD42" s="15">
        <f>SUM(CD39/CD40)</f>
        <v>0.44676001502817475</v>
      </c>
      <c r="CE42" s="15">
        <f>SUM(CE39/CE40)</f>
        <v>0.44973875935292951</v>
      </c>
      <c r="CF42" s="15">
        <f t="shared" ref="CF42:CQ42" si="188">SUM(CF39/CF40)</f>
        <v>0.4523455383413425</v>
      </c>
      <c r="CG42" s="15">
        <f t="shared" si="188"/>
        <v>0.45640790516587049</v>
      </c>
      <c r="CH42" s="15">
        <f t="shared" si="188"/>
        <v>0.45924252340086691</v>
      </c>
      <c r="CI42" s="79">
        <f t="shared" si="188"/>
        <v>0.46092124379312843</v>
      </c>
      <c r="CJ42" s="15">
        <f t="shared" si="188"/>
        <v>0.46294954438771657</v>
      </c>
      <c r="CK42" s="15">
        <f t="shared" si="188"/>
        <v>0.4656836408358031</v>
      </c>
      <c r="CL42" s="15">
        <f t="shared" si="188"/>
        <v>0.46910974617853601</v>
      </c>
      <c r="CM42" s="15">
        <f t="shared" si="188"/>
        <v>0.47283061909930513</v>
      </c>
      <c r="CN42" s="15">
        <f t="shared" si="188"/>
        <v>0.47660925837497481</v>
      </c>
      <c r="CO42" s="15">
        <f t="shared" si="188"/>
        <v>0.48066366301631713</v>
      </c>
      <c r="CP42" s="15">
        <f t="shared" si="188"/>
        <v>0.48558721261227161</v>
      </c>
      <c r="CQ42" s="15">
        <f t="shared" si="188"/>
        <v>0.49157954502510637</v>
      </c>
      <c r="CR42" s="15">
        <f t="shared" ref="CR42:FC42" si="189">SUM(CR39/CR40)</f>
        <v>0.49657500070953609</v>
      </c>
      <c r="CS42" s="15">
        <f t="shared" si="189"/>
        <v>0.50023553368879958</v>
      </c>
      <c r="CT42" s="24">
        <f t="shared" si="189"/>
        <v>0.50379206238397156</v>
      </c>
      <c r="CU42" s="15">
        <f t="shared" si="189"/>
        <v>0.50479944579383529</v>
      </c>
      <c r="CV42" s="15">
        <f t="shared" si="189"/>
        <v>0.51006367427059585</v>
      </c>
      <c r="CW42" s="15">
        <f t="shared" si="189"/>
        <v>0.51350789394875962</v>
      </c>
      <c r="CX42" s="15">
        <f t="shared" si="189"/>
        <v>0.51660432680167223</v>
      </c>
      <c r="CY42" s="15">
        <f t="shared" si="189"/>
        <v>0.51984874599805597</v>
      </c>
      <c r="CZ42" s="15">
        <f t="shared" si="189"/>
        <v>0.52370009136529716</v>
      </c>
      <c r="DA42" s="15">
        <f t="shared" si="189"/>
        <v>0.52799970900338966</v>
      </c>
      <c r="DB42" s="15">
        <f t="shared" si="189"/>
        <v>0.53164471263566848</v>
      </c>
      <c r="DC42" s="15">
        <f t="shared" si="189"/>
        <v>0.53650492437267827</v>
      </c>
      <c r="DD42" s="15">
        <f t="shared" si="189"/>
        <v>0.53899224890135455</v>
      </c>
      <c r="DE42" s="15">
        <f t="shared" si="189"/>
        <v>0.54252891958606064</v>
      </c>
      <c r="DF42" s="24">
        <f t="shared" si="189"/>
        <v>0.5462048066343248</v>
      </c>
      <c r="DG42" s="15">
        <f t="shared" si="189"/>
        <v>0.54745768092431402</v>
      </c>
      <c r="DH42" s="15">
        <f t="shared" si="189"/>
        <v>0.55216215060670815</v>
      </c>
      <c r="DI42" s="15">
        <f t="shared" si="189"/>
        <v>0.55551065528206078</v>
      </c>
      <c r="DJ42" s="15">
        <f t="shared" si="189"/>
        <v>0.55808594511557319</v>
      </c>
      <c r="DK42" s="15">
        <f t="shared" si="189"/>
        <v>0.56002672985371471</v>
      </c>
      <c r="DL42" s="15">
        <f t="shared" si="189"/>
        <v>0.56479808224783301</v>
      </c>
      <c r="DM42" s="15">
        <f t="shared" si="189"/>
        <v>0.56846176696270634</v>
      </c>
      <c r="DN42" s="15">
        <f t="shared" si="189"/>
        <v>0.5715574631453717</v>
      </c>
      <c r="DO42" s="15">
        <f t="shared" si="189"/>
        <v>0.57285722604375378</v>
      </c>
      <c r="DP42" s="15">
        <f t="shared" si="189"/>
        <v>0.57505144694971422</v>
      </c>
      <c r="DQ42" s="15">
        <f t="shared" si="189"/>
        <v>0.5784298285213475</v>
      </c>
      <c r="DR42" s="15">
        <f t="shared" si="189"/>
        <v>0.57873545248361413</v>
      </c>
      <c r="DS42" s="15">
        <f t="shared" si="189"/>
        <v>0.5817046664536073</v>
      </c>
      <c r="DT42" s="15">
        <f t="shared" si="189"/>
        <v>0.5847066473860425</v>
      </c>
      <c r="DU42" s="15">
        <f t="shared" si="189"/>
        <v>0.58810216050631581</v>
      </c>
      <c r="DV42" s="15">
        <f t="shared" si="189"/>
        <v>0.59085203051779922</v>
      </c>
      <c r="DW42" s="15">
        <f t="shared" si="189"/>
        <v>0.59339402695195242</v>
      </c>
      <c r="DX42" s="15">
        <f t="shared" si="189"/>
        <v>0.59655803195308399</v>
      </c>
      <c r="DY42" s="15">
        <f t="shared" si="189"/>
        <v>0.59943282461163461</v>
      </c>
      <c r="DZ42" s="15">
        <f t="shared" si="189"/>
        <v>0.60085491357221343</v>
      </c>
      <c r="EA42" s="15">
        <f t="shared" si="189"/>
        <v>0.60225875130976314</v>
      </c>
      <c r="EB42" s="15">
        <f t="shared" si="189"/>
        <v>0.60362853605869138</v>
      </c>
      <c r="EC42" s="15">
        <f t="shared" si="189"/>
        <v>0.60562439763487563</v>
      </c>
      <c r="ED42" s="15">
        <f t="shared" si="189"/>
        <v>0.60694284361257655</v>
      </c>
      <c r="EE42" s="15">
        <f t="shared" si="189"/>
        <v>0.60907422198017025</v>
      </c>
      <c r="EF42" s="15">
        <f t="shared" si="189"/>
        <v>0.61075489896630697</v>
      </c>
      <c r="EG42" s="15">
        <f t="shared" si="189"/>
        <v>0.61298094036011475</v>
      </c>
      <c r="EH42" s="15">
        <f t="shared" si="189"/>
        <v>0.61537673015232397</v>
      </c>
      <c r="EI42" s="15">
        <f t="shared" si="189"/>
        <v>0.61694446618531162</v>
      </c>
      <c r="EJ42" s="15">
        <f t="shared" si="189"/>
        <v>0.61932575788179423</v>
      </c>
      <c r="EK42" s="15">
        <f t="shared" si="189"/>
        <v>0.62112260131670649</v>
      </c>
      <c r="EL42" s="15">
        <f t="shared" si="189"/>
        <v>0.62258013281832725</v>
      </c>
      <c r="EM42" s="15">
        <f t="shared" si="189"/>
        <v>0.62376293447694198</v>
      </c>
      <c r="EN42" s="15">
        <f t="shared" si="189"/>
        <v>0.62492320800763934</v>
      </c>
      <c r="EO42" s="15">
        <f t="shared" si="189"/>
        <v>0.62699937365524361</v>
      </c>
      <c r="EP42" s="15">
        <f t="shared" si="189"/>
        <v>0.62700825566159812</v>
      </c>
      <c r="EQ42" s="15">
        <f t="shared" si="189"/>
        <v>0.62722613971195129</v>
      </c>
      <c r="ER42" s="15">
        <f t="shared" si="189"/>
        <v>0.62993344446797372</v>
      </c>
      <c r="ES42" s="15">
        <f t="shared" si="189"/>
        <v>0.63190417402324384</v>
      </c>
      <c r="ET42" s="15">
        <f t="shared" si="189"/>
        <v>0.63452369122910446</v>
      </c>
      <c r="EU42" s="15">
        <f t="shared" si="189"/>
        <v>0.63572402869404754</v>
      </c>
      <c r="EV42" s="15">
        <f t="shared" si="189"/>
        <v>0.63726041293967706</v>
      </c>
      <c r="EW42" s="15">
        <f t="shared" si="189"/>
        <v>0.63937703812115854</v>
      </c>
      <c r="EX42" s="15">
        <f t="shared" si="189"/>
        <v>0.6409485816847118</v>
      </c>
      <c r="EY42" s="15">
        <f t="shared" si="189"/>
        <v>0.6420760261535633</v>
      </c>
      <c r="EZ42" s="15">
        <f t="shared" si="189"/>
        <v>0.64357977454773585</v>
      </c>
      <c r="FA42" s="15">
        <f t="shared" si="189"/>
        <v>0.64501873323893477</v>
      </c>
      <c r="FB42" s="15">
        <f t="shared" si="189"/>
        <v>0.6463460493938421</v>
      </c>
      <c r="FC42" s="15">
        <f t="shared" si="189"/>
        <v>0.64731423298589086</v>
      </c>
      <c r="FD42" s="15">
        <f>SUM(FD39/FD40)</f>
        <v>0.64829111075131152</v>
      </c>
      <c r="FE42" s="15">
        <f>SUM(FE39/FE40)</f>
        <v>0.64975952818293292</v>
      </c>
      <c r="FF42" s="15">
        <f>SUM(FF39/FF40)</f>
        <v>0.65154307947377843</v>
      </c>
      <c r="FG42" s="15">
        <f>SUM(FG39/FG40)</f>
        <v>0.65308421665946859</v>
      </c>
      <c r="FH42" s="15">
        <f>SUM(FH39/FH40)</f>
        <v>0.65511872488941481</v>
      </c>
      <c r="FI42" s="15">
        <f t="shared" ref="FI42:FT42" si="190">SUM(FI39/FI40)</f>
        <v>0.65743832738225016</v>
      </c>
      <c r="FJ42" s="15">
        <f t="shared" si="190"/>
        <v>0.65942002750154993</v>
      </c>
      <c r="FK42" s="15">
        <f t="shared" si="190"/>
        <v>0.6608474566953032</v>
      </c>
      <c r="FL42" s="15">
        <f t="shared" si="190"/>
        <v>0.66983991394182685</v>
      </c>
      <c r="FM42" s="15">
        <f t="shared" si="190"/>
        <v>0.67065858146702162</v>
      </c>
      <c r="FN42" s="15">
        <f t="shared" si="190"/>
        <v>0.67219758562262288</v>
      </c>
      <c r="FO42" s="15">
        <f t="shared" si="190"/>
        <v>0.67251366703561577</v>
      </c>
      <c r="FP42" s="15">
        <f t="shared" si="190"/>
        <v>0.6753079667689672</v>
      </c>
      <c r="FQ42" s="15">
        <f t="shared" si="190"/>
        <v>0.67729473371781634</v>
      </c>
      <c r="FR42" s="15">
        <f t="shared" si="190"/>
        <v>0.67848425302405391</v>
      </c>
      <c r="FS42" s="15">
        <f t="shared" si="190"/>
        <v>0.68033151602640074</v>
      </c>
      <c r="FT42" s="15">
        <f t="shared" si="190"/>
        <v>0.68135517368826504</v>
      </c>
    </row>
    <row r="43" spans="1:182" x14ac:dyDescent="0.25">
      <c r="C43" s="74"/>
      <c r="D43" s="18"/>
      <c r="E43" s="18"/>
      <c r="F43" s="18"/>
      <c r="G43" s="18"/>
      <c r="H43" s="82"/>
      <c r="I43" s="18"/>
      <c r="J43" s="18"/>
      <c r="K43" s="18"/>
      <c r="L43" s="18"/>
      <c r="M43" s="18"/>
      <c r="N43" s="18"/>
      <c r="O43" s="138"/>
      <c r="P43" s="18"/>
      <c r="Q43" s="18"/>
      <c r="U43" s="18"/>
      <c r="V43" s="18"/>
      <c r="W43" s="18"/>
      <c r="X43" s="18"/>
      <c r="Y43" s="18"/>
      <c r="Z43" s="146"/>
      <c r="AA43" s="13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46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20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20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1:182" x14ac:dyDescent="0.25">
      <c r="H44" s="7"/>
      <c r="K44" s="38"/>
      <c r="R44" s="2"/>
      <c r="S44" s="2"/>
      <c r="T44" s="2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1:182" x14ac:dyDescent="0.25">
      <c r="B45" s="2"/>
      <c r="C45" s="575" t="s">
        <v>79</v>
      </c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 t="s">
        <v>79</v>
      </c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 t="s">
        <v>79</v>
      </c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 t="s">
        <v>79</v>
      </c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 t="s">
        <v>79</v>
      </c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 t="s">
        <v>79</v>
      </c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 t="s">
        <v>79</v>
      </c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6" t="s">
        <v>79</v>
      </c>
      <c r="CJ45" s="576"/>
      <c r="CK45" s="576"/>
      <c r="CL45" s="576"/>
      <c r="CM45" s="576"/>
      <c r="CN45" s="576"/>
      <c r="CO45" s="576"/>
      <c r="CP45" s="576"/>
      <c r="CQ45" s="576"/>
      <c r="CR45" s="576"/>
      <c r="CS45" s="576"/>
      <c r="CT45" s="576"/>
      <c r="CU45" s="576" t="s">
        <v>79</v>
      </c>
      <c r="CV45" s="576"/>
      <c r="CW45" s="576"/>
      <c r="CX45" s="576"/>
      <c r="CY45" s="576"/>
      <c r="CZ45" s="576"/>
      <c r="DA45" s="576"/>
      <c r="DB45" s="576"/>
      <c r="DC45" s="576"/>
      <c r="DD45" s="576"/>
      <c r="DE45" s="576"/>
      <c r="DF45" s="576"/>
      <c r="DG45" s="576" t="s">
        <v>79</v>
      </c>
      <c r="DH45" s="576"/>
      <c r="DI45" s="576"/>
      <c r="DJ45" s="576"/>
      <c r="DK45" s="576"/>
      <c r="DL45" s="576"/>
      <c r="DM45" s="576"/>
      <c r="DN45" s="576"/>
      <c r="DO45" s="576"/>
      <c r="DP45" s="576"/>
      <c r="DQ45" s="576"/>
      <c r="DR45" s="576"/>
      <c r="DS45" s="576" t="s">
        <v>79</v>
      </c>
      <c r="DT45" s="576"/>
      <c r="DU45" s="576"/>
      <c r="DV45" s="576"/>
      <c r="DW45" s="576"/>
      <c r="DX45" s="576"/>
      <c r="DY45" s="576"/>
      <c r="DZ45" s="576"/>
      <c r="EA45" s="576"/>
      <c r="EB45" s="576"/>
      <c r="EC45" s="576"/>
      <c r="ED45" s="576"/>
      <c r="EE45" s="576" t="s">
        <v>79</v>
      </c>
      <c r="EF45" s="576"/>
      <c r="EG45" s="576"/>
      <c r="EH45" s="576"/>
      <c r="EI45" s="576"/>
      <c r="EJ45" s="576"/>
      <c r="EK45" s="576"/>
      <c r="EL45" s="576"/>
      <c r="EM45" s="576"/>
      <c r="EN45" s="576"/>
      <c r="EO45" s="576"/>
      <c r="EP45" s="576"/>
      <c r="EQ45" s="576" t="s">
        <v>79</v>
      </c>
      <c r="ER45" s="576"/>
      <c r="ES45" s="576"/>
      <c r="ET45" s="576"/>
      <c r="EU45" s="576"/>
      <c r="EV45" s="576"/>
      <c r="EW45" s="576"/>
      <c r="EX45" s="576"/>
      <c r="EY45" s="576"/>
      <c r="EZ45" s="576"/>
      <c r="FA45" s="576"/>
      <c r="FB45" s="576"/>
      <c r="FC45" s="576" t="s">
        <v>79</v>
      </c>
      <c r="FD45" s="576"/>
      <c r="FE45" s="576"/>
      <c r="FF45" s="576"/>
      <c r="FG45" s="576"/>
      <c r="FH45" s="576"/>
      <c r="FI45" s="576"/>
      <c r="FJ45" s="576"/>
      <c r="FK45" s="576"/>
      <c r="FL45" s="576"/>
      <c r="FM45" s="576"/>
      <c r="FN45" s="576"/>
      <c r="FO45" s="576" t="s">
        <v>79</v>
      </c>
      <c r="FP45" s="576"/>
      <c r="FQ45" s="576"/>
      <c r="FR45" s="576"/>
      <c r="FS45" s="576"/>
      <c r="FT45" s="576"/>
      <c r="FU45" s="576"/>
      <c r="FV45" s="576"/>
      <c r="FW45" s="576"/>
      <c r="FX45" s="576"/>
      <c r="FY45" s="576"/>
      <c r="FZ45" s="576"/>
    </row>
    <row r="46" spans="1:182" ht="13.8" thickBot="1" x14ac:dyDescent="0.3">
      <c r="B46" s="2"/>
      <c r="C46" s="582" t="s">
        <v>20</v>
      </c>
      <c r="D46" s="582"/>
      <c r="E46" s="582"/>
      <c r="F46" s="582"/>
      <c r="G46" s="582"/>
      <c r="H46" s="582"/>
      <c r="I46" s="582"/>
      <c r="J46" s="582"/>
      <c r="K46" s="582"/>
      <c r="L46" s="582"/>
      <c r="M46" s="582"/>
      <c r="N46" s="582"/>
      <c r="O46" s="582" t="s">
        <v>20</v>
      </c>
      <c r="P46" s="582"/>
      <c r="Q46" s="582"/>
      <c r="R46" s="582"/>
      <c r="S46" s="582"/>
      <c r="T46" s="582"/>
      <c r="U46" s="582"/>
      <c r="V46" s="582"/>
      <c r="W46" s="582"/>
      <c r="X46" s="582"/>
      <c r="Y46" s="582"/>
      <c r="Z46" s="582"/>
      <c r="AA46" s="582" t="s">
        <v>20</v>
      </c>
      <c r="AB46" s="582"/>
      <c r="AC46" s="582"/>
      <c r="AD46" s="582"/>
      <c r="AE46" s="582"/>
      <c r="AF46" s="582"/>
      <c r="AG46" s="582"/>
      <c r="AH46" s="582"/>
      <c r="AI46" s="582"/>
      <c r="AJ46" s="582"/>
      <c r="AK46" s="582"/>
      <c r="AL46" s="582"/>
      <c r="AM46" s="582" t="s">
        <v>20</v>
      </c>
      <c r="AN46" s="582"/>
      <c r="AO46" s="582"/>
      <c r="AP46" s="582"/>
      <c r="AQ46" s="582"/>
      <c r="AR46" s="582"/>
      <c r="AS46" s="582"/>
      <c r="AT46" s="582"/>
      <c r="AU46" s="582"/>
      <c r="AV46" s="582"/>
      <c r="AW46" s="582"/>
      <c r="AX46" s="582"/>
      <c r="AY46" s="582" t="s">
        <v>20</v>
      </c>
      <c r="AZ46" s="582"/>
      <c r="BA46" s="582"/>
      <c r="BB46" s="582"/>
      <c r="BC46" s="582"/>
      <c r="BD46" s="582"/>
      <c r="BE46" s="582"/>
      <c r="BF46" s="582"/>
      <c r="BG46" s="582"/>
      <c r="BH46" s="582"/>
      <c r="BI46" s="582"/>
      <c r="BJ46" s="582"/>
      <c r="BK46" s="582" t="s">
        <v>20</v>
      </c>
      <c r="BL46" s="582"/>
      <c r="BM46" s="582"/>
      <c r="BN46" s="582"/>
      <c r="BO46" s="582"/>
      <c r="BP46" s="582"/>
      <c r="BQ46" s="582"/>
      <c r="BR46" s="582"/>
      <c r="BS46" s="582"/>
      <c r="BT46" s="582"/>
      <c r="BU46" s="582"/>
      <c r="BV46" s="582"/>
      <c r="BW46" s="582" t="s">
        <v>20</v>
      </c>
      <c r="BX46" s="582"/>
      <c r="BY46" s="582"/>
      <c r="BZ46" s="582"/>
      <c r="CA46" s="582"/>
      <c r="CB46" s="582"/>
      <c r="CC46" s="582"/>
      <c r="CD46" s="582"/>
      <c r="CE46" s="582"/>
      <c r="CF46" s="582"/>
      <c r="CG46" s="582"/>
      <c r="CH46" s="582"/>
      <c r="CI46" s="576" t="s">
        <v>47</v>
      </c>
      <c r="CJ46" s="576"/>
      <c r="CK46" s="576"/>
      <c r="CL46" s="576"/>
      <c r="CM46" s="576"/>
      <c r="CN46" s="576"/>
      <c r="CO46" s="576"/>
      <c r="CP46" s="576"/>
      <c r="CQ46" s="576"/>
      <c r="CR46" s="576"/>
      <c r="CS46" s="576"/>
      <c r="CT46" s="576"/>
      <c r="CU46" s="576" t="s">
        <v>20</v>
      </c>
      <c r="CV46" s="576"/>
      <c r="CW46" s="576"/>
      <c r="CX46" s="576"/>
      <c r="CY46" s="576"/>
      <c r="CZ46" s="576"/>
      <c r="DA46" s="576"/>
      <c r="DB46" s="576"/>
      <c r="DC46" s="576"/>
      <c r="DD46" s="576"/>
      <c r="DE46" s="576"/>
      <c r="DF46" s="576"/>
      <c r="DG46" s="576" t="s">
        <v>20</v>
      </c>
      <c r="DH46" s="576"/>
      <c r="DI46" s="576"/>
      <c r="DJ46" s="576"/>
      <c r="DK46" s="576"/>
      <c r="DL46" s="576"/>
      <c r="DM46" s="576"/>
      <c r="DN46" s="576"/>
      <c r="DO46" s="576"/>
      <c r="DP46" s="576"/>
      <c r="DQ46" s="576"/>
      <c r="DR46" s="576"/>
      <c r="DS46" s="576" t="s">
        <v>20</v>
      </c>
      <c r="DT46" s="576"/>
      <c r="DU46" s="576"/>
      <c r="DV46" s="576"/>
      <c r="DW46" s="576"/>
      <c r="DX46" s="576"/>
      <c r="DY46" s="576"/>
      <c r="DZ46" s="576"/>
      <c r="EA46" s="576"/>
      <c r="EB46" s="576"/>
      <c r="EC46" s="576"/>
      <c r="ED46" s="576"/>
      <c r="EE46" s="576" t="s">
        <v>20</v>
      </c>
      <c r="EF46" s="576"/>
      <c r="EG46" s="576"/>
      <c r="EH46" s="576"/>
      <c r="EI46" s="576"/>
      <c r="EJ46" s="576"/>
      <c r="EK46" s="576"/>
      <c r="EL46" s="576"/>
      <c r="EM46" s="576"/>
      <c r="EN46" s="576"/>
      <c r="EO46" s="576"/>
      <c r="EP46" s="576"/>
      <c r="EQ46" s="576" t="s">
        <v>20</v>
      </c>
      <c r="ER46" s="576"/>
      <c r="ES46" s="576"/>
      <c r="ET46" s="576"/>
      <c r="EU46" s="576"/>
      <c r="EV46" s="576"/>
      <c r="EW46" s="576"/>
      <c r="EX46" s="576"/>
      <c r="EY46" s="576"/>
      <c r="EZ46" s="576"/>
      <c r="FA46" s="576"/>
      <c r="FB46" s="576"/>
      <c r="FC46" s="576" t="s">
        <v>20</v>
      </c>
      <c r="FD46" s="576"/>
      <c r="FE46" s="576"/>
      <c r="FF46" s="576"/>
      <c r="FG46" s="576"/>
      <c r="FH46" s="576"/>
      <c r="FI46" s="576"/>
      <c r="FJ46" s="576"/>
      <c r="FK46" s="576"/>
      <c r="FL46" s="576"/>
      <c r="FM46" s="576"/>
      <c r="FN46" s="576"/>
      <c r="FO46" s="576" t="s">
        <v>20</v>
      </c>
      <c r="FP46" s="576"/>
      <c r="FQ46" s="576"/>
      <c r="FR46" s="576"/>
      <c r="FS46" s="576"/>
      <c r="FT46" s="576"/>
      <c r="FU46" s="576"/>
      <c r="FV46" s="576"/>
      <c r="FW46" s="576"/>
      <c r="FX46" s="576"/>
      <c r="FY46" s="576"/>
      <c r="FZ46" s="576"/>
    </row>
    <row r="47" spans="1:182" ht="13.8" thickBot="1" x14ac:dyDescent="0.3">
      <c r="B47" s="2"/>
      <c r="C47" s="579">
        <v>2002</v>
      </c>
      <c r="D47" s="580"/>
      <c r="E47" s="580"/>
      <c r="F47" s="580"/>
      <c r="G47" s="580"/>
      <c r="H47" s="580"/>
      <c r="I47" s="580"/>
      <c r="J47" s="580"/>
      <c r="K47" s="580"/>
      <c r="L47" s="580"/>
      <c r="M47" s="580"/>
      <c r="N47" s="581"/>
      <c r="O47" s="579">
        <v>2003</v>
      </c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1"/>
      <c r="AA47" s="579">
        <v>2004</v>
      </c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1"/>
      <c r="AM47" s="579">
        <v>2005</v>
      </c>
      <c r="AN47" s="580"/>
      <c r="AO47" s="580"/>
      <c r="AP47" s="580"/>
      <c r="AQ47" s="580"/>
      <c r="AR47" s="580"/>
      <c r="AS47" s="580"/>
      <c r="AT47" s="580"/>
      <c r="AU47" s="580"/>
      <c r="AV47" s="580"/>
      <c r="AW47" s="580"/>
      <c r="AX47" s="581"/>
      <c r="AY47" s="579">
        <v>2006</v>
      </c>
      <c r="AZ47" s="580"/>
      <c r="BA47" s="580"/>
      <c r="BB47" s="580"/>
      <c r="BC47" s="580"/>
      <c r="BD47" s="580"/>
      <c r="BE47" s="580"/>
      <c r="BF47" s="580"/>
      <c r="BG47" s="580"/>
      <c r="BH47" s="580"/>
      <c r="BI47" s="580"/>
      <c r="BJ47" s="581"/>
      <c r="BK47" s="579">
        <v>2007</v>
      </c>
      <c r="BL47" s="580"/>
      <c r="BM47" s="580"/>
      <c r="BN47" s="580"/>
      <c r="BO47" s="580"/>
      <c r="BP47" s="580"/>
      <c r="BQ47" s="580"/>
      <c r="BR47" s="580"/>
      <c r="BS47" s="580"/>
      <c r="BT47" s="580"/>
      <c r="BU47" s="580"/>
      <c r="BV47" s="581"/>
      <c r="BW47" s="579">
        <v>2008</v>
      </c>
      <c r="BX47" s="580"/>
      <c r="BY47" s="580"/>
      <c r="BZ47" s="580"/>
      <c r="CA47" s="580"/>
      <c r="CB47" s="580"/>
      <c r="CC47" s="580"/>
      <c r="CD47" s="580"/>
      <c r="CE47" s="580"/>
      <c r="CF47" s="580"/>
      <c r="CG47" s="580"/>
      <c r="CH47" s="581"/>
      <c r="CI47" s="572">
        <v>2009</v>
      </c>
      <c r="CJ47" s="573"/>
      <c r="CK47" s="573"/>
      <c r="CL47" s="573"/>
      <c r="CM47" s="573"/>
      <c r="CN47" s="573"/>
      <c r="CO47" s="573"/>
      <c r="CP47" s="573"/>
      <c r="CQ47" s="573"/>
      <c r="CR47" s="573"/>
      <c r="CS47" s="573"/>
      <c r="CT47" s="574"/>
      <c r="CU47" s="577">
        <v>2010</v>
      </c>
      <c r="CV47" s="578"/>
      <c r="CW47" s="578"/>
      <c r="CX47" s="578"/>
      <c r="CY47" s="578"/>
      <c r="CZ47" s="578"/>
      <c r="DA47" s="578"/>
      <c r="DB47" s="578"/>
      <c r="DC47" s="578"/>
      <c r="DD47" s="578"/>
      <c r="DE47" s="578"/>
      <c r="DF47" s="592"/>
      <c r="DG47" s="577">
        <v>2011</v>
      </c>
      <c r="DH47" s="578"/>
      <c r="DI47" s="578"/>
      <c r="DJ47" s="578"/>
      <c r="DK47" s="578"/>
      <c r="DL47" s="578"/>
      <c r="DM47" s="578"/>
      <c r="DN47" s="578"/>
      <c r="DO47" s="578"/>
      <c r="DP47" s="578"/>
      <c r="DQ47" s="578"/>
      <c r="DR47" s="592"/>
      <c r="DS47" s="577">
        <v>2012</v>
      </c>
      <c r="DT47" s="578"/>
      <c r="DU47" s="578"/>
      <c r="DV47" s="578"/>
      <c r="DW47" s="578"/>
      <c r="DX47" s="578"/>
      <c r="DY47" s="578"/>
      <c r="DZ47" s="578"/>
      <c r="EA47" s="578"/>
      <c r="EB47" s="578"/>
      <c r="EC47" s="578"/>
      <c r="ED47" s="592"/>
      <c r="EE47" s="577">
        <v>2013</v>
      </c>
      <c r="EF47" s="578"/>
      <c r="EG47" s="578"/>
      <c r="EH47" s="578"/>
      <c r="EI47" s="578"/>
      <c r="EJ47" s="578"/>
      <c r="EK47" s="578"/>
      <c r="EL47" s="578"/>
      <c r="EM47" s="578"/>
      <c r="EN47" s="578"/>
      <c r="EO47" s="578"/>
      <c r="EP47" s="592"/>
      <c r="EQ47" s="577">
        <v>2014</v>
      </c>
      <c r="ER47" s="578"/>
      <c r="ES47" s="578"/>
      <c r="ET47" s="578"/>
      <c r="EU47" s="578"/>
      <c r="EV47" s="578"/>
      <c r="EW47" s="578"/>
      <c r="EX47" s="578"/>
      <c r="EY47" s="578"/>
      <c r="EZ47" s="578"/>
      <c r="FA47" s="578"/>
      <c r="FB47" s="592"/>
      <c r="FC47" s="577">
        <v>2015</v>
      </c>
      <c r="FD47" s="578"/>
      <c r="FE47" s="578"/>
      <c r="FF47" s="578"/>
      <c r="FG47" s="578"/>
      <c r="FH47" s="578"/>
      <c r="FI47" s="578"/>
      <c r="FJ47" s="578"/>
      <c r="FK47" s="578"/>
      <c r="FL47" s="578"/>
      <c r="FM47" s="578"/>
      <c r="FN47" s="592"/>
      <c r="FO47" s="577">
        <v>2016</v>
      </c>
      <c r="FP47" s="578"/>
      <c r="FQ47" s="578"/>
      <c r="FR47" s="578"/>
      <c r="FS47" s="578"/>
      <c r="FT47" s="578"/>
      <c r="FU47" s="578"/>
      <c r="FV47" s="578"/>
      <c r="FW47" s="578"/>
      <c r="FX47" s="578"/>
      <c r="FY47" s="578"/>
      <c r="FZ47" s="592"/>
    </row>
    <row r="48" spans="1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</row>
    <row r="49" spans="2:176" x14ac:dyDescent="0.25">
      <c r="B49" s="3" t="s">
        <v>12</v>
      </c>
      <c r="C49" s="74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18"/>
      <c r="O49" s="138"/>
      <c r="P49" s="18"/>
      <c r="Q49" s="18"/>
      <c r="U49" s="18"/>
      <c r="V49" s="18"/>
      <c r="W49" s="18"/>
      <c r="X49" s="18"/>
      <c r="Y49" s="18"/>
      <c r="Z49" s="146"/>
      <c r="AA49" s="13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46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20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20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20"/>
      <c r="BW49" s="18"/>
      <c r="BX49" s="18"/>
      <c r="BY49" s="18"/>
      <c r="BZ49" s="18"/>
      <c r="CA49" s="18"/>
      <c r="CB49" s="18"/>
      <c r="CC49" s="69"/>
      <c r="CD49" s="69"/>
      <c r="CE49" s="69"/>
      <c r="CF49" s="69"/>
      <c r="CG49" s="69"/>
      <c r="CH49" s="69"/>
      <c r="CI49" s="252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6" x14ac:dyDescent="0.25">
      <c r="B50" s="3"/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18"/>
      <c r="O50" s="138"/>
      <c r="P50" s="18"/>
      <c r="Q50" s="18"/>
      <c r="U50" s="18"/>
      <c r="V50" s="18"/>
      <c r="W50" s="18"/>
      <c r="X50" s="18"/>
      <c r="Y50" s="18"/>
      <c r="Z50" s="146"/>
      <c r="AA50" s="13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46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20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20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20"/>
      <c r="BW50" s="18"/>
      <c r="BX50" s="18"/>
      <c r="BY50" s="18"/>
      <c r="BZ50" s="18"/>
      <c r="CA50" s="18"/>
      <c r="CB50" s="18"/>
      <c r="CC50" s="69"/>
      <c r="CD50" s="69"/>
      <c r="CE50" s="69"/>
      <c r="CF50" s="69"/>
      <c r="CG50" s="69"/>
      <c r="CH50" s="69"/>
      <c r="CI50" s="88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6" x14ac:dyDescent="0.25">
      <c r="B51" s="3" t="s">
        <v>1</v>
      </c>
      <c r="C51" s="75">
        <f>SUM(Oncor!C51,Centerpoint!C51,'AEP Central'!C51,TNMP!C51,'AEP North'!C51)</f>
        <v>4341889.693</v>
      </c>
      <c r="D51" s="16">
        <f>SUM(Oncor!D51,Centerpoint!D51,'AEP Central'!D51,TNMP!D51,'AEP North'!D51)</f>
        <v>4322851.4000000004</v>
      </c>
      <c r="E51" s="16">
        <f>SUM(Oncor!E51,Centerpoint!E51,'AEP Central'!E51,TNMP!E51,'AEP North'!E51)</f>
        <v>4854016.5070000011</v>
      </c>
      <c r="F51" s="16">
        <f>SUM(Oncor!F51,Centerpoint!F51,'AEP Central'!F51,TNMP!F51,'AEP North'!F51)</f>
        <v>4256799.0850000009</v>
      </c>
      <c r="G51" s="16">
        <f>SUM(Oncor!G51,Centerpoint!G51,'AEP Central'!G51,TNMP!G51,'AEP North'!G51)</f>
        <v>5140654.4419999998</v>
      </c>
      <c r="H51" s="16">
        <f>SUM(Oncor!H51,Centerpoint!H51,'AEP Central'!H51,TNMP!H51,'AEP North'!H51)</f>
        <v>6195760.0130000003</v>
      </c>
      <c r="I51" s="16">
        <f>SUM(Oncor!I51,Centerpoint!I51,'AEP Central'!I51,TNMP!I51,'AEP North'!I51)</f>
        <v>7348073.5270000007</v>
      </c>
      <c r="J51" s="16">
        <f>SUM(Oncor!J51,Centerpoint!J51,'AEP Central'!J51,TNMP!J51,'AEP North'!J51)</f>
        <v>8023047.442999999</v>
      </c>
      <c r="K51" s="16">
        <f>SUM(Oncor!K51,Centerpoint!K51,'AEP Central'!K51,TNMP!K51,'AEP North'!K51)</f>
        <v>8064125.976999999</v>
      </c>
      <c r="L51" s="16">
        <f>SUM(Oncor!L51,Centerpoint!L51,'AEP Central'!L51,TNMP!L51,'AEP North'!L51)</f>
        <v>6063860.6649999991</v>
      </c>
      <c r="M51" s="16">
        <f>SUM(Oncor!M51,Centerpoint!M51,'AEP Central'!M51,TNMP!M51,'AEP North'!M51)</f>
        <v>4198698.7700000005</v>
      </c>
      <c r="N51" s="16">
        <f>SUM(Oncor!N51,Centerpoint!N51,'AEP Central'!N51,TNMP!N51,'AEP North'!N51)</f>
        <v>4556549.8749999991</v>
      </c>
      <c r="O51" s="133">
        <f>SUM(Oncor!O51,Centerpoint!O51,'AEP Central'!O51,TNMP!O51,'AEP North'!O51)</f>
        <v>5380554</v>
      </c>
      <c r="P51" s="16">
        <f>SUM(Oncor!P51,Centerpoint!P51,'AEP Central'!P51,TNMP!P51,'AEP North'!P51)</f>
        <v>5329144</v>
      </c>
      <c r="Q51" s="16">
        <f>SUM(Oncor!Q51,Centerpoint!Q51,'AEP Central'!Q51,TNMP!Q51,'AEP North'!Q51)</f>
        <v>4735017</v>
      </c>
      <c r="R51" s="16">
        <f>SUM(Oncor!R51,Centerpoint!R51,'AEP Central'!R51,TNMP!R51,'AEP North'!R51)</f>
        <v>3671749.696</v>
      </c>
      <c r="S51" s="16">
        <f>SUM(Oncor!S51,Centerpoint!S51,'AEP Central'!S51,TNMP!S51,'AEP North'!S51)</f>
        <v>4677487.2079999996</v>
      </c>
      <c r="T51" s="16">
        <f>SUM(Oncor!T51,Centerpoint!T51,'AEP Central'!T51,TNMP!T51,'AEP North'!T51)</f>
        <v>6261021.3700000001</v>
      </c>
      <c r="U51" s="16">
        <f>SUM(Oncor!U51,Centerpoint!U51,'AEP Central'!U51,TNMP!U51,'AEP North'!U51)</f>
        <v>7355560.5300000003</v>
      </c>
      <c r="V51" s="16">
        <f>SUM(Oncor!V51,Centerpoint!V51,'AEP Central'!V51,TNMP!V51,'AEP North'!V51)</f>
        <v>7990757.7750000004</v>
      </c>
      <c r="W51" s="16">
        <f>SUM(Oncor!W51,Centerpoint!W51,'AEP Central'!W51,TNMP!W51,'AEP North'!W51)</f>
        <v>7103907.318</v>
      </c>
      <c r="X51" s="16">
        <f>SUM(Oncor!X51,Centerpoint!X51,'AEP Central'!X51,TNMP!X51,'AEP North'!X51)</f>
        <v>5061988.46</v>
      </c>
      <c r="Y51" s="16">
        <f>SUM(Oncor!Y51,Centerpoint!Y51,'AEP Central'!Y51,TNMP!Y51,'AEP North'!Y51)</f>
        <v>3932049.96</v>
      </c>
      <c r="Z51" s="147">
        <f>SUM(Oncor!Z51,Centerpoint!Z51,'AEP Central'!Z51,TNMP!Z51,'AEP North'!Z51)</f>
        <v>4218056.6899999995</v>
      </c>
      <c r="AA51" s="133">
        <f>SUM(Oncor!AA51,Centerpoint!AA51,'AEP Central'!AA51,TNMP!AA51,'AEP North'!AA51)</f>
        <v>4834347.24</v>
      </c>
      <c r="AB51" s="16">
        <f>SUM(Oncor!AB51,Centerpoint!AB51,'AEP Central'!AB51,TNMP!AB51,'AEP North'!AB51)</f>
        <v>4649860.21</v>
      </c>
      <c r="AC51" s="16">
        <f>SUM(Oncor!AC51,Centerpoint!AC51,'AEP Central'!AC51,TNMP!AC51,'AEP North'!AC51)</f>
        <v>4084818.93</v>
      </c>
      <c r="AD51" s="16">
        <f>SUM(Oncor!AD51,Centerpoint!AD51,'AEP Central'!AD51,TNMP!AD51,'AEP North'!AD51)</f>
        <v>3492964.67</v>
      </c>
      <c r="AE51" s="16">
        <f>SUM(Oncor!AE51,Centerpoint!AE51,'AEP Central'!AE51,TNMP!AE51,'AEP North'!AE51)</f>
        <v>3930306.95</v>
      </c>
      <c r="AF51" s="16">
        <f>SUM(Oncor!AF51,Centerpoint!AF51,'AEP Central'!AF51,TNMP!AF51,'AEP North'!AF51)</f>
        <v>5661008.8500000006</v>
      </c>
      <c r="AG51" s="16">
        <f>SUM(Oncor!AG51,Centerpoint!AG51,'AEP Central'!AG51,TNMP!AG51,'AEP North'!AG51)</f>
        <v>6527044.1600000001</v>
      </c>
      <c r="AH51" s="16">
        <f>SUM(Oncor!AH51,Centerpoint!AH51,'AEP Central'!AH51,TNMP!AH51,'AEP North'!AH51)</f>
        <v>6881012.2000000002</v>
      </c>
      <c r="AI51" s="16">
        <f>SUM(Oncor!AI51,Centerpoint!AI51,'AEP Central'!AI51,TNMP!AI51,'AEP North'!AI51)</f>
        <v>6285735.2200000007</v>
      </c>
      <c r="AJ51" s="16">
        <f>SUM(Oncor!AJ51,Centerpoint!AJ51,'AEP Central'!AJ51,TNMP!AJ51,'AEP North'!AJ51)</f>
        <v>5272225.7919999994</v>
      </c>
      <c r="AK51" s="16">
        <f>SUM(Oncor!AK51,Centerpoint!AK51,'AEP Central'!AK51,TNMP!AK51,'AEP North'!AK51)</f>
        <v>4137234.0409999997</v>
      </c>
      <c r="AL51" s="147">
        <f>SUM(Oncor!AL51,Centerpoint!AL51,'AEP Central'!AL51,TNMP!AL51,'AEP North'!AL51)</f>
        <v>3878393.5449999999</v>
      </c>
      <c r="AM51" s="16">
        <f>SUM(Oncor!AM51,Centerpoint!AM51,'AEP Central'!AM51,TNMP!AM51,'AEP North'!AM51)</f>
        <v>4716279.4400000004</v>
      </c>
      <c r="AN51" s="16">
        <f>SUM(Oncor!AN51,Centerpoint!AN51,'AEP Central'!AN51,TNMP!AN51,'AEP North'!AN51)</f>
        <v>4130351.4499999997</v>
      </c>
      <c r="AO51" s="16">
        <f>SUM(Oncor!AO51,Centerpoint!AO51,'AEP Central'!AO51,TNMP!AO51,'AEP North'!AO51)</f>
        <v>3580160.2600000002</v>
      </c>
      <c r="AP51" s="16">
        <f>SUM(Oncor!AP51,Centerpoint!AP51,'AEP Central'!AP51,TNMP!AP51,'AEP North'!AP51)</f>
        <v>3270790.3499999996</v>
      </c>
      <c r="AQ51" s="16">
        <f>SUM(Oncor!AQ51,Centerpoint!AQ51,'AEP Central'!AQ51,TNMP!AQ51,'AEP North'!AQ51)</f>
        <v>3414396.44</v>
      </c>
      <c r="AR51" s="16">
        <f>SUM(Oncor!AR51,Centerpoint!AR51,'AEP Central'!AR51,TNMP!AR51,'AEP North'!AR51)</f>
        <v>5356794.1499999994</v>
      </c>
      <c r="AS51" s="16">
        <f>SUM(Oncor!AS51,Centerpoint!AS51,'AEP Central'!AS51,TNMP!AS51,'AEP North'!AS51)</f>
        <v>6738550.25</v>
      </c>
      <c r="AT51" s="16">
        <f>SUM(Oncor!AT51,Centerpoint!AT51,'AEP Central'!AT51,TNMP!AT51,'AEP North'!AT51)</f>
        <v>6439244.4100000001</v>
      </c>
      <c r="AU51" s="16">
        <f>SUM(Oncor!AU51,Centerpoint!AU51,'AEP Central'!AU51,TNMP!AU51,'AEP North'!AU51)</f>
        <v>6593360.4699999997</v>
      </c>
      <c r="AV51" s="16">
        <f>SUM(Oncor!AV51,Centerpoint!AV51,'AEP Central'!AV51,TNMP!AV51,'AEP North'!AV51)</f>
        <v>5421419.5</v>
      </c>
      <c r="AW51" s="16">
        <f>SUM(Oncor!AW51,Centerpoint!AW51,'AEP Central'!AW51,TNMP!AW51,'AEP North'!AW51)</f>
        <v>3411861.9999999995</v>
      </c>
      <c r="AX51" s="21">
        <f>SUM(Oncor!AX51,Centerpoint!AX51,'AEP Central'!AX51,TNMP!AX51,'AEP North'!AX51)</f>
        <v>3711282.4600000004</v>
      </c>
      <c r="AY51" s="16">
        <f>SUM(Oncor!AY51,Centerpoint!AY51,'AEP Central'!AY51,TNMP!AY51,'AEP North'!AY51)</f>
        <v>3900795.3899999997</v>
      </c>
      <c r="AZ51" s="16">
        <f>SUM(Oncor!AZ51,Centerpoint!AZ51,'AEP Central'!AZ51,TNMP!AZ51,'AEP North'!AZ51)</f>
        <v>3137729.55</v>
      </c>
      <c r="BA51" s="16">
        <f>SUM(Oncor!BA51,Centerpoint!BA51,'AEP Central'!BA51,TNMP!BA51,'AEP North'!BA51)</f>
        <v>3332142.3</v>
      </c>
      <c r="BB51" s="16">
        <f>SUM(Oncor!BB51,Centerpoint!BB51,'AEP Central'!BB51,TNMP!BB51,'AEP North'!BB51)</f>
        <v>3177027.57</v>
      </c>
      <c r="BC51" s="16">
        <f>SUM(Oncor!BC51,Centerpoint!BC51,'AEP Central'!BC51,TNMP!BC51,'AEP North'!BC51)</f>
        <v>3814898.86</v>
      </c>
      <c r="BD51" s="16">
        <f>SUM(Oncor!BD51,Centerpoint!BD51,'AEP Central'!BD51,TNMP!BD51,'AEP North'!BD51)</f>
        <v>4975529.5600000005</v>
      </c>
      <c r="BE51" s="16">
        <f>SUM(Oncor!BE51,Centerpoint!BE51,'AEP Central'!BE51,TNMP!BE51,'AEP North'!BE51)</f>
        <v>5586346</v>
      </c>
      <c r="BF51" s="16">
        <f>SUM(Oncor!BF51,Centerpoint!BF51,'AEP Central'!BF51,TNMP!BF51,'AEP North'!BF51)</f>
        <v>6176736.0200000005</v>
      </c>
      <c r="BG51" s="16">
        <f>SUM(Oncor!BG51,Centerpoint!BG51,'AEP Central'!BG51,TNMP!BG51,'AEP North'!BG51)</f>
        <v>5728085.1100000003</v>
      </c>
      <c r="BH51" s="16">
        <f>SUM(Oncor!BH51,Centerpoint!BH51,'AEP Central'!BH51,TNMP!BH51,'AEP North'!BH51)</f>
        <v>4105891.5</v>
      </c>
      <c r="BI51" s="16">
        <f>SUM(Oncor!BI51,Centerpoint!BI51,'AEP Central'!BI51,TNMP!BI51,'AEP North'!BI51)</f>
        <v>2865485.74</v>
      </c>
      <c r="BJ51" s="21">
        <f>SUM(Oncor!BJ51,Centerpoint!BJ51,'AEP Central'!BJ51,TNMP!BJ51,'AEP North'!BJ51)</f>
        <v>3106587.53</v>
      </c>
      <c r="BK51" s="16">
        <f>SUM(Oncor!BK51,Centerpoint!BK51,'AEP Central'!BK51,TNMP!BK51,'AEP North'!BK51)</f>
        <v>3739551.7699999996</v>
      </c>
      <c r="BL51" s="16">
        <f>SUM(Oncor!BL51,Centerpoint!BL51,'AEP Central'!BL51,TNMP!BL51,'AEP North'!BL51)</f>
        <v>3893582.4099999997</v>
      </c>
      <c r="BM51" s="16">
        <f>SUM(Oncor!BM51,Centerpoint!BM51,'AEP Central'!BM51,TNMP!BM51,'AEP North'!BM51)</f>
        <v>2966487.78</v>
      </c>
      <c r="BN51" s="16">
        <f>SUM(Oncor!BN51,Centerpoint!BN51,'AEP Central'!BN51,TNMP!BN51,'AEP North'!BN51)</f>
        <v>2525050.3569999998</v>
      </c>
      <c r="BO51" s="16">
        <f>SUM(Oncor!BO51,Centerpoint!BO51,'AEP Central'!BO51,TNMP!BO51,'AEP North'!BO51)</f>
        <v>2795644.1300000004</v>
      </c>
      <c r="BP51" s="16">
        <f>SUM(Oncor!BP51,Centerpoint!BP51,'AEP Central'!BP51,TNMP!BP51,'AEP North'!BP51)</f>
        <v>3635701.4</v>
      </c>
      <c r="BQ51" s="16">
        <f>SUM(Oncor!BQ51,Centerpoint!BQ51,'AEP Central'!BQ51,TNMP!BQ51,'AEP North'!BQ51)</f>
        <v>4415215.3600000003</v>
      </c>
      <c r="BR51" s="16">
        <f>SUM(Oncor!BR51,Centerpoint!BR51,'AEP Central'!BR51,TNMP!BR51,'AEP North'!BR51)</f>
        <v>4696262.76</v>
      </c>
      <c r="BS51" s="16">
        <f>SUM(Oncor!BS51,Centerpoint!BS51,'AEP Central'!BS51,TNMP!BS51,'AEP North'!BS51)</f>
        <v>4987019.54</v>
      </c>
      <c r="BT51" s="16">
        <f>SUM(Oncor!BT51,Centerpoint!BT51,'AEP Central'!BT51,TNMP!BT51,'AEP North'!BT51)</f>
        <v>4175901.8799999994</v>
      </c>
      <c r="BU51" s="16">
        <f>SUM(Oncor!BU51,Centerpoint!BU51,'AEP Central'!BU51,TNMP!BU51,'AEP North'!BU51)</f>
        <v>2869108.27</v>
      </c>
      <c r="BV51" s="21">
        <f>SUM(Oncor!BV51,Centerpoint!BV51,'AEP Central'!BV51,TNMP!BV51,'AEP North'!BV51)</f>
        <v>2941869.83</v>
      </c>
      <c r="BW51" s="16">
        <f>SUM(Oncor!BW51,Centerpoint!BW51,'AEP Central'!BW51,TNMP!BW51,'AEP North'!BW51)</f>
        <v>3643376.81</v>
      </c>
      <c r="BX51" s="16">
        <f>SUM(Oncor!BX51,Centerpoint!BX51,'AEP Central'!BX51,TNMP!BX51,'AEP North'!BX51)</f>
        <v>3244090.9499999997</v>
      </c>
      <c r="BY51" s="16">
        <f>SUM(Oncor!BY51,Centerpoint!BY51,'AEP Central'!BY51,TNMP!BY51,'AEP North'!BY51)</f>
        <v>2669332.4099999997</v>
      </c>
      <c r="BZ51" s="16">
        <f>SUM(Oncor!BZ51,Centerpoint!BZ51,'AEP Central'!BZ51,TNMP!BZ51,'AEP North'!BZ51)</f>
        <v>2488414.6799999997</v>
      </c>
      <c r="CA51" s="16">
        <f>SUM(Oncor!CA51,Centerpoint!CA51,'AEP Central'!CA51,TNMP!CA51,'AEP North'!CA51)</f>
        <v>2563735.2799999998</v>
      </c>
      <c r="CB51" s="16">
        <f>SUM(Oncor!CB51,Centerpoint!CB51,'AEP Central'!CB51,TNMP!CB51,'AEP North'!CB51)</f>
        <v>4109751.1</v>
      </c>
      <c r="CC51" s="69">
        <f>SUM(Oncor!CC51,Centerpoint!CC51,'AEP Central'!CC51,TNMP!CC51,'AEP North'!CC51)</f>
        <v>4832038.3489999995</v>
      </c>
      <c r="CD51" s="69">
        <f>SUM(Oncor!CD51,Centerpoint!CD51,'AEP Central'!CD51,TNMP!CD51,'AEP North'!CD51)</f>
        <v>5024802.7929999996</v>
      </c>
      <c r="CE51" s="69">
        <f>SUM(Oncor!CE51,Centerpoint!CE51,'AEP Central'!CE51,TNMP!CE51,'AEP North'!CE51)</f>
        <v>4471304.8090000004</v>
      </c>
      <c r="CF51" s="69">
        <f>SUM(Oncor!CF51,Centerpoint!CF51,'AEP Central'!CF51,TNMP!CF51,'AEP North'!CF51)</f>
        <v>2791748.06</v>
      </c>
      <c r="CG51" s="69">
        <f>SUM(Oncor!CG51,Centerpoint!CG51,'AEP Central'!CG51,TNMP!CG51,'AEP North'!CG51)</f>
        <v>2753649</v>
      </c>
      <c r="CH51" s="69">
        <f>SUM(Oncor!CH51,Centerpoint!CH51,'AEP Central'!CH51,TNMP!CH51,'AEP North'!CH51)</f>
        <v>2783324.86</v>
      </c>
      <c r="CI51" s="88">
        <f>SUM(Oncor!CI51,Centerpoint!CI51,'AEP Central'!CI51,TNMP!CI51,'AEP North'!CI51)</f>
        <v>3488061.5799999996</v>
      </c>
      <c r="CJ51" s="69">
        <f>SUM(Oncor!CJ51,Centerpoint!CJ51,'AEP Central'!CJ51,TNMP!CJ51,'AEP North'!CJ51)</f>
        <v>2852102.4299999997</v>
      </c>
      <c r="CK51" s="69">
        <f>SUM(Oncor!CK51,Centerpoint!CK51,'AEP Central'!CK51,TNMP!CK51,'AEP North'!CK51)</f>
        <v>2400490.4899999998</v>
      </c>
      <c r="CL51" s="69">
        <f>SUM(Oncor!CL51,Centerpoint!CL51,'AEP Central'!CL51,TNMP!CL51,'AEP North'!CL51)</f>
        <v>2392520.2200000002</v>
      </c>
      <c r="CM51" s="69">
        <f>SUM(Oncor!CM51,Centerpoint!CM51,'AEP Central'!CM51,TNMP!CM51,'AEP North'!CM51)</f>
        <v>2577052.59</v>
      </c>
      <c r="CN51" s="69">
        <f>SUM(Oncor!CN51,Centerpoint!CN51,'AEP Central'!CN51,TNMP!CN51,'AEP North'!CN51)</f>
        <v>3567041.6399999997</v>
      </c>
      <c r="CO51" s="69">
        <f>SUM(Oncor!CO51,Centerpoint!CO51,'AEP Central'!CO51,TNMP!CO51,'AEP North'!CO51)</f>
        <v>5013370.4799999995</v>
      </c>
      <c r="CP51" s="69">
        <f>SUM(Oncor!CP51,Centerpoint!CP51,'AEP Central'!CP51,TNMP!CP51,'AEP North'!CP51)</f>
        <v>4846925.45</v>
      </c>
      <c r="CQ51" s="69">
        <f>SUM(Oncor!CQ51,Centerpoint!CQ51,'AEP Central'!CQ51,TNMP!CQ51,'AEP North'!CQ51)</f>
        <v>4440027.99</v>
      </c>
      <c r="CR51" s="69">
        <f>SUM(Oncor!CR51,Centerpoint!CR51,'AEP Central'!CR51,TNMP!CR51,'AEP North'!CR51)</f>
        <v>3023458.34</v>
      </c>
      <c r="CS51" s="69">
        <f>SUM(Oncor!CS51,Centerpoint!CS51,'AEP Central'!CS51,TNMP!CS51,'AEP North'!CS51)</f>
        <v>2248303.21</v>
      </c>
      <c r="CT51" s="89">
        <f>SUM(Oncor!CT51,Centerpoint!CT51,'AEP Central'!CT51,TNMP!CT51,'AEP North'!CT51)</f>
        <v>2691760.35</v>
      </c>
      <c r="CU51" s="69">
        <f>SUM(Oncor!CU51,Centerpoint!CU51,'AEP Central'!CU51,TNMP!CU51,'AEP North'!CU51)</f>
        <v>3785602.09</v>
      </c>
      <c r="CV51" s="69">
        <f>SUM(Oncor!CV51,Centerpoint!CV51,'AEP Central'!CV51,TNMP!CV51,'AEP North'!CV51)</f>
        <v>3128442.159</v>
      </c>
      <c r="CW51" s="69">
        <f>SUM(Oncor!CW51,Centerpoint!CW51,'AEP Central'!CW51,TNMP!CW51,'AEP North'!CW51)</f>
        <v>2826148.9670000002</v>
      </c>
      <c r="CX51" s="69">
        <f>SUM(Oncor!CX51,Centerpoint!CX51,'AEP Central'!CX51,TNMP!CX51,'AEP North'!CX51)</f>
        <v>2135186.0300000003</v>
      </c>
      <c r="CY51" s="69">
        <f>SUM(Oncor!CY51,Centerpoint!CY51,'AEP Central'!CY51,TNMP!CY51,'AEP North'!CY51)</f>
        <v>2208240.06</v>
      </c>
      <c r="CZ51" s="69">
        <f>SUM(Oncor!CZ51,Centerpoint!CZ51,'AEP Central'!CZ51,TNMP!CZ51,'AEP North'!CZ51)</f>
        <v>3665913.06</v>
      </c>
      <c r="DA51" s="69">
        <f>SUM(Oncor!DA51,Centerpoint!DA51,'AEP Central'!DA51,TNMP!DA51,'AEP North'!DA51)</f>
        <v>4343774.2300000004</v>
      </c>
      <c r="DB51" s="69">
        <f>SUM(Oncor!DB51,Centerpoint!DB51,'AEP Central'!DB51,TNMP!DB51,'AEP North'!DB51)</f>
        <v>4497282.9000000004</v>
      </c>
      <c r="DC51" s="69">
        <f>SUM(Oncor!DC51,Centerpoint!DC51,'AEP Central'!DC51,TNMP!DC51,'AEP North'!DC51)</f>
        <v>4449496.9399999995</v>
      </c>
      <c r="DD51" s="69">
        <f>SUM(Oncor!DD51,Centerpoint!DD51,'AEP Central'!DD51,TNMP!DD51,'AEP North'!DD51)</f>
        <v>3095009.4899999998</v>
      </c>
      <c r="DE51" s="69">
        <f>SUM(Oncor!DE51,Centerpoint!DE51,'AEP Central'!DE51,TNMP!DE51,'AEP North'!DE51)</f>
        <v>2188299.38</v>
      </c>
      <c r="DF51" s="89">
        <f>SUM(Oncor!DF51,Centerpoint!DF51,'AEP Central'!DF51,TNMP!DF51,'AEP North'!DF51)</f>
        <v>2442986.8600000003</v>
      </c>
      <c r="DG51" s="69">
        <f>SUM(Oncor!DG51,Centerpoint!DG51,'AEP Central'!DG51,TNMP!DG51,'AEP North'!DG51)</f>
        <v>3051812.1199999996</v>
      </c>
      <c r="DH51" s="69">
        <f>SUM(Oncor!DH51,Centerpoint!DH51,'AEP Central'!DH51,TNMP!DH51,'AEP North'!DH51)</f>
        <v>3155948.6100000003</v>
      </c>
      <c r="DI51" s="69">
        <f>SUM(Oncor!DI51,Centerpoint!DI51,'AEP Central'!DI51,TNMP!DI51,'AEP North'!DI51)</f>
        <v>2120377.87</v>
      </c>
      <c r="DJ51" s="69">
        <f>SUM(Oncor!DJ51,Centerpoint!DJ51,'AEP Central'!DJ51,TNMP!DJ51,'AEP North'!DJ51)</f>
        <v>2015886.83</v>
      </c>
      <c r="DK51" s="69">
        <f>SUM(Oncor!DK51,Centerpoint!DK51,'AEP Central'!DK51,TNMP!DK51,'AEP North'!DK51)</f>
        <v>2445582.29</v>
      </c>
      <c r="DL51" s="69">
        <f>SUM(Oncor!DL51,Centerpoint!DL51,'AEP Central'!DL51,TNMP!DL51,'AEP North'!DL51)</f>
        <v>3538638.21</v>
      </c>
      <c r="DM51" s="69">
        <f>SUM(Oncor!DM51,Centerpoint!DM51,'AEP Central'!DM51,TNMP!DM51,'AEP North'!DM51)</f>
        <v>4613928.68</v>
      </c>
      <c r="DN51" s="69">
        <f>SUM(Oncor!DN51,Centerpoint!DN51,'AEP Central'!DN51,TNMP!DN51,'AEP North'!DN51)</f>
        <v>4816996.1399999997</v>
      </c>
      <c r="DO51" s="69">
        <f>SUM(Oncor!DO51,Centerpoint!DO51,'AEP Central'!DO51,TNMP!DO51,'AEP North'!DO51)</f>
        <v>4444336.45</v>
      </c>
      <c r="DP51" s="69">
        <f>SUM(Oncor!DP51,Centerpoint!DP51,'AEP Central'!DP51,TNMP!DP51,'AEP North'!DP51)</f>
        <v>3016002.6700000004</v>
      </c>
      <c r="DQ51" s="69">
        <f>SUM(Oncor!DQ51,Centerpoint!DQ51,'AEP Central'!DQ51,TNMP!DQ51,'AEP North'!DQ51)</f>
        <v>2094444.84</v>
      </c>
      <c r="DR51" s="69">
        <f>SUM(Oncor!DR51,Centerpoint!DR51,'AEP Central'!DR51,TNMP!DR51,'AEP North'!DR51)</f>
        <v>2358563.3699999996</v>
      </c>
      <c r="DS51" s="69">
        <f>SUM(Oncor!DS51,Centerpoint!DS51,'AEP Central'!DS51,TNMP!DS51,'AEP North'!DS51)</f>
        <v>2684427.21</v>
      </c>
      <c r="DT51" s="69">
        <f>SUM(Oncor!DT51,Centerpoint!DT51,'AEP Central'!DT51,TNMP!DT51,'AEP North'!DT51)</f>
        <v>2195182.3499999996</v>
      </c>
      <c r="DU51" s="69">
        <f>SUM(Oncor!DU51,Centerpoint!DU51,'AEP Central'!DU51,TNMP!DU51,'AEP North'!DU51)</f>
        <v>1924550.26</v>
      </c>
      <c r="DV51" s="69">
        <f>SUM(Oncor!DV51,Centerpoint!DV51,'AEP Central'!DV51,TNMP!DV51,'AEP North'!DV51)</f>
        <v>2004407.45</v>
      </c>
      <c r="DW51" s="69">
        <f>SUM(Oncor!DW51,Centerpoint!DW51,'AEP Central'!DW51,TNMP!DW51,'AEP North'!DW51)</f>
        <v>2367918.16</v>
      </c>
      <c r="DX51" s="69">
        <f>SUM(Oncor!DX51,Centerpoint!DX51,'AEP Central'!DX51,TNMP!DX51,'AEP North'!DX51)</f>
        <v>3176216.5999999996</v>
      </c>
      <c r="DY51" s="69">
        <f>SUM(Oncor!DY51,Centerpoint!DY51,'AEP Central'!DY51,TNMP!DY51,'AEP North'!DY51)</f>
        <v>3842607.1</v>
      </c>
      <c r="DZ51" s="69">
        <f>SUM(Oncor!DZ51,Centerpoint!DZ51,'AEP Central'!DZ51,TNMP!DZ51,'AEP North'!DZ51)</f>
        <v>3995004.5</v>
      </c>
      <c r="EA51" s="69">
        <f>SUM(Oncor!EA51,Centerpoint!EA51,'AEP Central'!EA51,TNMP!EA51,'AEP North'!EA51)</f>
        <v>3770883.54</v>
      </c>
      <c r="EB51" s="69">
        <f>SUM(Oncor!EB51,Centerpoint!EB51,'AEP Central'!EB51,TNMP!EB51,'AEP North'!EB51)</f>
        <v>2705672.32</v>
      </c>
      <c r="EC51" s="69">
        <f>SUM(Oncor!EC51,Centerpoint!EC51,'AEP Central'!EC51,TNMP!EC51,'AEP North'!EC51)</f>
        <v>2065249.48</v>
      </c>
      <c r="ED51" s="69">
        <f>SUM(Oncor!ED51,Centerpoint!ED51,'AEP Central'!ED51,TNMP!ED51,'AEP North'!ED51)</f>
        <v>2018814.1800000002</v>
      </c>
      <c r="EE51" s="69">
        <f>SUM(Oncor!EE51,Centerpoint!EE51,'AEP Central'!EE51,TNMP!EE51,'AEP North'!EE51)</f>
        <v>2681013.92</v>
      </c>
      <c r="EF51" s="69">
        <f>SUM(Oncor!EF51,Centerpoint!EF51,'AEP Central'!EF51,TNMP!EF51,'AEP North'!EF51)</f>
        <v>2146638.0999999996</v>
      </c>
      <c r="EG51" s="69">
        <f>SUM(Oncor!EG51,Centerpoint!EG51,'AEP Central'!EG51,TNMP!EG51,'AEP North'!EG51)</f>
        <v>1898060.99</v>
      </c>
      <c r="EH51" s="69">
        <f>SUM(Oncor!EH51,Centerpoint!EH51,'AEP Central'!EH51,TNMP!EH51,'AEP North'!EH51)</f>
        <v>1838856.23</v>
      </c>
      <c r="EI51" s="69">
        <f>SUM(Oncor!EI51,Centerpoint!EI51,'AEP Central'!EI51,TNMP!EI51,'AEP North'!EI51)</f>
        <v>1860445.07</v>
      </c>
      <c r="EJ51" s="69">
        <f>SUM(Oncor!EJ51,Centerpoint!EJ51,'AEP Central'!EJ51,TNMP!EJ51,'AEP North'!EJ51)</f>
        <v>2762804.36</v>
      </c>
      <c r="EK51" s="69">
        <f>SUM(Oncor!EK51,Centerpoint!EK51,'AEP Central'!EK51,TNMP!EK51,'AEP North'!EK51)</f>
        <v>3607314.31</v>
      </c>
      <c r="EL51" s="69">
        <f>SUM(Oncor!EL51,Centerpoint!EL51,'AEP Central'!EL51,TNMP!EL51,'AEP North'!EL51)</f>
        <v>3686286.19</v>
      </c>
      <c r="EM51" s="69">
        <f>SUM(Oncor!EM51,Centerpoint!EM51,'AEP Central'!EM51,TNMP!EM51,'AEP North'!EM51)</f>
        <v>3708271.89</v>
      </c>
      <c r="EN51" s="69">
        <f>SUM(Oncor!EN51,Centerpoint!EN51,'AEP Central'!EN51,TNMP!EN51,'AEP North'!EN51)</f>
        <v>2819180.71</v>
      </c>
      <c r="EO51" s="69">
        <f>SUM(Oncor!EO51,Centerpoint!EO51,'AEP Central'!EO51,TNMP!EO51,'AEP North'!EO51)</f>
        <v>1844675.29</v>
      </c>
      <c r="EP51" s="69">
        <f>SUM(Oncor!EP51,Centerpoint!EP51,'AEP Central'!EP51,TNMP!EP51,'AEP North'!EP51)</f>
        <v>2419043.21</v>
      </c>
      <c r="EQ51" s="69">
        <f>SUM(Oncor!EQ51,Centerpoint!EQ51,'AEP Central'!EQ51,TNMP!EQ51,'AEP North'!EQ51)</f>
        <v>2886149.54</v>
      </c>
      <c r="ER51" s="69">
        <f>SUM(Oncor!ER51,Centerpoint!ER51,'AEP Central'!ER51,TNMP!ER51,'AEP North'!ER51)</f>
        <v>2541491.8300000005</v>
      </c>
      <c r="ES51" s="69">
        <f>SUM(Oncor!ES51,Centerpoint!ES51,'AEP Central'!ES51,TNMP!ES51,'AEP North'!ES51)</f>
        <v>2158158.7599999998</v>
      </c>
      <c r="ET51" s="69">
        <f>SUM(Oncor!ET51,Centerpoint!ET51,'AEP Central'!ET51,TNMP!ET51,'AEP North'!ET51)</f>
        <v>1754403.69</v>
      </c>
      <c r="EU51" s="69">
        <f>SUM(Oncor!EU51,Centerpoint!EU51,'AEP Central'!EU51,TNMP!EU51,'AEP North'!EU51)</f>
        <v>1906042.6199999999</v>
      </c>
      <c r="EV51" s="69">
        <f>SUM(Oncor!EV51,Centerpoint!EV51,'AEP Central'!EV51,TNMP!EV51,'AEP North'!EV51)</f>
        <v>2580557.65</v>
      </c>
      <c r="EW51" s="69">
        <f>SUM(Oncor!EW51,Centerpoint!EW51,'AEP Central'!EW51,TNMP!EW51,'AEP North'!EW51)</f>
        <v>3208191.3000000003</v>
      </c>
      <c r="EX51" s="69">
        <f>SUM(Oncor!EX51,Centerpoint!EX51,'AEP Central'!EX51,TNMP!EX51,'AEP North'!EX51)</f>
        <v>3338032.61</v>
      </c>
      <c r="EY51" s="69">
        <f>SUM(Oncor!EY51,Centerpoint!EY51,'AEP Central'!EY51,TNMP!EY51,'AEP North'!EY51)</f>
        <v>3497742.42</v>
      </c>
      <c r="EZ51" s="69">
        <f>SUM(Oncor!EZ51,Centerpoint!EZ51,'AEP Central'!EZ51,TNMP!EZ51,'AEP North'!EZ51)</f>
        <v>2519220.85</v>
      </c>
      <c r="FA51" s="69">
        <f>SUM(Oncor!FA51,Centerpoint!FA51,'AEP Central'!FA51,TNMP!FA51,'AEP North'!FA51)</f>
        <v>1908822.75</v>
      </c>
      <c r="FB51" s="69">
        <f>SUM(Oncor!FB51,Centerpoint!FB51,'AEP Central'!FB51,TNMP!FB51,'AEP North'!FB51)</f>
        <v>1973860.54</v>
      </c>
      <c r="FC51" s="69">
        <f>SUM(Oncor!FC51,Centerpoint!FC51,'AEP Central'!FC51,TNMP!FC51,'AEP North'!FC51)</f>
        <v>2478654.91</v>
      </c>
      <c r="FD51" s="69">
        <f>SUM(Oncor!FD51,Centerpoint!FD51,'AEP Central'!FD51,TNMP!FD51,'AEP North'!FD51)</f>
        <v>2288068.5499999998</v>
      </c>
      <c r="FE51" s="69">
        <f>SUM(Oncor!FE51,Centerpoint!FE51,'AEP Central'!FE51,TNMP!FE51,'AEP North'!FE51)</f>
        <v>2212468.85</v>
      </c>
      <c r="FF51" s="69">
        <f>SUM(Oncor!FF51,Centerpoint!FF51,'AEP Central'!FF51,TNMP!FF51,'AEP North'!FF51)</f>
        <v>1707384.69</v>
      </c>
      <c r="FG51" s="69">
        <f>SUM(Oncor!FG51,Centerpoint!FG51,'AEP Central'!FG51,TNMP!FG51,'AEP North'!FG51)</f>
        <v>1767144.83</v>
      </c>
      <c r="FH51" s="69">
        <f>SUM(Oncor!FH51,Centerpoint!FH51,'AEP Central'!FH51,TNMP!FH51,'AEP North'!FH51)</f>
        <v>2394797.5100000002</v>
      </c>
      <c r="FI51" s="69">
        <f>SUM(Oncor!FI51,Centerpoint!FI51,'AEP Central'!FI51,TNMP!FI51,'AEP North'!FI51)</f>
        <v>3167381.62</v>
      </c>
      <c r="FJ51" s="69">
        <f>SUM(Oncor!FJ51,Centerpoint!FJ51,'AEP Central'!FJ51,TNMP!FJ51,'AEP North'!FJ51)</f>
        <v>3676424.25</v>
      </c>
      <c r="FK51" s="69">
        <f>SUM(Oncor!FK51,Centerpoint!FK51,'AEP Central'!FK51,TNMP!FK51,'AEP North'!FK51)</f>
        <v>3332823.74</v>
      </c>
      <c r="FL51" s="69">
        <f>SUM(Oncor!FL51,Centerpoint!FL51,'AEP Central'!FL51,TNMP!FL51,'AEP North'!FL51,'[1]Sharyland Utilities LP '!FL51,'Sharyland Utilities LP McAllen'!FL51)</f>
        <v>2594918.9500000002</v>
      </c>
      <c r="FM51" s="69">
        <f>SUM(Oncor!FM51,Centerpoint!FM51,'AEP Central'!FM51,TNMP!FM51,'AEP North'!FM51,'[1]Sharyland Utilities LP '!FM51,'Sharyland Utilities LP McAllen'!FM51)</f>
        <v>1800733.96</v>
      </c>
      <c r="FN51" s="69">
        <f>SUM(Oncor!FN51,Centerpoint!FN51,'AEP Central'!FN51,TNMP!FN51,'AEP North'!FN51,'[1]Sharyland Utilities LP '!FN51,'Sharyland Utilities LP McAllen'!FN51)</f>
        <v>1808897.39</v>
      </c>
      <c r="FO51" s="69">
        <f>SUM(Oncor!FO51,Centerpoint!FO51,'AEP Central'!FO51,TNMP!FO51,'AEP North'!FO51,'[1]Sharyland Utilities LP '!FO51,'Sharyland Utilities LP McAllen'!FO51)</f>
        <v>2200474.6800000002</v>
      </c>
      <c r="FP51" s="69">
        <f>SUM(Oncor!FP51,Centerpoint!FP51,'AEP Central'!FP51,TNMP!FP51,'AEP North'!FP51,'[1]Sharyland Utilities LP '!FP51,'Sharyland Utilities LP McAllen'!FP51)</f>
        <v>2009969.61</v>
      </c>
      <c r="FQ51" s="69">
        <f>SUM(Oncor!FQ51,Centerpoint!FQ51,'AEP Central'!FQ51,TNMP!FQ51,'AEP North'!FQ51,'[1]Sharyland Utilities LP '!FQ51,'Sharyland Utilities LP McAllen'!FQ51)</f>
        <v>1550185.34</v>
      </c>
      <c r="FR51" s="69">
        <f>SUM(Oncor!FR51,Centerpoint!FR51,'AEP Central'!FR51,TNMP!FR51,'AEP North'!FR51,'[1]Sharyland Utilities LP '!FR51,'Sharyland Utilities LP McAllen'!FR51)</f>
        <v>1542403.9699999997</v>
      </c>
      <c r="FS51" s="69">
        <f>SUM(Oncor!FS51,Centerpoint!FS51,'AEP Central'!FS51,TNMP!FS51,'AEP North'!FS51,'[1]Sharyland Utilities LP '!FS51,'Sharyland Utilities LP McAllen'!FS51)</f>
        <v>1703270.91</v>
      </c>
      <c r="FT51" s="69">
        <f>SUM(Oncor!FT51,Centerpoint!FT51,'AEP Central'!FT51,TNMP!FT51,'AEP North'!FT51,'[1]Sharyland Utilities LP '!FT51,'Sharyland Utilities LP McAllen'!FT51)</f>
        <v>2253139.7200000002</v>
      </c>
    </row>
    <row r="52" spans="2:176" ht="13.8" thickBot="1" x14ac:dyDescent="0.3">
      <c r="B52" s="5" t="s">
        <v>8</v>
      </c>
      <c r="C52" s="76">
        <f>SUM(Oncor!C52,Centerpoint!C52,'AEP Central'!C52,TNMP!C52,'AEP North'!C52)</f>
        <v>54138.953999999998</v>
      </c>
      <c r="D52" s="17">
        <f>SUM(Oncor!D52,Centerpoint!D52,'AEP Central'!D52,TNMP!D52,'AEP North'!D52)</f>
        <v>111070.22200000005</v>
      </c>
      <c r="E52" s="17">
        <f>SUM(Oncor!E52,Centerpoint!E52,'AEP Central'!E52,TNMP!E52,'AEP North'!E52)</f>
        <v>127555.26000000002</v>
      </c>
      <c r="F52" s="17">
        <f>SUM(Oncor!F52,Centerpoint!F52,'AEP Central'!F52,TNMP!F52,'AEP North'!F52)</f>
        <v>121293.64300000003</v>
      </c>
      <c r="G52" s="17">
        <f>SUM(Oncor!G52,Centerpoint!G52,'AEP Central'!G52,TNMP!G52,'AEP North'!G52)</f>
        <v>169922.61000000013</v>
      </c>
      <c r="H52" s="17">
        <f>SUM(Oncor!H52,Centerpoint!H52,'AEP Central'!H52,TNMP!H52,'AEP North'!H52)</f>
        <v>257556.78999999995</v>
      </c>
      <c r="I52" s="17">
        <f>SUM(Oncor!I52,Centerpoint!I52,'AEP Central'!I52,TNMP!I52,'AEP North'!I52)</f>
        <v>369709.4839999993</v>
      </c>
      <c r="J52" s="17">
        <f>SUM(Oncor!J52,Centerpoint!J52,'AEP Central'!J52,TNMP!J52,'AEP North'!J52)</f>
        <v>463527.08000000031</v>
      </c>
      <c r="K52" s="17">
        <f>SUM(Oncor!K52,Centerpoint!K52,'AEP Central'!K52,TNMP!K52,'AEP North'!K52)</f>
        <v>542707.07299999928</v>
      </c>
      <c r="L52" s="17">
        <f>SUM(Oncor!L52,Centerpoint!L52,'AEP Central'!L52,TNMP!L52,'AEP North'!L52)</f>
        <v>454447.18700000027</v>
      </c>
      <c r="M52" s="17">
        <f>SUM(Oncor!M52,Centerpoint!M52,'AEP Central'!M52,TNMP!M52,'AEP North'!M52)</f>
        <v>331156.95100000035</v>
      </c>
      <c r="N52" s="17">
        <f>SUM(Oncor!N52,Centerpoint!N52,'AEP Central'!N52,TNMP!N52,'AEP North'!N52)</f>
        <v>360360.57600000023</v>
      </c>
      <c r="O52" s="134">
        <f>SUM(Oncor!O52,Centerpoint!O52,'AEP Central'!O52,TNMP!O52,'AEP North'!O52)</f>
        <v>462822</v>
      </c>
      <c r="P52" s="17">
        <f>SUM(Oncor!P52,Centerpoint!P52,'AEP Central'!P52,TNMP!P52,'AEP North'!P52)</f>
        <v>470339</v>
      </c>
      <c r="Q52" s="17">
        <f>SUM(Oncor!Q52,Centerpoint!Q52,'AEP Central'!Q52,TNMP!Q52,'AEP North'!Q52)</f>
        <v>440867</v>
      </c>
      <c r="R52" s="17">
        <f>SUM(Oncor!R52,Centerpoint!R52,'AEP Central'!R52,TNMP!R52,'AEP North'!R52)</f>
        <v>363787.81</v>
      </c>
      <c r="S52" s="17">
        <f>SUM(Oncor!S52,Centerpoint!S52,'AEP Central'!S52,TNMP!S52,'AEP North'!S52)</f>
        <v>503762.72899999988</v>
      </c>
      <c r="T52" s="17">
        <f>SUM(Oncor!T52,Centerpoint!T52,'AEP Central'!T52,TNMP!T52,'AEP North'!T52)</f>
        <v>713543.38600000017</v>
      </c>
      <c r="U52" s="17">
        <f>SUM(Oncor!U52,Centerpoint!U52,'AEP Central'!U52,TNMP!U52,'AEP North'!U52)</f>
        <v>906489.74600000004</v>
      </c>
      <c r="V52" s="17">
        <f>SUM(Oncor!V52,Centerpoint!V52,'AEP Central'!V52,TNMP!V52,'AEP North'!V52)</f>
        <v>1059400.3829999999</v>
      </c>
      <c r="W52" s="17">
        <f>SUM(Oncor!W52,Centerpoint!W52,'AEP Central'!W52,TNMP!W52,'AEP North'!W52)</f>
        <v>1008586.226</v>
      </c>
      <c r="X52" s="17">
        <f>SUM(Oncor!X52,Centerpoint!X52,'AEP Central'!X52,TNMP!X52,'AEP North'!X52)</f>
        <v>790392.3899999999</v>
      </c>
      <c r="Y52" s="17">
        <f>SUM(Oncor!Y52,Centerpoint!Y52,'AEP Central'!Y52,TNMP!Y52,'AEP North'!Y52)</f>
        <v>655873.65</v>
      </c>
      <c r="Z52" s="148">
        <f>SUM(Oncor!Z52,Centerpoint!Z52,'AEP Central'!Z52,TNMP!Z52,'AEP North'!Z52)</f>
        <v>744437.44000000006</v>
      </c>
      <c r="AA52" s="134">
        <f>SUM(Oncor!AA52,Centerpoint!AA52,'AEP Central'!AA52,TNMP!AA52,'AEP North'!AA52)</f>
        <v>857797.92</v>
      </c>
      <c r="AB52" s="17">
        <f>SUM(Oncor!AB52,Centerpoint!AB52,'AEP Central'!AB52,TNMP!AB52,'AEP North'!AB52)</f>
        <v>835232.42</v>
      </c>
      <c r="AC52" s="17">
        <f>SUM(Oncor!AC52,Centerpoint!AC52,'AEP Central'!AC52,TNMP!AC52,'AEP North'!AC52)</f>
        <v>756523.46000000008</v>
      </c>
      <c r="AD52" s="17">
        <f>SUM(Oncor!AD52,Centerpoint!AD52,'AEP Central'!AD52,TNMP!AD52,'AEP North'!AD52)</f>
        <v>668193.75</v>
      </c>
      <c r="AE52" s="17">
        <f>SUM(Oncor!AE52,Centerpoint!AE52,'AEP Central'!AE52,TNMP!AE52,'AEP North'!AE52)</f>
        <v>770450.11</v>
      </c>
      <c r="AF52" s="17">
        <f>SUM(Oncor!AF52,Centerpoint!AF52,'AEP Central'!AF52,TNMP!AF52,'AEP North'!AF52)</f>
        <v>1156509.8899999999</v>
      </c>
      <c r="AG52" s="17">
        <f>SUM(Oncor!AG52,Centerpoint!AG52,'AEP Central'!AG52,TNMP!AG52,'AEP North'!AG52)</f>
        <v>1367673.3599999999</v>
      </c>
      <c r="AH52" s="17">
        <f>SUM(Oncor!AH52,Centerpoint!AH52,'AEP Central'!AH52,TNMP!AH52,'AEP North'!AH52)</f>
        <v>1515278.1700000002</v>
      </c>
      <c r="AI52" s="17">
        <f>SUM(Oncor!AI52,Centerpoint!AI52,'AEP Central'!AI52,TNMP!AI52,'AEP North'!AI52)</f>
        <v>1466711.8499999999</v>
      </c>
      <c r="AJ52" s="17">
        <f>SUM(Oncor!AJ52,Centerpoint!AJ52,'AEP Central'!AJ52,TNMP!AJ52,'AEP North'!AJ52)</f>
        <v>1295186.267</v>
      </c>
      <c r="AK52" s="17">
        <f>SUM(Oncor!AK52,Centerpoint!AK52,'AEP Central'!AK52,TNMP!AK52,'AEP North'!AK52)</f>
        <v>1061510.656</v>
      </c>
      <c r="AL52" s="148">
        <f>SUM(Oncor!AL52,Centerpoint!AL52,'AEP Central'!AL52,TNMP!AL52,'AEP North'!AL52)</f>
        <v>1033330.0410000001</v>
      </c>
      <c r="AM52" s="17">
        <f>SUM(Oncor!AM52,Centerpoint!AM52,'AEP Central'!AM52,TNMP!AM52,'AEP North'!AM52)</f>
        <v>1294274.77</v>
      </c>
      <c r="AN52" s="17">
        <f>SUM(Oncor!AN52,Centerpoint!AN52,'AEP Central'!AN52,TNMP!AN52,'AEP North'!AN52)</f>
        <v>1162809.57</v>
      </c>
      <c r="AO52" s="17">
        <f>SUM(Oncor!AO52,Centerpoint!AO52,'AEP Central'!AO52,TNMP!AO52,'AEP North'!AO52)</f>
        <v>1038595.0599999999</v>
      </c>
      <c r="AP52" s="17">
        <f>SUM(Oncor!AP52,Centerpoint!AP52,'AEP Central'!AP52,TNMP!AP52,'AEP North'!AP52)</f>
        <v>989436.22000000009</v>
      </c>
      <c r="AQ52" s="17">
        <f>SUM(Oncor!AQ52,Centerpoint!AQ52,'AEP Central'!AQ52,TNMP!AQ52,'AEP North'!AQ52)</f>
        <v>1077538.81</v>
      </c>
      <c r="AR52" s="17">
        <f>SUM(Oncor!AR52,Centerpoint!AR52,'AEP Central'!AR52,TNMP!AR52,'AEP North'!AR52)</f>
        <v>1751355.01</v>
      </c>
      <c r="AS52" s="17">
        <f>SUM(Oncor!AS52,Centerpoint!AS52,'AEP Central'!AS52,TNMP!AS52,'AEP North'!AS52)</f>
        <v>2291097.5099999998</v>
      </c>
      <c r="AT52" s="17">
        <f>SUM(Oncor!AT52,Centerpoint!AT52,'AEP Central'!AT52,TNMP!AT52,'AEP North'!AT52)</f>
        <v>2320067.2600000002</v>
      </c>
      <c r="AU52" s="17">
        <f>SUM(Oncor!AU52,Centerpoint!AU52,'AEP Central'!AU52,TNMP!AU52,'AEP North'!AU52)</f>
        <v>2495028.6</v>
      </c>
      <c r="AV52" s="17">
        <f>SUM(Oncor!AV52,Centerpoint!AV52,'AEP Central'!AV52,TNMP!AV52,'AEP North'!AV52)</f>
        <v>2178528.14</v>
      </c>
      <c r="AW52" s="17">
        <f>SUM(Oncor!AW52,Centerpoint!AW52,'AEP Central'!AW52,TNMP!AW52,'AEP North'!AW52)</f>
        <v>1438330.39</v>
      </c>
      <c r="AX52" s="22">
        <f>SUM(Oncor!AX52,Centerpoint!AX52,'AEP Central'!AX52,TNMP!AX52,'AEP North'!AX52)</f>
        <v>1598556.8199999998</v>
      </c>
      <c r="AY52" s="17">
        <f>SUM(Oncor!AY52,Centerpoint!AY52,'AEP Central'!AY52,TNMP!AY52,'AEP North'!AY52)</f>
        <v>1706495.52</v>
      </c>
      <c r="AZ52" s="17">
        <f>SUM(Oncor!AZ52,Centerpoint!AZ52,'AEP Central'!AZ52,TNMP!AZ52,'AEP North'!AZ52)</f>
        <v>1390974.9700000002</v>
      </c>
      <c r="BA52" s="17">
        <f>SUM(Oncor!BA52,Centerpoint!BA52,'AEP Central'!BA52,TNMP!BA52,'AEP North'!BA52)</f>
        <v>1509976.17</v>
      </c>
      <c r="BB52" s="17">
        <f>SUM(Oncor!BB52,Centerpoint!BB52,'AEP Central'!BB52,TNMP!BB52,'AEP North'!BB52)</f>
        <v>1471548.29</v>
      </c>
      <c r="BC52" s="17">
        <f>SUM(Oncor!BC52,Centerpoint!BC52,'AEP Central'!BC52,TNMP!BC52,'AEP North'!BC52)</f>
        <v>1821410.48</v>
      </c>
      <c r="BD52" s="17">
        <f>SUM(Oncor!BD52,Centerpoint!BD52,'AEP Central'!BD52,TNMP!BD52,'AEP North'!BD52)</f>
        <v>2430206.4900000002</v>
      </c>
      <c r="BE52" s="17">
        <f>SUM(Oncor!BE52,Centerpoint!BE52,'AEP Central'!BE52,TNMP!BE52,'AEP North'!BE52)</f>
        <v>2819893.44</v>
      </c>
      <c r="BF52" s="17">
        <f>SUM(Oncor!BF52,Centerpoint!BF52,'AEP Central'!BF52,TNMP!BF52,'AEP North'!BF52)</f>
        <v>3219017.38</v>
      </c>
      <c r="BG52" s="17">
        <f>SUM(Oncor!BG52,Centerpoint!BG52,'AEP Central'!BG52,TNMP!BG52,'AEP North'!BG52)</f>
        <v>3086575.6</v>
      </c>
      <c r="BH52" s="17">
        <f>SUM(Oncor!BH52,Centerpoint!BH52,'AEP Central'!BH52,TNMP!BH52,'AEP North'!BH52)</f>
        <v>2340835.6599999997</v>
      </c>
      <c r="BI52" s="17">
        <f>SUM(Oncor!BI52,Centerpoint!BI52,'AEP Central'!BI52,TNMP!BI52,'AEP North'!BI52)</f>
        <v>1691527.62</v>
      </c>
      <c r="BJ52" s="22">
        <f>SUM(Oncor!BJ52,Centerpoint!BJ52,'AEP Central'!BJ52,TNMP!BJ52,'AEP North'!BJ52)</f>
        <v>1873692.3</v>
      </c>
      <c r="BK52" s="17">
        <f>SUM(Oncor!BK52,Centerpoint!BK52,'AEP Central'!BK52,TNMP!BK52,'AEP North'!BK52)</f>
        <v>2316123.87</v>
      </c>
      <c r="BL52" s="17">
        <f>SUM(Oncor!BL52,Centerpoint!BL52,'AEP Central'!BL52,TNMP!BL52,'AEP North'!BL52)</f>
        <v>2452272.54</v>
      </c>
      <c r="BM52" s="17">
        <f>SUM(Oncor!BM52,Centerpoint!BM52,'AEP Central'!BM52,TNMP!BM52,'AEP North'!BM52)</f>
        <v>1899550.81</v>
      </c>
      <c r="BN52" s="17">
        <f>SUM(Oncor!BN52,Centerpoint!BN52,'AEP Central'!BN52,TNMP!BN52,'AEP North'!BN52)</f>
        <v>1668795.868</v>
      </c>
      <c r="BO52" s="17">
        <f>SUM(Oncor!BO52,Centerpoint!BO52,'AEP Central'!BO52,TNMP!BO52,'AEP North'!BO52)</f>
        <v>1909238.5079999999</v>
      </c>
      <c r="BP52" s="17">
        <f>SUM(Oncor!BP52,Centerpoint!BP52,'AEP Central'!BP52,TNMP!BP52,'AEP North'!BP52)</f>
        <v>2527874.287</v>
      </c>
      <c r="BQ52" s="17">
        <f>SUM(Oncor!BQ52,Centerpoint!BQ52,'AEP Central'!BQ52,TNMP!BQ52,'AEP North'!BQ52)</f>
        <v>3101081.83</v>
      </c>
      <c r="BR52" s="17">
        <f>SUM(Oncor!BR52,Centerpoint!BR52,'AEP Central'!BR52,TNMP!BR52,'AEP North'!BR52)</f>
        <v>3333989.43</v>
      </c>
      <c r="BS52" s="17">
        <f>SUM(Oncor!BS52,Centerpoint!BS52,'AEP Central'!BS52,TNMP!BS52,'AEP North'!BS52)</f>
        <v>3555451.2199999997</v>
      </c>
      <c r="BT52" s="17">
        <f>SUM(Oncor!BT52,Centerpoint!BT52,'AEP Central'!BT52,TNMP!BT52,'AEP North'!BT52)</f>
        <v>3069311.66</v>
      </c>
      <c r="BU52" s="17">
        <f>SUM(Oncor!BU52,Centerpoint!BU52,'AEP Central'!BU52,TNMP!BU52,'AEP North'!BU52)</f>
        <v>2156620.16</v>
      </c>
      <c r="BV52" s="22">
        <f>SUM(Oncor!BV52,Centerpoint!BV52,'AEP Central'!BV52,TNMP!BV52,'AEP North'!BV52)</f>
        <v>2248968.91</v>
      </c>
      <c r="BW52" s="17">
        <f>SUM(Oncor!BW52,Centerpoint!BW52,'AEP Central'!BW52,TNMP!BW52,'AEP North'!BW52)</f>
        <v>2789228.63</v>
      </c>
      <c r="BX52" s="17">
        <f>SUM(Oncor!BX52,Centerpoint!BX52,'AEP Central'!BX52,TNMP!BX52,'AEP North'!BX52)</f>
        <v>2506644.4899999998</v>
      </c>
      <c r="BY52" s="17">
        <f>SUM(Oncor!BY52,Centerpoint!BY52,'AEP Central'!BY52,TNMP!BY52,'AEP North'!BY52)</f>
        <v>2087290.3499999999</v>
      </c>
      <c r="BZ52" s="17">
        <f>SUM(Oncor!BZ52,Centerpoint!BZ52,'AEP Central'!BZ52,TNMP!BZ52,'AEP North'!BZ52)</f>
        <v>2013964.3499999999</v>
      </c>
      <c r="CA52" s="17">
        <f>SUM(Oncor!CA52,Centerpoint!CA52,'AEP Central'!CA52,TNMP!CA52,'AEP North'!CA52)</f>
        <v>2135797.1500000004</v>
      </c>
      <c r="CB52" s="17">
        <f>SUM(Oncor!CB52,Centerpoint!CB52,'AEP Central'!CB52,TNMP!CB52,'AEP North'!CB52)</f>
        <v>3385946</v>
      </c>
      <c r="CC52" s="92">
        <f>SUM(Oncor!CC52,Centerpoint!CC52,'AEP Central'!CC52,TNMP!CC52,'AEP North'!CC52)</f>
        <v>3926361.3390000002</v>
      </c>
      <c r="CD52" s="92">
        <f>SUM(Oncor!CD52,Centerpoint!CD52,'AEP Central'!CD52,TNMP!CD52,'AEP North'!CD52)</f>
        <v>4073209.6379999998</v>
      </c>
      <c r="CE52" s="92">
        <f>SUM(Oncor!CE52,Centerpoint!CE52,'AEP Central'!CE52,TNMP!CE52,'AEP North'!CE52)</f>
        <v>3663558.9280000003</v>
      </c>
      <c r="CF52" s="92">
        <f>SUM(Oncor!CF52,Centerpoint!CF52,'AEP Central'!CF52,TNMP!CF52,'AEP North'!CF52)</f>
        <v>2357285.6300000004</v>
      </c>
      <c r="CG52" s="92">
        <f>SUM(Oncor!CG52,Centerpoint!CG52,'AEP Central'!CG52,TNMP!CG52,'AEP North'!CG52)</f>
        <v>2370018.2000000002</v>
      </c>
      <c r="CH52" s="92">
        <f>SUM(Oncor!CH52,Centerpoint!CH52,'AEP Central'!CH52,TNMP!CH52,'AEP North'!CH52)</f>
        <v>2375982.41</v>
      </c>
      <c r="CI52" s="91">
        <f>SUM(Oncor!CI52,Centerpoint!CI52,'AEP Central'!CI52,TNMP!CI52,'AEP North'!CI52)</f>
        <v>2976206.6100000003</v>
      </c>
      <c r="CJ52" s="92">
        <f>SUM(Oncor!CJ52,Centerpoint!CJ52,'AEP Central'!CJ52,TNMP!CJ52,'AEP North'!CJ52)</f>
        <v>2442887.8000000003</v>
      </c>
      <c r="CK52" s="92">
        <f>SUM(Oncor!CK52,Centerpoint!CK52,'AEP Central'!CK52,TNMP!CK52,'AEP North'!CK52)</f>
        <v>2098830.0700000003</v>
      </c>
      <c r="CL52" s="92">
        <f>SUM(Oncor!CL52,Centerpoint!CL52,'AEP Central'!CL52,TNMP!CL52,'AEP North'!CL52)</f>
        <v>2129828.25</v>
      </c>
      <c r="CM52" s="92">
        <f>SUM(Oncor!CM52,Centerpoint!CM52,'AEP Central'!CM52,TNMP!CM52,'AEP North'!CM52)</f>
        <v>2395847.48</v>
      </c>
      <c r="CN52" s="92">
        <f>SUM(Oncor!CN52,Centerpoint!CN52,'AEP Central'!CN52,TNMP!CN52,'AEP North'!CN52)</f>
        <v>3285569.59</v>
      </c>
      <c r="CO52" s="92">
        <f>SUM(Oncor!CO52,Centerpoint!CO52,'AEP Central'!CO52,TNMP!CO52,'AEP North'!CO52)</f>
        <v>4553318.9300000006</v>
      </c>
      <c r="CP52" s="92">
        <f>SUM(Oncor!CP52,Centerpoint!CP52,'AEP Central'!CP52,TNMP!CP52,'AEP North'!CP52)</f>
        <v>4521449.2700000005</v>
      </c>
      <c r="CQ52" s="92">
        <f>SUM(Oncor!CQ52,Centerpoint!CQ52,'AEP Central'!CQ52,TNMP!CQ52,'AEP North'!CQ52)</f>
        <v>4240704.46</v>
      </c>
      <c r="CR52" s="92">
        <f>SUM(Oncor!CR52,Centerpoint!CR52,'AEP Central'!CR52,TNMP!CR52,'AEP North'!CR52)</f>
        <v>3062280.73</v>
      </c>
      <c r="CS52" s="92">
        <f>SUM(Oncor!CS52,Centerpoint!CS52,'AEP Central'!CS52,TNMP!CS52,'AEP North'!CS52)</f>
        <v>2327358.84</v>
      </c>
      <c r="CT52" s="93">
        <f>SUM(Oncor!CT52,Centerpoint!CT52,'AEP Central'!CT52,TNMP!CT52,'AEP North'!CT52)</f>
        <v>2711362.86</v>
      </c>
      <c r="CU52" s="92">
        <f>SUM(Oncor!CU52,Centerpoint!CU52,'AEP Central'!CU52,TNMP!CU52,'AEP North'!CU52)</f>
        <v>3797076.5199999996</v>
      </c>
      <c r="CV52" s="92">
        <f>SUM(Oncor!CV52,Centerpoint!CV52,'AEP Central'!CV52,TNMP!CV52,'AEP North'!CV52)</f>
        <v>3202651.9079999998</v>
      </c>
      <c r="CW52" s="92">
        <f>SUM(Oncor!CW52,Centerpoint!CW52,'AEP Central'!CW52,TNMP!CW52,'AEP North'!CW52)</f>
        <v>2923175.9739999999</v>
      </c>
      <c r="CX52" s="92">
        <f>SUM(Oncor!CX52,Centerpoint!CX52,'AEP Central'!CX52,TNMP!CX52,'AEP North'!CX52)</f>
        <v>2275586.42</v>
      </c>
      <c r="CY52" s="92">
        <f>SUM(Oncor!CY52,Centerpoint!CY52,'AEP Central'!CY52,TNMP!CY52,'AEP North'!CY52)</f>
        <v>2467290.5500000003</v>
      </c>
      <c r="CZ52" s="92">
        <f>SUM(Oncor!CZ52,Centerpoint!CZ52,'AEP Central'!CZ52,TNMP!CZ52,'AEP North'!CZ52)</f>
        <v>4005201.7100000004</v>
      </c>
      <c r="DA52" s="92">
        <f>SUM(Oncor!DA52,Centerpoint!DA52,'AEP Central'!DA52,TNMP!DA52,'AEP North'!DA52)</f>
        <v>4751536.4700000007</v>
      </c>
      <c r="DB52" s="92">
        <f>SUM(Oncor!DB52,Centerpoint!DB52,'AEP Central'!DB52,TNMP!DB52,'AEP North'!DB52)</f>
        <v>4919359.8899999997</v>
      </c>
      <c r="DC52" s="92">
        <f>SUM(Oncor!DC52,Centerpoint!DC52,'AEP Central'!DC52,TNMP!DC52,'AEP North'!DC52)</f>
        <v>5030117.76</v>
      </c>
      <c r="DD52" s="92">
        <f>SUM(Oncor!DD52,Centerpoint!DD52,'AEP Central'!DD52,TNMP!DD52,'AEP North'!DD52)</f>
        <v>3634042.6500000004</v>
      </c>
      <c r="DE52" s="92">
        <f>SUM(Oncor!DE52,Centerpoint!DE52,'AEP Central'!DE52,TNMP!DE52,'AEP North'!DE52)</f>
        <v>2665215.12</v>
      </c>
      <c r="DF52" s="93">
        <f>SUM(Oncor!DF52,Centerpoint!DF52,'AEP Central'!DF52,TNMP!DF52,'AEP North'!DF52)</f>
        <v>2922718.2800000003</v>
      </c>
      <c r="DG52" s="92">
        <f>SUM(Oncor!DG52,Centerpoint!DG52,'AEP Central'!DG52,TNMP!DG52,'AEP North'!DG52)</f>
        <v>3611971.99</v>
      </c>
      <c r="DH52" s="92">
        <f>SUM(Oncor!DH52,Centerpoint!DH52,'AEP Central'!DH52,TNMP!DH52,'AEP North'!DH52)</f>
        <v>3870852.45</v>
      </c>
      <c r="DI52" s="92">
        <f>SUM(Oncor!DI52,Centerpoint!DI52,'AEP Central'!DI52,TNMP!DI52,'AEP North'!DI52)</f>
        <v>2669725.77</v>
      </c>
      <c r="DJ52" s="92">
        <f>SUM(Oncor!DJ52,Centerpoint!DJ52,'AEP Central'!DJ52,TNMP!DJ52,'AEP North'!DJ52)</f>
        <v>2597261.11</v>
      </c>
      <c r="DK52" s="92">
        <f>SUM(Oncor!DK52,Centerpoint!DK52,'AEP Central'!DK52,TNMP!DK52,'AEP North'!DK52)</f>
        <v>3190461.9099999997</v>
      </c>
      <c r="DL52" s="92">
        <f>SUM(Oncor!DL52,Centerpoint!DL52,'AEP Central'!DL52,TNMP!DL52,'AEP North'!DL52)</f>
        <v>4548421.4799999995</v>
      </c>
      <c r="DM52" s="92">
        <f>SUM(Oncor!DM52,Centerpoint!DM52,'AEP Central'!DM52,TNMP!DM52,'AEP North'!DM52)</f>
        <v>5795793.0999999996</v>
      </c>
      <c r="DN52" s="92">
        <f>SUM(Oncor!DN52,Centerpoint!DN52,'AEP Central'!DN52,TNMP!DN52,'AEP North'!DN52)</f>
        <v>6125494.1399999997</v>
      </c>
      <c r="DO52" s="92">
        <f>SUM(Oncor!DO52,Centerpoint!DO52,'AEP Central'!DO52,TNMP!DO52,'AEP North'!DO52)</f>
        <v>5790784.1299999999</v>
      </c>
      <c r="DP52" s="92">
        <f>SUM(Oncor!DP52,Centerpoint!DP52,'AEP Central'!DP52,TNMP!DP52,'AEP North'!DP52)</f>
        <v>4079251.72</v>
      </c>
      <c r="DQ52" s="92">
        <f>SUM(Oncor!DQ52,Centerpoint!DQ52,'AEP Central'!DQ52,TNMP!DQ52,'AEP North'!DQ52)</f>
        <v>2919525.3</v>
      </c>
      <c r="DR52" s="92">
        <f>SUM(Oncor!DR52,Centerpoint!DR52,'AEP Central'!DR52,TNMP!DR52,'AEP North'!DR52)</f>
        <v>3249047.4800000004</v>
      </c>
      <c r="DS52" s="92">
        <f>SUM(Oncor!DS52,Centerpoint!DS52,'AEP Central'!DS52,TNMP!DS52,'AEP North'!DS52)</f>
        <v>3704406.2600000002</v>
      </c>
      <c r="DT52" s="92">
        <f>SUM(Oncor!DT52,Centerpoint!DT52,'AEP Central'!DT52,TNMP!DT52,'AEP North'!DT52)</f>
        <v>3077649.81</v>
      </c>
      <c r="DU52" s="92">
        <f>SUM(Oncor!DU52,Centerpoint!DU52,'AEP Central'!DU52,TNMP!DU52,'AEP North'!DU52)</f>
        <v>2770816.43</v>
      </c>
      <c r="DV52" s="92">
        <f>SUM(Oncor!DV52,Centerpoint!DV52,'AEP Central'!DV52,TNMP!DV52,'AEP North'!DV52)</f>
        <v>2998860.5100000002</v>
      </c>
      <c r="DW52" s="92">
        <f>SUM(Oncor!DW52,Centerpoint!DW52,'AEP Central'!DW52,TNMP!DW52,'AEP North'!DW52)</f>
        <v>3531778.8400000003</v>
      </c>
      <c r="DX52" s="92">
        <f>SUM(Oncor!DX52,Centerpoint!DX52,'AEP Central'!DX52,TNMP!DX52,'AEP North'!DX52)</f>
        <v>4682965.8999999994</v>
      </c>
      <c r="DY52" s="92">
        <f>SUM(Oncor!DY52,Centerpoint!DY52,'AEP Central'!DY52,TNMP!DY52,'AEP North'!DY52)</f>
        <v>5619193.1699999999</v>
      </c>
      <c r="DZ52" s="92">
        <f>SUM(Oncor!DZ52,Centerpoint!DZ52,'AEP Central'!DZ52,TNMP!DZ52,'AEP North'!DZ52)</f>
        <v>5857293.25</v>
      </c>
      <c r="EA52" s="92">
        <f>SUM(Oncor!EA52,Centerpoint!EA52,'AEP Central'!EA52,TNMP!EA52,'AEP North'!EA52)</f>
        <v>5635344.0600000005</v>
      </c>
      <c r="EB52" s="92">
        <f>SUM(Oncor!EB52,Centerpoint!EB52,'AEP Central'!EB52,TNMP!EB52,'AEP North'!EB52)</f>
        <v>4157587.9799999995</v>
      </c>
      <c r="EC52" s="92">
        <f>SUM(Oncor!EC52,Centerpoint!EC52,'AEP Central'!EC52,TNMP!EC52,'AEP North'!EC52)</f>
        <v>3255779.31</v>
      </c>
      <c r="ED52" s="92">
        <f>SUM(Oncor!ED52,Centerpoint!ED52,'AEP Central'!ED52,TNMP!ED52,'AEP North'!ED52)</f>
        <v>3172661.2800000003</v>
      </c>
      <c r="EE52" s="92">
        <f>SUM(Oncor!EE52,Centerpoint!EE52,'AEP Central'!EE52,TNMP!EE52,'AEP North'!EE52)</f>
        <v>4216715.0599999996</v>
      </c>
      <c r="EF52" s="92">
        <f>SUM(Oncor!EF52,Centerpoint!EF52,'AEP Central'!EF52,TNMP!EF52,'AEP North'!EF52)</f>
        <v>3385855.15</v>
      </c>
      <c r="EG52" s="92">
        <f>SUM(Oncor!EG52,Centerpoint!EG52,'AEP Central'!EG52,TNMP!EG52,'AEP North'!EG52)</f>
        <v>3013809.83</v>
      </c>
      <c r="EH52" s="92">
        <f>SUM(Oncor!EH52,Centerpoint!EH52,'AEP Central'!EH52,TNMP!EH52,'AEP North'!EH52)</f>
        <v>3003115.0500000003</v>
      </c>
      <c r="EI52" s="92">
        <f>SUM(Oncor!EI52,Centerpoint!EI52,'AEP Central'!EI52,TNMP!EI52,'AEP North'!EI52)</f>
        <v>3095028.1900000004</v>
      </c>
      <c r="EJ52" s="92">
        <f>SUM(Oncor!EJ52,Centerpoint!EJ52,'AEP Central'!EJ52,TNMP!EJ52,'AEP North'!EJ52)</f>
        <v>4564954.5100000007</v>
      </c>
      <c r="EK52" s="92">
        <f>SUM(Oncor!EK52,Centerpoint!EK52,'AEP Central'!EK52,TNMP!EK52,'AEP North'!EK52)</f>
        <v>5859978.3999999994</v>
      </c>
      <c r="EL52" s="92">
        <f>SUM(Oncor!EL52,Centerpoint!EL52,'AEP Central'!EL52,TNMP!EL52,'AEP North'!EL52)</f>
        <v>5993946.5800000001</v>
      </c>
      <c r="EM52" s="92">
        <f>SUM(Oncor!EM52,Centerpoint!EM52,'AEP Central'!EM52,TNMP!EM52,'AEP North'!EM52)</f>
        <v>6036904.2000000002</v>
      </c>
      <c r="EN52" s="92">
        <f>SUM(Oncor!EN52,Centerpoint!EN52,'AEP Central'!EN52,TNMP!EN52,'AEP North'!EN52)</f>
        <v>4714212.2700000005</v>
      </c>
      <c r="EO52" s="92">
        <f>SUM(Oncor!EO52,Centerpoint!EO52,'AEP Central'!EO52,TNMP!EO52,'AEP North'!EO52)</f>
        <v>3185801.82</v>
      </c>
      <c r="EP52" s="92">
        <f>SUM(Oncor!EP52,Centerpoint!EP52,'AEP Central'!EP52,TNMP!EP52,'AEP North'!EP52)</f>
        <v>4179882.6700000004</v>
      </c>
      <c r="EQ52" s="92">
        <f>SUM(Oncor!EQ52,Centerpoint!EQ52,'AEP Central'!EQ52,TNMP!EQ52,'AEP North'!EQ52)</f>
        <v>4949059.59</v>
      </c>
      <c r="ER52" s="92">
        <f>SUM(Oncor!ER52,Centerpoint!ER52,'AEP Central'!ER52,TNMP!ER52,'AEP North'!ER52)</f>
        <v>4430299.8999999994</v>
      </c>
      <c r="ES52" s="92">
        <f>SUM(Oncor!ES52,Centerpoint!ES52,'AEP Central'!ES52,TNMP!ES52,'AEP North'!ES52)</f>
        <v>3752705.14</v>
      </c>
      <c r="ET52" s="92">
        <f>SUM(Oncor!ET52,Centerpoint!ET52,'AEP Central'!ET52,TNMP!ET52,'AEP North'!ET52)</f>
        <v>3105319.52</v>
      </c>
      <c r="EU52" s="92">
        <f>SUM(Oncor!EU52,Centerpoint!EU52,'AEP Central'!EU52,TNMP!EU52,'AEP North'!EU52)</f>
        <v>3420468.75</v>
      </c>
      <c r="EV52" s="92">
        <f>SUM(Oncor!EV52,Centerpoint!EV52,'AEP Central'!EV52,TNMP!EV52,'AEP North'!EV52)</f>
        <v>4604400.96</v>
      </c>
      <c r="EW52" s="92">
        <f>SUM(Oncor!EW52,Centerpoint!EW52,'AEP Central'!EW52,TNMP!EW52,'AEP North'!EW52)</f>
        <v>5679303</v>
      </c>
      <c r="EX52" s="92">
        <f>SUM(Oncor!EX52,Centerpoint!EX52,'AEP Central'!EX52,TNMP!EX52,'AEP North'!EX52)</f>
        <v>5923581.5800000001</v>
      </c>
      <c r="EY52" s="92">
        <f>SUM(Oncor!EY52,Centerpoint!EY52,'AEP Central'!EY52,TNMP!EY52,'AEP North'!EY52)</f>
        <v>6212914.9199999999</v>
      </c>
      <c r="EZ52" s="92">
        <f>SUM(Oncor!EZ52,Centerpoint!EZ52,'AEP Central'!EZ52,TNMP!EZ52,'AEP North'!EZ52)</f>
        <v>4614923.07</v>
      </c>
      <c r="FA52" s="92">
        <f>SUM(Oncor!FA52,Centerpoint!FA52,'AEP Central'!FA52,TNMP!FA52,'AEP North'!FA52)</f>
        <v>3579517.2500000005</v>
      </c>
      <c r="FB52" s="92">
        <f>SUM(Oncor!FB52,Centerpoint!FB52,'AEP Central'!FB52,TNMP!FB52,'AEP North'!FB52)</f>
        <v>3693857.01</v>
      </c>
      <c r="FC52" s="92">
        <f>SUM(Oncor!FC52,Centerpoint!FC52,'AEP Central'!FC52,TNMP!FC52,'AEP North'!FC52)</f>
        <v>4711673</v>
      </c>
      <c r="FD52" s="92">
        <f>SUM(Oncor!FD52,Centerpoint!FD52,'AEP Central'!FD52,TNMP!FD52,'AEP North'!FD52)</f>
        <v>4318606.6099999994</v>
      </c>
      <c r="FE52" s="92">
        <f>SUM(Oncor!FE52,Centerpoint!FE52,'AEP Central'!FE52,TNMP!FE52,'AEP North'!FE52)</f>
        <v>4217174.74</v>
      </c>
      <c r="FF52" s="92">
        <f>SUM(Oncor!FF52,Centerpoint!FF52,'AEP Central'!FF52,TNMP!FF52,'AEP North'!FF52)</f>
        <v>3310841.35</v>
      </c>
      <c r="FG52" s="92">
        <f>SUM(Oncor!FG52,Centerpoint!FG52,'AEP Central'!FG52,TNMP!FG52,'AEP North'!FG52)</f>
        <v>3503620.5</v>
      </c>
      <c r="FH52" s="92">
        <f>SUM(Oncor!FH52,Centerpoint!FH52,'AEP Central'!FH52,TNMP!FH52,'AEP North'!FH52)</f>
        <v>4706218.34</v>
      </c>
      <c r="FI52" s="92">
        <f>SUM(Oncor!FI52,Centerpoint!FI52,'AEP Central'!FI52,TNMP!FI52,'AEP North'!FI52)</f>
        <v>6076163.5</v>
      </c>
      <c r="FJ52" s="92">
        <f>SUM(Oncor!FJ52,Centerpoint!FJ52,'AEP Central'!FJ52,TNMP!FJ52,'AEP North'!FJ52)</f>
        <v>6985002.419999999</v>
      </c>
      <c r="FK52" s="92">
        <f>SUM(Oncor!FK52,Centerpoint!FK52,'AEP Central'!FK52,TNMP!FK52,'AEP North'!FK52,)</f>
        <v>6411448.6600000001</v>
      </c>
      <c r="FL52" s="92">
        <f>SUM(Oncor!FL52,Centerpoint!FL52,'AEP Central'!FL52,TNMP!FL52,'AEP North'!FL52,'[1]Sharyland Utilities LP '!FL52,'Sharyland Utilities LP McAllen'!FL52 )</f>
        <v>5153111.97</v>
      </c>
      <c r="FM52" s="92">
        <f>SUM(Oncor!FM52,Centerpoint!FM52,'AEP Central'!FM52,TNMP!FM52,'AEP North'!FM52,'[1]Sharyland Utilities LP '!FM52,'Sharyland Utilities LP McAllen'!FM52 )</f>
        <v>3692924.5100000002</v>
      </c>
      <c r="FN52" s="92">
        <f>SUM(Oncor!FN52,Centerpoint!FN52,'AEP Central'!FN52,TNMP!FN52,'AEP North'!FN52,'[1]Sharyland Utilities LP '!FN52,'Sharyland Utilities LP McAllen'!FN52 )</f>
        <v>3722542.54</v>
      </c>
      <c r="FO52" s="92">
        <f>SUM(Oncor!FO52,Centerpoint!FO52,'AEP Central'!FO52,TNMP!FO52,'AEP North'!FO52,'[1]Sharyland Utilities LP '!FO52,'Sharyland Utilities LP McAllen'!FO52 )</f>
        <v>4548929.3</v>
      </c>
      <c r="FP52" s="92">
        <f>SUM(Oncor!FP52,Centerpoint!FP52,'AEP Central'!FP52,TNMP!FP52,'AEP North'!FP52,'[1]Sharyland Utilities LP '!FP52,'Sharyland Utilities LP McAllen'!FP52 )</f>
        <v>4126601.267</v>
      </c>
      <c r="FQ52" s="92">
        <f>SUM(Oncor!FQ52,Centerpoint!FQ52,'AEP Central'!FQ52,TNMP!FQ52,'AEP North'!FQ52,'[1]Sharyland Utilities LP '!FQ52,'Sharyland Utilities LP McAllen'!FQ52 )</f>
        <v>3249160.8459999994</v>
      </c>
      <c r="FR52" s="92">
        <f>SUM(Oncor!FR52,Centerpoint!FR52,'AEP Central'!FR52,TNMP!FR52,'AEP North'!FR52,'[1]Sharyland Utilities LP '!FR52,'Sharyland Utilities LP McAllen'!FR52 )</f>
        <v>3286057.95</v>
      </c>
      <c r="FS52" s="92">
        <f>SUM(Oncor!FS52,Centerpoint!FS52,'AEP Central'!FS52,TNMP!FS52,'AEP North'!FS52,'[1]Sharyland Utilities LP '!FS52,'Sharyland Utilities LP McAllen'!FS52 )</f>
        <v>3712140.3800000004</v>
      </c>
      <c r="FT52" s="92">
        <f>SUM(Oncor!FT52,Centerpoint!FT52,'AEP Central'!FT52,TNMP!FT52,'AEP North'!FT52,'[1]Sharyland Utilities LP '!FT52,'Sharyland Utilities LP McAllen'!FT52 )</f>
        <v>4840902.7299999995</v>
      </c>
    </row>
    <row r="53" spans="2:176" ht="13.8" thickTop="1" x14ac:dyDescent="0.25">
      <c r="B53" s="3" t="s">
        <v>9</v>
      </c>
      <c r="C53" s="83">
        <f t="shared" ref="C53:K53" si="191">SUM(C51:C52)</f>
        <v>4396028.6469999999</v>
      </c>
      <c r="D53" s="67">
        <f t="shared" si="191"/>
        <v>4433921.6220000004</v>
      </c>
      <c r="E53" s="67">
        <f t="shared" si="191"/>
        <v>4981571.7670000009</v>
      </c>
      <c r="F53" s="67">
        <f t="shared" si="191"/>
        <v>4378092.7280000011</v>
      </c>
      <c r="G53" s="67">
        <f t="shared" si="191"/>
        <v>5310577.0520000001</v>
      </c>
      <c r="H53" s="67">
        <f t="shared" si="191"/>
        <v>6453316.8030000003</v>
      </c>
      <c r="I53" s="67">
        <f t="shared" si="191"/>
        <v>7717783.0109999999</v>
      </c>
      <c r="J53" s="67">
        <f t="shared" si="191"/>
        <v>8486574.523</v>
      </c>
      <c r="K53" s="67">
        <f t="shared" si="191"/>
        <v>8606833.0499999989</v>
      </c>
      <c r="L53" s="11">
        <f t="shared" ref="L53:Q53" si="192">SUM(L51:L52)</f>
        <v>6518307.851999999</v>
      </c>
      <c r="M53" s="11">
        <f t="shared" si="192"/>
        <v>4529855.7210000008</v>
      </c>
      <c r="N53" s="84">
        <f t="shared" si="192"/>
        <v>4916910.4509999994</v>
      </c>
      <c r="O53" s="135">
        <f t="shared" si="192"/>
        <v>5843376</v>
      </c>
      <c r="P53" s="8">
        <f t="shared" si="192"/>
        <v>5799483</v>
      </c>
      <c r="Q53" s="8">
        <f t="shared" si="192"/>
        <v>5175884</v>
      </c>
      <c r="R53" s="8">
        <f t="shared" ref="R53:W53" si="193">SUM(R51:R52)</f>
        <v>4035537.5060000001</v>
      </c>
      <c r="S53" s="8">
        <f t="shared" si="193"/>
        <v>5181249.9369999999</v>
      </c>
      <c r="T53" s="8">
        <f t="shared" si="193"/>
        <v>6974564.7560000001</v>
      </c>
      <c r="U53" s="8">
        <f t="shared" si="193"/>
        <v>8262050.2760000005</v>
      </c>
      <c r="V53" s="8">
        <f t="shared" si="193"/>
        <v>9050158.1579999998</v>
      </c>
      <c r="W53" s="8">
        <f t="shared" si="193"/>
        <v>8112493.5439999998</v>
      </c>
      <c r="X53" s="8">
        <f t="shared" ref="X53:AC53" si="194">SUM(X51:X52)</f>
        <v>5852380.8499999996</v>
      </c>
      <c r="Y53" s="8">
        <f t="shared" si="194"/>
        <v>4587923.6100000003</v>
      </c>
      <c r="Z53" s="149">
        <f t="shared" si="194"/>
        <v>4962494.13</v>
      </c>
      <c r="AA53" s="135">
        <f t="shared" si="194"/>
        <v>5692145.1600000001</v>
      </c>
      <c r="AB53" s="8">
        <f t="shared" si="194"/>
        <v>5485092.6299999999</v>
      </c>
      <c r="AC53" s="8">
        <f t="shared" si="194"/>
        <v>4841342.3900000006</v>
      </c>
      <c r="AD53" s="8">
        <f t="shared" ref="AD53:AI53" si="195">SUM(AD51:AD52)</f>
        <v>4161158.42</v>
      </c>
      <c r="AE53" s="8">
        <f t="shared" si="195"/>
        <v>4700757.0600000005</v>
      </c>
      <c r="AF53" s="8">
        <f t="shared" si="195"/>
        <v>6817518.7400000002</v>
      </c>
      <c r="AG53" s="8">
        <f t="shared" si="195"/>
        <v>7894717.5199999996</v>
      </c>
      <c r="AH53" s="8">
        <f t="shared" si="195"/>
        <v>8396290.370000001</v>
      </c>
      <c r="AI53" s="8">
        <f t="shared" si="195"/>
        <v>7752447.0700000003</v>
      </c>
      <c r="AJ53" s="8">
        <f t="shared" ref="AJ53:AO53" si="196">SUM(AJ51:AJ52)</f>
        <v>6567412.0589999994</v>
      </c>
      <c r="AK53" s="8">
        <f t="shared" si="196"/>
        <v>5198744.6969999997</v>
      </c>
      <c r="AL53" s="149">
        <f t="shared" si="196"/>
        <v>4911723.5860000001</v>
      </c>
      <c r="AM53" s="8">
        <f t="shared" si="196"/>
        <v>6010554.2100000009</v>
      </c>
      <c r="AN53" s="8">
        <f t="shared" si="196"/>
        <v>5293161.0199999996</v>
      </c>
      <c r="AO53" s="8">
        <f t="shared" si="196"/>
        <v>4618755.32</v>
      </c>
      <c r="AP53" s="8">
        <f t="shared" ref="AP53:AU53" si="197">SUM(AP51:AP52)</f>
        <v>4260226.5699999994</v>
      </c>
      <c r="AQ53" s="8">
        <f t="shared" si="197"/>
        <v>4491935.25</v>
      </c>
      <c r="AR53" s="8">
        <f t="shared" si="197"/>
        <v>7108149.1599999992</v>
      </c>
      <c r="AS53" s="8">
        <f t="shared" si="197"/>
        <v>9029647.7599999998</v>
      </c>
      <c r="AT53" s="8">
        <f t="shared" si="197"/>
        <v>8759311.6699999999</v>
      </c>
      <c r="AU53" s="8">
        <f t="shared" si="197"/>
        <v>9088389.0700000003</v>
      </c>
      <c r="AV53" s="8">
        <f t="shared" ref="AV53:BJ53" si="198">SUM(AV51:AV52)</f>
        <v>7599947.6400000006</v>
      </c>
      <c r="AW53" s="8">
        <f t="shared" si="198"/>
        <v>4850192.3899999997</v>
      </c>
      <c r="AX53" s="9">
        <f t="shared" si="198"/>
        <v>5309839.28</v>
      </c>
      <c r="AY53" s="8">
        <f t="shared" si="198"/>
        <v>5607290.9100000001</v>
      </c>
      <c r="AZ53" s="8">
        <f t="shared" si="198"/>
        <v>4528704.5199999996</v>
      </c>
      <c r="BA53" s="8">
        <f t="shared" si="198"/>
        <v>4842118.47</v>
      </c>
      <c r="BB53" s="8">
        <f t="shared" si="198"/>
        <v>4648575.8599999994</v>
      </c>
      <c r="BC53" s="8">
        <f t="shared" si="198"/>
        <v>5636309.3399999999</v>
      </c>
      <c r="BD53" s="8">
        <f t="shared" si="198"/>
        <v>7405736.0500000007</v>
      </c>
      <c r="BE53" s="8">
        <f t="shared" si="198"/>
        <v>8406239.4399999995</v>
      </c>
      <c r="BF53" s="8">
        <f t="shared" si="198"/>
        <v>9395753.4000000004</v>
      </c>
      <c r="BG53" s="8">
        <f t="shared" si="198"/>
        <v>8814660.7100000009</v>
      </c>
      <c r="BH53" s="8">
        <f t="shared" si="198"/>
        <v>6446727.1600000001</v>
      </c>
      <c r="BI53" s="8">
        <f t="shared" si="198"/>
        <v>4557013.3600000003</v>
      </c>
      <c r="BJ53" s="9">
        <f t="shared" si="198"/>
        <v>4980279.83</v>
      </c>
      <c r="BK53" s="8">
        <f t="shared" ref="BK53:BP53" si="199">SUM(BK51:BK52)</f>
        <v>6055675.6399999997</v>
      </c>
      <c r="BL53" s="8">
        <f t="shared" si="199"/>
        <v>6345854.9499999993</v>
      </c>
      <c r="BM53" s="8">
        <f t="shared" si="199"/>
        <v>4866038.59</v>
      </c>
      <c r="BN53" s="8">
        <f t="shared" si="199"/>
        <v>4193846.2249999996</v>
      </c>
      <c r="BO53" s="8">
        <f t="shared" si="199"/>
        <v>4704882.6380000003</v>
      </c>
      <c r="BP53" s="8">
        <f t="shared" si="199"/>
        <v>6163575.6869999999</v>
      </c>
      <c r="BQ53" s="8">
        <f t="shared" ref="BQ53:CB53" si="200">SUM(BQ51:BQ52)</f>
        <v>7516297.1900000004</v>
      </c>
      <c r="BR53" s="8">
        <f t="shared" si="200"/>
        <v>8030252.1899999995</v>
      </c>
      <c r="BS53" s="8">
        <f t="shared" si="200"/>
        <v>8542470.7599999998</v>
      </c>
      <c r="BT53" s="8">
        <f t="shared" si="200"/>
        <v>7245213.5399999991</v>
      </c>
      <c r="BU53" s="8">
        <f t="shared" si="200"/>
        <v>5025728.43</v>
      </c>
      <c r="BV53" s="9">
        <f t="shared" si="200"/>
        <v>5190838.74</v>
      </c>
      <c r="BW53" s="8">
        <f t="shared" si="200"/>
        <v>6432605.4399999995</v>
      </c>
      <c r="BX53" s="8">
        <f t="shared" si="200"/>
        <v>5750735.4399999995</v>
      </c>
      <c r="BY53" s="8">
        <f t="shared" si="200"/>
        <v>4756622.76</v>
      </c>
      <c r="BZ53" s="8">
        <f t="shared" si="200"/>
        <v>4502379.0299999993</v>
      </c>
      <c r="CA53" s="8">
        <f t="shared" si="200"/>
        <v>4699532.43</v>
      </c>
      <c r="CB53" s="8">
        <f t="shared" si="200"/>
        <v>7495697.0999999996</v>
      </c>
      <c r="CC53" s="94">
        <f>SUM(CC51:CC52)</f>
        <v>8758399.6879999992</v>
      </c>
      <c r="CD53" s="94">
        <f>SUM(CD51:CD52)</f>
        <v>9098012.4309999999</v>
      </c>
      <c r="CE53" s="94">
        <f>SUM(CE51:CE52)</f>
        <v>8134863.7370000007</v>
      </c>
      <c r="CF53" s="94">
        <f t="shared" ref="CF53:CQ53" si="201">SUM(CF51:CF52)</f>
        <v>5149033.6900000004</v>
      </c>
      <c r="CG53" s="94">
        <f t="shared" si="201"/>
        <v>5123667.2</v>
      </c>
      <c r="CH53" s="94">
        <f t="shared" si="201"/>
        <v>5159307.2699999996</v>
      </c>
      <c r="CI53" s="87">
        <f t="shared" si="201"/>
        <v>6464268.1899999995</v>
      </c>
      <c r="CJ53" s="94">
        <f t="shared" si="201"/>
        <v>5294990.2300000004</v>
      </c>
      <c r="CK53" s="94">
        <f t="shared" si="201"/>
        <v>4499320.5600000005</v>
      </c>
      <c r="CL53" s="94">
        <f t="shared" si="201"/>
        <v>4522348.4700000007</v>
      </c>
      <c r="CM53" s="94">
        <f t="shared" si="201"/>
        <v>4972900.07</v>
      </c>
      <c r="CN53" s="94">
        <f t="shared" si="201"/>
        <v>6852611.2299999995</v>
      </c>
      <c r="CO53" s="94">
        <f t="shared" si="201"/>
        <v>9566689.4100000001</v>
      </c>
      <c r="CP53" s="94">
        <f t="shared" si="201"/>
        <v>9368374.7200000007</v>
      </c>
      <c r="CQ53" s="94">
        <f t="shared" si="201"/>
        <v>8680732.4499999993</v>
      </c>
      <c r="CR53" s="94">
        <f t="shared" ref="CR53:FC53" si="202">SUM(CR51:CR52)</f>
        <v>6085739.0700000003</v>
      </c>
      <c r="CS53" s="94">
        <f t="shared" si="202"/>
        <v>4575662.05</v>
      </c>
      <c r="CT53" s="96">
        <f t="shared" si="202"/>
        <v>5403123.21</v>
      </c>
      <c r="CU53" s="94">
        <f t="shared" si="202"/>
        <v>7582678.6099999994</v>
      </c>
      <c r="CV53" s="94">
        <f t="shared" si="202"/>
        <v>6331094.0669999998</v>
      </c>
      <c r="CW53" s="94">
        <f t="shared" si="202"/>
        <v>5749324.9409999996</v>
      </c>
      <c r="CX53" s="94">
        <f t="shared" si="202"/>
        <v>4410772.45</v>
      </c>
      <c r="CY53" s="94">
        <f t="shared" si="202"/>
        <v>4675530.6100000003</v>
      </c>
      <c r="CZ53" s="94">
        <f t="shared" si="202"/>
        <v>7671114.7700000005</v>
      </c>
      <c r="DA53" s="94">
        <f t="shared" si="202"/>
        <v>9095310.7000000011</v>
      </c>
      <c r="DB53" s="94">
        <f t="shared" si="202"/>
        <v>9416642.7899999991</v>
      </c>
      <c r="DC53" s="94">
        <f t="shared" si="202"/>
        <v>9479614.6999999993</v>
      </c>
      <c r="DD53" s="94">
        <f t="shared" si="202"/>
        <v>6729052.1400000006</v>
      </c>
      <c r="DE53" s="94">
        <f t="shared" si="202"/>
        <v>4853514.5</v>
      </c>
      <c r="DF53" s="96">
        <f t="shared" si="202"/>
        <v>5365705.1400000006</v>
      </c>
      <c r="DG53" s="94">
        <f t="shared" si="202"/>
        <v>6663784.1099999994</v>
      </c>
      <c r="DH53" s="94">
        <f t="shared" si="202"/>
        <v>7026801.0600000005</v>
      </c>
      <c r="DI53" s="94">
        <f t="shared" si="202"/>
        <v>4790103.6400000006</v>
      </c>
      <c r="DJ53" s="94">
        <f t="shared" si="202"/>
        <v>4613147.9399999995</v>
      </c>
      <c r="DK53" s="94">
        <f t="shared" si="202"/>
        <v>5636044.1999999993</v>
      </c>
      <c r="DL53" s="94">
        <f t="shared" si="202"/>
        <v>8087059.6899999995</v>
      </c>
      <c r="DM53" s="94">
        <f t="shared" si="202"/>
        <v>10409721.779999999</v>
      </c>
      <c r="DN53" s="94">
        <f t="shared" si="202"/>
        <v>10942490.279999999</v>
      </c>
      <c r="DO53" s="94">
        <f t="shared" si="202"/>
        <v>10235120.58</v>
      </c>
      <c r="DP53" s="94">
        <f t="shared" si="202"/>
        <v>7095254.3900000006</v>
      </c>
      <c r="DQ53" s="94">
        <f t="shared" si="202"/>
        <v>5013970.1399999997</v>
      </c>
      <c r="DR53" s="94">
        <f t="shared" si="202"/>
        <v>5607610.8499999996</v>
      </c>
      <c r="DS53" s="94">
        <f t="shared" si="202"/>
        <v>6388833.4700000007</v>
      </c>
      <c r="DT53" s="94">
        <f t="shared" si="202"/>
        <v>5272832.16</v>
      </c>
      <c r="DU53" s="94">
        <f t="shared" si="202"/>
        <v>4695366.6900000004</v>
      </c>
      <c r="DV53" s="94">
        <f t="shared" si="202"/>
        <v>5003267.96</v>
      </c>
      <c r="DW53" s="94">
        <f t="shared" si="202"/>
        <v>5899697</v>
      </c>
      <c r="DX53" s="94">
        <f t="shared" si="202"/>
        <v>7859182.4999999991</v>
      </c>
      <c r="DY53" s="94">
        <f t="shared" si="202"/>
        <v>9461800.2699999996</v>
      </c>
      <c r="DZ53" s="94">
        <f t="shared" si="202"/>
        <v>9852297.75</v>
      </c>
      <c r="EA53" s="94">
        <f t="shared" si="202"/>
        <v>9406227.6000000015</v>
      </c>
      <c r="EB53" s="94">
        <f t="shared" si="202"/>
        <v>6863260.2999999989</v>
      </c>
      <c r="EC53" s="94">
        <f t="shared" si="202"/>
        <v>5321028.79</v>
      </c>
      <c r="ED53" s="94">
        <f t="shared" si="202"/>
        <v>5191475.4600000009</v>
      </c>
      <c r="EE53" s="94">
        <f t="shared" si="202"/>
        <v>6897728.9799999995</v>
      </c>
      <c r="EF53" s="94">
        <f t="shared" si="202"/>
        <v>5532493.25</v>
      </c>
      <c r="EG53" s="94">
        <f t="shared" si="202"/>
        <v>4911870.82</v>
      </c>
      <c r="EH53" s="94">
        <f t="shared" si="202"/>
        <v>4841971.28</v>
      </c>
      <c r="EI53" s="94">
        <f t="shared" si="202"/>
        <v>4955473.2600000007</v>
      </c>
      <c r="EJ53" s="94">
        <f t="shared" si="202"/>
        <v>7327758.870000001</v>
      </c>
      <c r="EK53" s="94">
        <f t="shared" si="202"/>
        <v>9467292.709999999</v>
      </c>
      <c r="EL53" s="94">
        <f t="shared" si="202"/>
        <v>9680232.7699999996</v>
      </c>
      <c r="EM53" s="94">
        <f t="shared" si="202"/>
        <v>9745176.0899999999</v>
      </c>
      <c r="EN53" s="94">
        <f t="shared" si="202"/>
        <v>7533392.9800000004</v>
      </c>
      <c r="EO53" s="94">
        <f t="shared" si="202"/>
        <v>5030477.1099999994</v>
      </c>
      <c r="EP53" s="94">
        <f t="shared" si="202"/>
        <v>6598925.8800000008</v>
      </c>
      <c r="EQ53" s="94">
        <f t="shared" si="202"/>
        <v>7835209.1299999999</v>
      </c>
      <c r="ER53" s="94">
        <f t="shared" si="202"/>
        <v>6971791.7300000004</v>
      </c>
      <c r="ES53" s="94">
        <f t="shared" si="202"/>
        <v>5910863.9000000004</v>
      </c>
      <c r="ET53" s="94">
        <f t="shared" si="202"/>
        <v>4859723.21</v>
      </c>
      <c r="EU53" s="94">
        <f t="shared" si="202"/>
        <v>5326511.37</v>
      </c>
      <c r="EV53" s="94">
        <f t="shared" si="202"/>
        <v>7184958.6099999994</v>
      </c>
      <c r="EW53" s="94">
        <f t="shared" si="202"/>
        <v>8887494.3000000007</v>
      </c>
      <c r="EX53" s="94">
        <f t="shared" si="202"/>
        <v>9261614.1899999995</v>
      </c>
      <c r="EY53" s="94">
        <f t="shared" si="202"/>
        <v>9710657.3399999999</v>
      </c>
      <c r="EZ53" s="94">
        <f t="shared" si="202"/>
        <v>7134143.9199999999</v>
      </c>
      <c r="FA53" s="94">
        <f t="shared" si="202"/>
        <v>5488340</v>
      </c>
      <c r="FB53" s="94">
        <f t="shared" si="202"/>
        <v>5667717.5499999998</v>
      </c>
      <c r="FC53" s="94">
        <f t="shared" si="202"/>
        <v>7190327.9100000001</v>
      </c>
      <c r="FD53" s="94">
        <f>SUM(FD51:FD52)</f>
        <v>6606675.1599999992</v>
      </c>
      <c r="FE53" s="94">
        <f>SUM(FE51:FE52)</f>
        <v>6429643.5899999999</v>
      </c>
      <c r="FF53" s="94">
        <f>SUM(FF51:FF52)</f>
        <v>5018226.04</v>
      </c>
      <c r="FG53" s="94">
        <f>SUM(FG51:FG52)</f>
        <v>5270765.33</v>
      </c>
      <c r="FH53" s="94">
        <f>SUM(FH51:FH52)</f>
        <v>7101015.8499999996</v>
      </c>
      <c r="FI53" s="94">
        <f t="shared" ref="FI53:FT53" si="203">SUM(FI51:FI52)</f>
        <v>9243545.120000001</v>
      </c>
      <c r="FJ53" s="94">
        <f t="shared" si="203"/>
        <v>10661426.669999998</v>
      </c>
      <c r="FK53" s="94">
        <f t="shared" si="203"/>
        <v>9744272.4000000004</v>
      </c>
      <c r="FL53" s="94">
        <f t="shared" si="203"/>
        <v>7748030.9199999999</v>
      </c>
      <c r="FM53" s="94">
        <f t="shared" si="203"/>
        <v>5493658.4700000007</v>
      </c>
      <c r="FN53" s="94">
        <f t="shared" si="203"/>
        <v>5531439.9299999997</v>
      </c>
      <c r="FO53" s="94">
        <f t="shared" si="203"/>
        <v>6749403.9800000004</v>
      </c>
      <c r="FP53" s="94">
        <f t="shared" si="203"/>
        <v>6136570.8770000003</v>
      </c>
      <c r="FQ53" s="94">
        <f t="shared" si="203"/>
        <v>4799346.1859999998</v>
      </c>
      <c r="FR53" s="94">
        <f t="shared" si="203"/>
        <v>4828461.92</v>
      </c>
      <c r="FS53" s="94">
        <f t="shared" si="203"/>
        <v>5415411.29</v>
      </c>
      <c r="FT53" s="94">
        <f t="shared" si="203"/>
        <v>7094042.4499999993</v>
      </c>
    </row>
    <row r="54" spans="2:176" x14ac:dyDescent="0.25">
      <c r="B54" s="3" t="s">
        <v>10</v>
      </c>
      <c r="C54" s="78">
        <f t="shared" ref="C54:Q54" si="204">SUM(C51)/C53</f>
        <v>0.98768457661508957</v>
      </c>
      <c r="D54" s="14">
        <f t="shared" si="204"/>
        <v>0.97494989053281911</v>
      </c>
      <c r="E54" s="14">
        <f t="shared" si="204"/>
        <v>0.97439457545408081</v>
      </c>
      <c r="F54" s="14">
        <f t="shared" si="204"/>
        <v>0.97229532343518688</v>
      </c>
      <c r="G54" s="14">
        <f t="shared" si="204"/>
        <v>0.96800298567629173</v>
      </c>
      <c r="H54" s="14">
        <f t="shared" si="204"/>
        <v>0.96008923816040337</v>
      </c>
      <c r="I54" s="14">
        <f t="shared" si="204"/>
        <v>0.9520964137663549</v>
      </c>
      <c r="J54" s="14">
        <f t="shared" si="204"/>
        <v>0.94538113360770393</v>
      </c>
      <c r="K54" s="14">
        <f t="shared" si="204"/>
        <v>0.93694462645583676</v>
      </c>
      <c r="L54" s="14">
        <f t="shared" si="204"/>
        <v>0.93028141699987943</v>
      </c>
      <c r="M54" s="14">
        <f t="shared" si="204"/>
        <v>0.92689459192601065</v>
      </c>
      <c r="N54" s="14">
        <f t="shared" si="204"/>
        <v>0.92670995748423479</v>
      </c>
      <c r="O54" s="136">
        <f t="shared" si="204"/>
        <v>0.92079544427741766</v>
      </c>
      <c r="P54" s="14">
        <f t="shared" si="204"/>
        <v>0.91889983986503621</v>
      </c>
      <c r="Q54" s="14">
        <f t="shared" si="204"/>
        <v>0.91482285924491358</v>
      </c>
      <c r="R54" s="14">
        <f t="shared" ref="R54:W54" si="205">SUM(R51)/R53</f>
        <v>0.90985393904551159</v>
      </c>
      <c r="S54" s="14">
        <f t="shared" si="205"/>
        <v>0.90277196909522484</v>
      </c>
      <c r="T54" s="14">
        <f t="shared" si="205"/>
        <v>0.89769348898995294</v>
      </c>
      <c r="U54" s="14">
        <f t="shared" si="205"/>
        <v>0.8902827124360142</v>
      </c>
      <c r="V54" s="14">
        <f t="shared" si="205"/>
        <v>0.88294122992054791</v>
      </c>
      <c r="W54" s="14">
        <f t="shared" si="205"/>
        <v>0.87567494254020695</v>
      </c>
      <c r="X54" s="14">
        <f t="shared" ref="X54:AC54" si="206">SUM(X51)/X53</f>
        <v>0.86494515475697387</v>
      </c>
      <c r="Y54" s="14">
        <f t="shared" si="206"/>
        <v>0.857043467643961</v>
      </c>
      <c r="Z54" s="150">
        <f t="shared" si="206"/>
        <v>0.84998724018641802</v>
      </c>
      <c r="AA54" s="136">
        <f t="shared" si="206"/>
        <v>0.84930146791969729</v>
      </c>
      <c r="AB54" s="14">
        <f t="shared" si="206"/>
        <v>0.84772683410453176</v>
      </c>
      <c r="AC54" s="14">
        <f t="shared" si="206"/>
        <v>0.84373684010396954</v>
      </c>
      <c r="AD54" s="14">
        <f t="shared" ref="AD54:AI54" si="207">SUM(AD51)/AD53</f>
        <v>0.83942121819048643</v>
      </c>
      <c r="AE54" s="14">
        <f t="shared" si="207"/>
        <v>0.83610084499878401</v>
      </c>
      <c r="AF54" s="14">
        <f t="shared" si="207"/>
        <v>0.8303620519274143</v>
      </c>
      <c r="AG54" s="14">
        <f t="shared" si="207"/>
        <v>0.82676095040320086</v>
      </c>
      <c r="AH54" s="14">
        <f t="shared" si="207"/>
        <v>0.81953004205117785</v>
      </c>
      <c r="AI54" s="14">
        <f t="shared" si="207"/>
        <v>0.81080659606489913</v>
      </c>
      <c r="AJ54" s="14">
        <f t="shared" ref="AJ54:AO54" si="208">SUM(AJ51)/AJ53</f>
        <v>0.80278589871255712</v>
      </c>
      <c r="AK54" s="14">
        <f t="shared" si="208"/>
        <v>0.79581404399170474</v>
      </c>
      <c r="AL54" s="150">
        <f t="shared" si="208"/>
        <v>0.78961966753476831</v>
      </c>
      <c r="AM54" s="14">
        <f t="shared" si="208"/>
        <v>0.78466631781697216</v>
      </c>
      <c r="AN54" s="14">
        <f t="shared" si="208"/>
        <v>0.78031849671559772</v>
      </c>
      <c r="AO54" s="14">
        <f t="shared" si="208"/>
        <v>0.77513529337596521</v>
      </c>
      <c r="AP54" s="14">
        <f t="shared" ref="AP54:AU54" si="209">SUM(AP51)/AP53</f>
        <v>0.7677503288281684</v>
      </c>
      <c r="AQ54" s="14">
        <f t="shared" si="209"/>
        <v>0.76011702083194543</v>
      </c>
      <c r="AR54" s="14">
        <f t="shared" si="209"/>
        <v>0.75361307555903911</v>
      </c>
      <c r="AS54" s="14">
        <f t="shared" si="209"/>
        <v>0.74626944805652085</v>
      </c>
      <c r="AT54" s="14">
        <f t="shared" si="209"/>
        <v>0.73513132682034132</v>
      </c>
      <c r="AU54" s="14">
        <f t="shared" si="209"/>
        <v>0.72547075386155313</v>
      </c>
      <c r="AV54" s="14">
        <f t="shared" ref="AV54:BJ54" si="210">SUM(AV51)/AV53</f>
        <v>0.71334958565582951</v>
      </c>
      <c r="AW54" s="14">
        <f t="shared" si="210"/>
        <v>0.70344879659505621</v>
      </c>
      <c r="AX54" s="23">
        <f t="shared" si="210"/>
        <v>0.69894440571466798</v>
      </c>
      <c r="AY54" s="14">
        <f t="shared" si="210"/>
        <v>0.69566488570146245</v>
      </c>
      <c r="AZ54" s="14">
        <f t="shared" si="210"/>
        <v>0.69285367065634917</v>
      </c>
      <c r="BA54" s="14">
        <f t="shared" si="210"/>
        <v>0.68815794587528956</v>
      </c>
      <c r="BB54" s="14">
        <f t="shared" si="210"/>
        <v>0.68344105069633099</v>
      </c>
      <c r="BC54" s="14">
        <f t="shared" si="210"/>
        <v>0.67684341470157849</v>
      </c>
      <c r="BD54" s="14">
        <f t="shared" si="210"/>
        <v>0.67184808186621769</v>
      </c>
      <c r="BE54" s="14">
        <f t="shared" si="210"/>
        <v>0.66454757086957306</v>
      </c>
      <c r="BF54" s="14">
        <f t="shared" si="210"/>
        <v>0.65739656598479912</v>
      </c>
      <c r="BG54" s="14">
        <f t="shared" si="210"/>
        <v>0.64983614213325747</v>
      </c>
      <c r="BH54" s="14">
        <f t="shared" si="210"/>
        <v>0.63689549721846761</v>
      </c>
      <c r="BI54" s="14">
        <f t="shared" si="210"/>
        <v>0.6288078426875624</v>
      </c>
      <c r="BJ54" s="23">
        <f t="shared" si="210"/>
        <v>0.62377770648281017</v>
      </c>
      <c r="BK54" s="14">
        <f t="shared" ref="BK54:BP54" si="211">SUM(BK51)/BK53</f>
        <v>0.6175284133943475</v>
      </c>
      <c r="BL54" s="14">
        <f t="shared" si="211"/>
        <v>0.61356309601750358</v>
      </c>
      <c r="BM54" s="14">
        <f t="shared" si="211"/>
        <v>0.60963096061266542</v>
      </c>
      <c r="BN54" s="14">
        <f t="shared" si="211"/>
        <v>0.60208463103579823</v>
      </c>
      <c r="BO54" s="14">
        <f t="shared" si="211"/>
        <v>0.59420060926076601</v>
      </c>
      <c r="BP54" s="14">
        <f t="shared" si="211"/>
        <v>0.58986886583842801</v>
      </c>
      <c r="BQ54" s="14">
        <f t="shared" ref="BQ54:CB54" si="212">SUM(BQ51)/BQ53</f>
        <v>0.58741894424746666</v>
      </c>
      <c r="BR54" s="14">
        <f t="shared" si="212"/>
        <v>0.58482132925391972</v>
      </c>
      <c r="BS54" s="14">
        <f t="shared" si="212"/>
        <v>0.58379123325205273</v>
      </c>
      <c r="BT54" s="14">
        <f t="shared" si="212"/>
        <v>0.57636698448504253</v>
      </c>
      <c r="BU54" s="14">
        <f t="shared" si="212"/>
        <v>0.57088406386494706</v>
      </c>
      <c r="BV54" s="23">
        <f t="shared" si="212"/>
        <v>0.5667426744218218</v>
      </c>
      <c r="BW54" s="14">
        <f t="shared" si="212"/>
        <v>0.56639208544399711</v>
      </c>
      <c r="BX54" s="14">
        <f t="shared" si="212"/>
        <v>0.56411757832490383</v>
      </c>
      <c r="BY54" s="14">
        <f t="shared" si="212"/>
        <v>0.56118228093413058</v>
      </c>
      <c r="BZ54" s="14">
        <f t="shared" si="212"/>
        <v>0.55268884814435537</v>
      </c>
      <c r="CA54" s="14">
        <f t="shared" si="212"/>
        <v>0.5455298624250583</v>
      </c>
      <c r="CB54" s="14">
        <f t="shared" si="212"/>
        <v>0.54828137332283611</v>
      </c>
      <c r="CC54" s="14">
        <f>SUM(CC51)/CC53</f>
        <v>0.55170333863850041</v>
      </c>
      <c r="CD54" s="14">
        <f>SUM(CD51)/CD53</f>
        <v>0.5522967605406649</v>
      </c>
      <c r="CE54" s="14">
        <f>SUM(CE51)/CE53</f>
        <v>0.54964716724916418</v>
      </c>
      <c r="CF54" s="14">
        <f t="shared" ref="CF54:CQ54" si="213">SUM(CF51)/CF53</f>
        <v>0.54218873444582183</v>
      </c>
      <c r="CG54" s="14">
        <f t="shared" si="213"/>
        <v>0.5374371309674445</v>
      </c>
      <c r="CH54" s="14">
        <f t="shared" si="213"/>
        <v>0.53947646735140087</v>
      </c>
      <c r="CI54" s="78">
        <f t="shared" si="213"/>
        <v>0.53959109948376072</v>
      </c>
      <c r="CJ54" s="14">
        <f t="shared" si="213"/>
        <v>0.53864167942005803</v>
      </c>
      <c r="CK54" s="14">
        <f t="shared" si="213"/>
        <v>0.53352288595325148</v>
      </c>
      <c r="CL54" s="14">
        <f t="shared" si="213"/>
        <v>0.52904375588730335</v>
      </c>
      <c r="CM54" s="14">
        <f t="shared" si="213"/>
        <v>0.51821925912941169</v>
      </c>
      <c r="CN54" s="14">
        <f t="shared" si="213"/>
        <v>0.52053757615547669</v>
      </c>
      <c r="CO54" s="14">
        <f t="shared" si="213"/>
        <v>0.52404444893544411</v>
      </c>
      <c r="CP54" s="14">
        <f t="shared" si="213"/>
        <v>0.51737100562945881</v>
      </c>
      <c r="CQ54" s="14">
        <f t="shared" si="213"/>
        <v>0.51148080136947438</v>
      </c>
      <c r="CR54" s="14">
        <f t="shared" ref="CR54:EA54" si="214">SUM(CR51)/CR53</f>
        <v>0.49681038000861905</v>
      </c>
      <c r="CS54" s="14">
        <f t="shared" si="214"/>
        <v>0.49136129054810768</v>
      </c>
      <c r="CT54" s="23">
        <f t="shared" si="214"/>
        <v>0.49818600194386464</v>
      </c>
      <c r="CU54" s="14">
        <f t="shared" si="214"/>
        <v>0.49924337885131598</v>
      </c>
      <c r="CV54" s="14">
        <f t="shared" si="214"/>
        <v>0.49413926343419784</v>
      </c>
      <c r="CW54" s="14">
        <f t="shared" si="214"/>
        <v>0.49156187830782766</v>
      </c>
      <c r="CX54" s="14">
        <f t="shared" si="214"/>
        <v>0.48408437619582939</v>
      </c>
      <c r="CY54" s="14">
        <f t="shared" si="214"/>
        <v>0.47229720949254994</v>
      </c>
      <c r="CZ54" s="14">
        <f t="shared" si="214"/>
        <v>0.47788531001211965</v>
      </c>
      <c r="DA54" s="14">
        <f t="shared" si="214"/>
        <v>0.47758393014545397</v>
      </c>
      <c r="DB54" s="14">
        <f t="shared" si="214"/>
        <v>0.47758877556403528</v>
      </c>
      <c r="DC54" s="14">
        <f t="shared" si="214"/>
        <v>0.46937529433553876</v>
      </c>
      <c r="DD54" s="14">
        <f t="shared" si="214"/>
        <v>0.45994731882104267</v>
      </c>
      <c r="DE54" s="14">
        <f t="shared" si="214"/>
        <v>0.45086903109076937</v>
      </c>
      <c r="DF54" s="23">
        <f t="shared" si="214"/>
        <v>0.45529651672212462</v>
      </c>
      <c r="DG54" s="14">
        <f t="shared" si="214"/>
        <v>0.45796983660084389</v>
      </c>
      <c r="DH54" s="14">
        <f t="shared" si="214"/>
        <v>0.44913020634171763</v>
      </c>
      <c r="DI54" s="14">
        <f t="shared" si="214"/>
        <v>0.44265803610044641</v>
      </c>
      <c r="DJ54" s="14">
        <f t="shared" si="214"/>
        <v>0.43698724953529244</v>
      </c>
      <c r="DK54" s="14">
        <f t="shared" si="214"/>
        <v>0.43391822406218894</v>
      </c>
      <c r="DL54" s="14">
        <f t="shared" si="214"/>
        <v>0.43756795988233893</v>
      </c>
      <c r="DM54" s="14">
        <f t="shared" si="214"/>
        <v>0.4432326605370619</v>
      </c>
      <c r="DN54" s="14">
        <f t="shared" si="214"/>
        <v>0.44021022790435599</v>
      </c>
      <c r="DO54" s="14">
        <f t="shared" si="214"/>
        <v>0.43422414179315905</v>
      </c>
      <c r="DP54" s="14">
        <f t="shared" si="214"/>
        <v>0.42507322559861033</v>
      </c>
      <c r="DQ54" s="14">
        <f t="shared" si="214"/>
        <v>0.41772184147869701</v>
      </c>
      <c r="DR54" s="14">
        <f t="shared" si="214"/>
        <v>0.4206004006144613</v>
      </c>
      <c r="DS54" s="14">
        <f t="shared" si="214"/>
        <v>0.42017486018460887</v>
      </c>
      <c r="DT54" s="14">
        <f t="shared" si="214"/>
        <v>0.4163194054710817</v>
      </c>
      <c r="DU54" s="14">
        <f t="shared" si="214"/>
        <v>0.40988284559304566</v>
      </c>
      <c r="DV54" s="14">
        <f t="shared" si="214"/>
        <v>0.40061964820289175</v>
      </c>
      <c r="DW54" s="14">
        <f t="shared" si="214"/>
        <v>0.4013626733711918</v>
      </c>
      <c r="DX54" s="14">
        <f t="shared" si="214"/>
        <v>0.40414083780342291</v>
      </c>
      <c r="DY54" s="14">
        <f t="shared" si="214"/>
        <v>0.40611796807670303</v>
      </c>
      <c r="DZ54" s="14">
        <f t="shared" si="214"/>
        <v>0.40548962296637858</v>
      </c>
      <c r="EA54" s="14">
        <f t="shared" si="214"/>
        <v>0.40089222803836888</v>
      </c>
      <c r="EB54" s="14">
        <f t="shared" ref="EB54:FH54" si="215">SUM(EB51)/EB53</f>
        <v>0.39422551407528578</v>
      </c>
      <c r="EC54" s="14">
        <f t="shared" si="215"/>
        <v>0.38812973233320919</v>
      </c>
      <c r="ED54" s="14">
        <f t="shared" si="215"/>
        <v>0.38887098582182256</v>
      </c>
      <c r="EE54" s="14">
        <f t="shared" si="215"/>
        <v>0.38868066979343685</v>
      </c>
      <c r="EF54" s="14">
        <f t="shared" si="215"/>
        <v>0.38800555246949459</v>
      </c>
      <c r="EG54" s="14">
        <f t="shared" si="215"/>
        <v>0.38642323048715682</v>
      </c>
      <c r="EH54" s="14">
        <f t="shared" si="215"/>
        <v>0.37977429515030081</v>
      </c>
      <c r="EI54" s="14">
        <f t="shared" si="215"/>
        <v>0.37543236990446394</v>
      </c>
      <c r="EJ54" s="14">
        <f t="shared" si="215"/>
        <v>0.37703265200373598</v>
      </c>
      <c r="EK54" s="14">
        <f t="shared" si="215"/>
        <v>0.38102913055489551</v>
      </c>
      <c r="EL54" s="14">
        <f t="shared" si="215"/>
        <v>0.38080553201408196</v>
      </c>
      <c r="EM54" s="14">
        <f t="shared" si="215"/>
        <v>0.38052384643980303</v>
      </c>
      <c r="EN54" s="14">
        <f t="shared" si="215"/>
        <v>0.37422456487860001</v>
      </c>
      <c r="EO54" s="14">
        <f t="shared" si="215"/>
        <v>0.36669986755987849</v>
      </c>
      <c r="EP54" s="14">
        <f t="shared" si="215"/>
        <v>0.36658135793457336</v>
      </c>
      <c r="EQ54" s="14">
        <f t="shared" si="215"/>
        <v>0.36835641424672477</v>
      </c>
      <c r="ER54" s="14">
        <f t="shared" si="215"/>
        <v>0.36453926457151931</v>
      </c>
      <c r="ES54" s="14">
        <f t="shared" si="215"/>
        <v>0.36511731559239585</v>
      </c>
      <c r="ET54" s="14">
        <f t="shared" si="215"/>
        <v>0.36100897400697846</v>
      </c>
      <c r="EU54" s="14">
        <f t="shared" si="215"/>
        <v>0.35784071179031385</v>
      </c>
      <c r="EV54" s="14">
        <f t="shared" si="215"/>
        <v>0.35916110169491988</v>
      </c>
      <c r="EW54" s="14">
        <f t="shared" si="215"/>
        <v>0.36097815556404916</v>
      </c>
      <c r="EX54" s="14">
        <f t="shared" si="215"/>
        <v>0.36041585640699203</v>
      </c>
      <c r="EY54" s="14">
        <f t="shared" si="215"/>
        <v>0.36019625629174967</v>
      </c>
      <c r="EZ54" s="14">
        <f t="shared" si="215"/>
        <v>0.35312167489887142</v>
      </c>
      <c r="FA54" s="14">
        <f t="shared" si="215"/>
        <v>0.3477960093580208</v>
      </c>
      <c r="FB54" s="14">
        <f t="shared" si="215"/>
        <v>0.34826374507671082</v>
      </c>
      <c r="FC54" s="14">
        <f t="shared" si="215"/>
        <v>0.34472070551230261</v>
      </c>
      <c r="FD54" s="14">
        <f t="shared" si="215"/>
        <v>0.34632678232056441</v>
      </c>
      <c r="FE54" s="14">
        <f t="shared" si="215"/>
        <v>0.34410443114468187</v>
      </c>
      <c r="FF54" s="14">
        <f t="shared" si="215"/>
        <v>0.34023670444307047</v>
      </c>
      <c r="FG54" s="14">
        <f t="shared" si="215"/>
        <v>0.33527290997795189</v>
      </c>
      <c r="FH54" s="14">
        <f t="shared" si="215"/>
        <v>0.33724717147336042</v>
      </c>
      <c r="FI54" s="14">
        <f t="shared" ref="FI54:FT54" si="216">SUM(FI51)/FI53</f>
        <v>0.34265875039078075</v>
      </c>
      <c r="FJ54" s="14">
        <f t="shared" si="216"/>
        <v>0.34483417311728326</v>
      </c>
      <c r="FK54" s="14">
        <f t="shared" si="216"/>
        <v>0.34202899951770643</v>
      </c>
      <c r="FL54" s="14">
        <f t="shared" si="216"/>
        <v>0.33491334466693123</v>
      </c>
      <c r="FM54" s="14">
        <f t="shared" si="216"/>
        <v>0.32778411141382796</v>
      </c>
      <c r="FN54" s="14">
        <f t="shared" si="216"/>
        <v>0.32702106736970388</v>
      </c>
      <c r="FO54" s="14">
        <f t="shared" si="216"/>
        <v>0.32602503665812577</v>
      </c>
      <c r="FP54" s="14">
        <f t="shared" si="216"/>
        <v>0.32753954126618329</v>
      </c>
      <c r="FQ54" s="14">
        <f t="shared" si="216"/>
        <v>0.32299927530170464</v>
      </c>
      <c r="FR54" s="14">
        <f t="shared" si="216"/>
        <v>0.31944001952489248</v>
      </c>
      <c r="FS54" s="14">
        <f t="shared" si="216"/>
        <v>0.31452290856379256</v>
      </c>
      <c r="FT54" s="14">
        <f t="shared" si="216"/>
        <v>0.31761012650833526</v>
      </c>
    </row>
    <row r="55" spans="2:176" ht="13.8" thickBot="1" x14ac:dyDescent="0.3">
      <c r="B55" s="4" t="s">
        <v>11</v>
      </c>
      <c r="C55" s="79">
        <f t="shared" ref="C55:Q55" si="217">SUM(C52/C53)</f>
        <v>1.2315423384910439E-2</v>
      </c>
      <c r="D55" s="15">
        <f t="shared" si="217"/>
        <v>2.5050109467180844E-2</v>
      </c>
      <c r="E55" s="15">
        <f t="shared" si="217"/>
        <v>2.5605424545919225E-2</v>
      </c>
      <c r="F55" s="15">
        <f t="shared" si="217"/>
        <v>2.7704676564813041E-2</v>
      </c>
      <c r="G55" s="15">
        <f t="shared" si="217"/>
        <v>3.199701432370821E-2</v>
      </c>
      <c r="H55" s="15">
        <f t="shared" si="217"/>
        <v>3.9910761839596604E-2</v>
      </c>
      <c r="I55" s="15">
        <f t="shared" si="217"/>
        <v>4.790358623364506E-2</v>
      </c>
      <c r="J55" s="15">
        <f t="shared" si="217"/>
        <v>5.4618866392296017E-2</v>
      </c>
      <c r="K55" s="15">
        <f t="shared" si="217"/>
        <v>6.3055373544163185E-2</v>
      </c>
      <c r="L55" s="15">
        <f t="shared" si="217"/>
        <v>6.9718583000120682E-2</v>
      </c>
      <c r="M55" s="15">
        <f t="shared" si="217"/>
        <v>7.3105408073989353E-2</v>
      </c>
      <c r="N55" s="15">
        <f t="shared" si="217"/>
        <v>7.3290042515765208E-2</v>
      </c>
      <c r="O55" s="137">
        <f t="shared" si="217"/>
        <v>7.9204555722582282E-2</v>
      </c>
      <c r="P55" s="15">
        <f t="shared" si="217"/>
        <v>8.1100160134963753E-2</v>
      </c>
      <c r="Q55" s="15">
        <f t="shared" si="217"/>
        <v>8.5177140755086478E-2</v>
      </c>
      <c r="R55" s="15">
        <f t="shared" ref="R55:W55" si="218">SUM(R52/R53)</f>
        <v>9.0146060954488377E-2</v>
      </c>
      <c r="S55" s="15">
        <f t="shared" si="218"/>
        <v>9.7228030904775067E-2</v>
      </c>
      <c r="T55" s="15">
        <f t="shared" si="218"/>
        <v>0.10230651101004706</v>
      </c>
      <c r="U55" s="15">
        <f t="shared" si="218"/>
        <v>0.10971728756398577</v>
      </c>
      <c r="V55" s="15">
        <f t="shared" si="218"/>
        <v>0.11705877007945212</v>
      </c>
      <c r="W55" s="15">
        <f t="shared" si="218"/>
        <v>0.12432505745979304</v>
      </c>
      <c r="X55" s="15">
        <f t="shared" ref="X55:AC55" si="219">SUM(X52/X53)</f>
        <v>0.13505484524302616</v>
      </c>
      <c r="Y55" s="15">
        <f t="shared" si="219"/>
        <v>0.14295653235603895</v>
      </c>
      <c r="Z55" s="151">
        <f t="shared" si="219"/>
        <v>0.15001275981358189</v>
      </c>
      <c r="AA55" s="137">
        <f t="shared" si="219"/>
        <v>0.15069853208030276</v>
      </c>
      <c r="AB55" s="15">
        <f t="shared" si="219"/>
        <v>0.15227316589546822</v>
      </c>
      <c r="AC55" s="15">
        <f t="shared" si="219"/>
        <v>0.1562631598960304</v>
      </c>
      <c r="AD55" s="15">
        <f t="shared" ref="AD55:AI55" si="220">SUM(AD52/AD53)</f>
        <v>0.16057878180951352</v>
      </c>
      <c r="AE55" s="15">
        <f t="shared" si="220"/>
        <v>0.16389915500121588</v>
      </c>
      <c r="AF55" s="15">
        <f t="shared" si="220"/>
        <v>0.1696379480725857</v>
      </c>
      <c r="AG55" s="15">
        <f t="shared" si="220"/>
        <v>0.17323904959679925</v>
      </c>
      <c r="AH55" s="15">
        <f t="shared" si="220"/>
        <v>0.18046995794882209</v>
      </c>
      <c r="AI55" s="15">
        <f t="shared" si="220"/>
        <v>0.18919340393510095</v>
      </c>
      <c r="AJ55" s="15">
        <f t="shared" ref="AJ55:AO55" si="221">SUM(AJ52/AJ53)</f>
        <v>0.19721410128744293</v>
      </c>
      <c r="AK55" s="15">
        <f t="shared" si="221"/>
        <v>0.2041859560082952</v>
      </c>
      <c r="AL55" s="151">
        <f t="shared" si="221"/>
        <v>0.21038033246523169</v>
      </c>
      <c r="AM55" s="15">
        <f t="shared" si="221"/>
        <v>0.21533368218302781</v>
      </c>
      <c r="AN55" s="15">
        <f t="shared" si="221"/>
        <v>0.21968150328440228</v>
      </c>
      <c r="AO55" s="15">
        <f t="shared" si="221"/>
        <v>0.22486470662403477</v>
      </c>
      <c r="AP55" s="15">
        <f t="shared" ref="AP55:AU55" si="222">SUM(AP52/AP53)</f>
        <v>0.23224967117183165</v>
      </c>
      <c r="AQ55" s="15">
        <f t="shared" si="222"/>
        <v>0.23988297916805459</v>
      </c>
      <c r="AR55" s="15">
        <f t="shared" si="222"/>
        <v>0.24638692444096097</v>
      </c>
      <c r="AS55" s="15">
        <f t="shared" si="222"/>
        <v>0.2537305519434791</v>
      </c>
      <c r="AT55" s="15">
        <f t="shared" si="222"/>
        <v>0.26486867317965868</v>
      </c>
      <c r="AU55" s="15">
        <f t="shared" si="222"/>
        <v>0.27452924613844687</v>
      </c>
      <c r="AV55" s="15">
        <f>SUM(AV52/AV53)</f>
        <v>0.28665041434417038</v>
      </c>
      <c r="AW55" s="15">
        <f>SUM(AW52/AW53)</f>
        <v>0.29655120340494368</v>
      </c>
      <c r="AX55" s="24">
        <f>SUM(AX52/AX53)</f>
        <v>0.30105559428533207</v>
      </c>
      <c r="AY55" s="15">
        <f t="shared" ref="AY55:BG55" si="223">SUM(AY52/AY53)</f>
        <v>0.30433511429853743</v>
      </c>
      <c r="AZ55" s="15">
        <f t="shared" si="223"/>
        <v>0.30714632934365088</v>
      </c>
      <c r="BA55" s="15">
        <f t="shared" si="223"/>
        <v>0.31184205412471044</v>
      </c>
      <c r="BB55" s="15">
        <f t="shared" si="223"/>
        <v>0.31655894930366912</v>
      </c>
      <c r="BC55" s="15">
        <f t="shared" si="223"/>
        <v>0.32315658529842156</v>
      </c>
      <c r="BD55" s="15">
        <f t="shared" si="223"/>
        <v>0.32815191813378225</v>
      </c>
      <c r="BE55" s="15">
        <f t="shared" si="223"/>
        <v>0.335452429130427</v>
      </c>
      <c r="BF55" s="15">
        <f t="shared" si="223"/>
        <v>0.34260343401520094</v>
      </c>
      <c r="BG55" s="15">
        <f t="shared" si="223"/>
        <v>0.35016385786674253</v>
      </c>
      <c r="BH55" s="15">
        <f t="shared" ref="BH55:BM55" si="224">SUM(BH52/BH53)</f>
        <v>0.36310450278153228</v>
      </c>
      <c r="BI55" s="15">
        <f t="shared" si="224"/>
        <v>0.37119215731243765</v>
      </c>
      <c r="BJ55" s="24">
        <f t="shared" si="224"/>
        <v>0.37622229351718978</v>
      </c>
      <c r="BK55" s="15">
        <f t="shared" si="224"/>
        <v>0.3824715866056525</v>
      </c>
      <c r="BL55" s="15">
        <f t="shared" si="224"/>
        <v>0.38643690398249653</v>
      </c>
      <c r="BM55" s="15">
        <f t="shared" si="224"/>
        <v>0.39036903938733458</v>
      </c>
      <c r="BN55" s="15">
        <f t="shared" ref="BN55:BS55" si="225">SUM(BN52/BN53)</f>
        <v>0.39791536896420188</v>
      </c>
      <c r="BO55" s="15">
        <f t="shared" si="225"/>
        <v>0.40579939073923393</v>
      </c>
      <c r="BP55" s="15">
        <f t="shared" si="225"/>
        <v>0.41013113416157193</v>
      </c>
      <c r="BQ55" s="15">
        <f t="shared" si="225"/>
        <v>0.41258105575253334</v>
      </c>
      <c r="BR55" s="15">
        <f t="shared" si="225"/>
        <v>0.41517867074608034</v>
      </c>
      <c r="BS55" s="15">
        <f t="shared" si="225"/>
        <v>0.41620876674794727</v>
      </c>
      <c r="BT55" s="15">
        <f>SUM(BT52/BT53)</f>
        <v>0.42363301551495758</v>
      </c>
      <c r="BU55" s="15">
        <f>SUM(BU52/BU53)</f>
        <v>0.429115936135053</v>
      </c>
      <c r="BV55" s="24">
        <f>SUM(BV52/BV53)</f>
        <v>0.43325732557817814</v>
      </c>
      <c r="BW55" s="15">
        <f t="shared" ref="BW55:CB55" si="226">SUM(BW52/BW53)</f>
        <v>0.433607914556003</v>
      </c>
      <c r="BX55" s="15">
        <f t="shared" si="226"/>
        <v>0.43588242167509622</v>
      </c>
      <c r="BY55" s="15">
        <f t="shared" si="226"/>
        <v>0.4388177190658693</v>
      </c>
      <c r="BZ55" s="15">
        <f t="shared" si="226"/>
        <v>0.44731115185564468</v>
      </c>
      <c r="CA55" s="15">
        <f t="shared" si="226"/>
        <v>0.45447013757494181</v>
      </c>
      <c r="CB55" s="15">
        <f t="shared" si="226"/>
        <v>0.45171862667716389</v>
      </c>
      <c r="CC55" s="15">
        <f>SUM(CC52/CC53)</f>
        <v>0.4482966613614997</v>
      </c>
      <c r="CD55" s="15">
        <f>SUM(CD52/CD53)</f>
        <v>0.44770323945933505</v>
      </c>
      <c r="CE55" s="15">
        <f>SUM(CE52/CE53)</f>
        <v>0.45035283275083576</v>
      </c>
      <c r="CF55" s="15">
        <f t="shared" ref="CF55:CQ55" si="227">SUM(CF52/CF53)</f>
        <v>0.45781126555417823</v>
      </c>
      <c r="CG55" s="15">
        <f t="shared" si="227"/>
        <v>0.46256286903255545</v>
      </c>
      <c r="CH55" s="15">
        <f t="shared" si="227"/>
        <v>0.46052353264859924</v>
      </c>
      <c r="CI55" s="79">
        <f t="shared" si="227"/>
        <v>0.46040890051623934</v>
      </c>
      <c r="CJ55" s="15">
        <f t="shared" si="227"/>
        <v>0.46135832057994186</v>
      </c>
      <c r="CK55" s="15">
        <f t="shared" si="227"/>
        <v>0.46647711404674846</v>
      </c>
      <c r="CL55" s="15">
        <f t="shared" si="227"/>
        <v>0.47095624411269654</v>
      </c>
      <c r="CM55" s="15">
        <f t="shared" si="227"/>
        <v>0.4817807408705882</v>
      </c>
      <c r="CN55" s="15">
        <f t="shared" si="227"/>
        <v>0.47946242384452331</v>
      </c>
      <c r="CO55" s="15">
        <f t="shared" si="227"/>
        <v>0.47595555106455584</v>
      </c>
      <c r="CP55" s="15">
        <f t="shared" si="227"/>
        <v>0.48262899437054119</v>
      </c>
      <c r="CQ55" s="15">
        <f t="shared" si="227"/>
        <v>0.48851919863052573</v>
      </c>
      <c r="CR55" s="15">
        <f t="shared" ref="CR55:EA55" si="228">SUM(CR52/CR53)</f>
        <v>0.5031896199913809</v>
      </c>
      <c r="CS55" s="15">
        <f t="shared" si="228"/>
        <v>0.50863870945189227</v>
      </c>
      <c r="CT55" s="24">
        <f t="shared" si="228"/>
        <v>0.50181399805613536</v>
      </c>
      <c r="CU55" s="15">
        <f t="shared" si="228"/>
        <v>0.50075662114868402</v>
      </c>
      <c r="CV55" s="15">
        <f t="shared" si="228"/>
        <v>0.5058607365658021</v>
      </c>
      <c r="CW55" s="15">
        <f t="shared" si="228"/>
        <v>0.5084381216921724</v>
      </c>
      <c r="CX55" s="15">
        <f t="shared" si="228"/>
        <v>0.51591562380417055</v>
      </c>
      <c r="CY55" s="15">
        <f t="shared" si="228"/>
        <v>0.52770279050745006</v>
      </c>
      <c r="CZ55" s="15">
        <f t="shared" si="228"/>
        <v>0.52211468998788035</v>
      </c>
      <c r="DA55" s="15">
        <f t="shared" si="228"/>
        <v>0.52241606985454603</v>
      </c>
      <c r="DB55" s="15">
        <f t="shared" si="228"/>
        <v>0.52241122443596488</v>
      </c>
      <c r="DC55" s="15">
        <f t="shared" si="228"/>
        <v>0.53062470566446129</v>
      </c>
      <c r="DD55" s="15">
        <f t="shared" si="228"/>
        <v>0.54005268117895722</v>
      </c>
      <c r="DE55" s="15">
        <f t="shared" si="228"/>
        <v>0.54913096890923063</v>
      </c>
      <c r="DF55" s="24">
        <f t="shared" si="228"/>
        <v>0.54470348327787532</v>
      </c>
      <c r="DG55" s="15">
        <f t="shared" si="228"/>
        <v>0.54203016339915622</v>
      </c>
      <c r="DH55" s="15">
        <f t="shared" si="228"/>
        <v>0.55086979365828237</v>
      </c>
      <c r="DI55" s="15">
        <f t="shared" si="228"/>
        <v>0.55734196389955348</v>
      </c>
      <c r="DJ55" s="15">
        <f t="shared" si="228"/>
        <v>0.56301275046470767</v>
      </c>
      <c r="DK55" s="15">
        <f t="shared" si="228"/>
        <v>0.56608177593781117</v>
      </c>
      <c r="DL55" s="15">
        <f t="shared" si="228"/>
        <v>0.56243204011766113</v>
      </c>
      <c r="DM55" s="15">
        <f t="shared" si="228"/>
        <v>0.5567673394629381</v>
      </c>
      <c r="DN55" s="15">
        <f t="shared" si="228"/>
        <v>0.55978977209564407</v>
      </c>
      <c r="DO55" s="15">
        <f t="shared" si="228"/>
        <v>0.56577585820684095</v>
      </c>
      <c r="DP55" s="15">
        <f t="shared" si="228"/>
        <v>0.57492677440138973</v>
      </c>
      <c r="DQ55" s="15">
        <f t="shared" si="228"/>
        <v>0.58227815852130305</v>
      </c>
      <c r="DR55" s="15">
        <f t="shared" si="228"/>
        <v>0.57939959938553875</v>
      </c>
      <c r="DS55" s="15">
        <f t="shared" si="228"/>
        <v>0.57982513981539108</v>
      </c>
      <c r="DT55" s="15">
        <f t="shared" si="228"/>
        <v>0.58368059452891818</v>
      </c>
      <c r="DU55" s="15">
        <f t="shared" si="228"/>
        <v>0.59011715440695434</v>
      </c>
      <c r="DV55" s="15">
        <f t="shared" si="228"/>
        <v>0.59938035179710825</v>
      </c>
      <c r="DW55" s="15">
        <f t="shared" si="228"/>
        <v>0.59863732662880831</v>
      </c>
      <c r="DX55" s="15">
        <f t="shared" si="228"/>
        <v>0.59585916219657709</v>
      </c>
      <c r="DY55" s="15">
        <f t="shared" si="228"/>
        <v>0.59388203192329703</v>
      </c>
      <c r="DZ55" s="15">
        <f t="shared" si="228"/>
        <v>0.59451037703362142</v>
      </c>
      <c r="EA55" s="15">
        <f t="shared" si="228"/>
        <v>0.59910777196163101</v>
      </c>
      <c r="EB55" s="15">
        <f t="shared" ref="EB55:FH55" si="229">SUM(EB52/EB53)</f>
        <v>0.60577448592471428</v>
      </c>
      <c r="EC55" s="15">
        <f t="shared" si="229"/>
        <v>0.61187026766679076</v>
      </c>
      <c r="ED55" s="15">
        <f t="shared" si="229"/>
        <v>0.61112901417817733</v>
      </c>
      <c r="EE55" s="15">
        <f t="shared" si="229"/>
        <v>0.61131933020656315</v>
      </c>
      <c r="EF55" s="15">
        <f t="shared" si="229"/>
        <v>0.61199444753050536</v>
      </c>
      <c r="EG55" s="15">
        <f t="shared" si="229"/>
        <v>0.61357676951284312</v>
      </c>
      <c r="EH55" s="15">
        <f t="shared" si="229"/>
        <v>0.62022570484969919</v>
      </c>
      <c r="EI55" s="15">
        <f t="shared" si="229"/>
        <v>0.62456763009553606</v>
      </c>
      <c r="EJ55" s="15">
        <f t="shared" si="229"/>
        <v>0.62296734799626396</v>
      </c>
      <c r="EK55" s="15">
        <f t="shared" si="229"/>
        <v>0.6189708694451046</v>
      </c>
      <c r="EL55" s="15">
        <f t="shared" si="229"/>
        <v>0.61919446798591815</v>
      </c>
      <c r="EM55" s="15">
        <f t="shared" si="229"/>
        <v>0.61947615356019703</v>
      </c>
      <c r="EN55" s="15">
        <f t="shared" si="229"/>
        <v>0.62577543512139999</v>
      </c>
      <c r="EO55" s="15">
        <f t="shared" si="229"/>
        <v>0.63330013244012162</v>
      </c>
      <c r="EP55" s="15">
        <f t="shared" si="229"/>
        <v>0.63341864206542653</v>
      </c>
      <c r="EQ55" s="15">
        <f t="shared" si="229"/>
        <v>0.63164358575327517</v>
      </c>
      <c r="ER55" s="15">
        <f t="shared" si="229"/>
        <v>0.63546073542848058</v>
      </c>
      <c r="ES55" s="15">
        <f t="shared" si="229"/>
        <v>0.63488268440760409</v>
      </c>
      <c r="ET55" s="15">
        <f t="shared" si="229"/>
        <v>0.63899102599302149</v>
      </c>
      <c r="EU55" s="15">
        <f t="shared" si="229"/>
        <v>0.64215928820968604</v>
      </c>
      <c r="EV55" s="15">
        <f t="shared" si="229"/>
        <v>0.64083889830508023</v>
      </c>
      <c r="EW55" s="15">
        <f t="shared" si="229"/>
        <v>0.63902184443595078</v>
      </c>
      <c r="EX55" s="15">
        <f t="shared" si="229"/>
        <v>0.63958414359300797</v>
      </c>
      <c r="EY55" s="15">
        <f t="shared" si="229"/>
        <v>0.63980374370825033</v>
      </c>
      <c r="EZ55" s="15">
        <f t="shared" si="229"/>
        <v>0.64687832510112864</v>
      </c>
      <c r="FA55" s="15">
        <f t="shared" si="229"/>
        <v>0.65220399064197931</v>
      </c>
      <c r="FB55" s="15">
        <f t="shared" si="229"/>
        <v>0.65173625492328913</v>
      </c>
      <c r="FC55" s="15">
        <f t="shared" si="229"/>
        <v>0.65527929448769739</v>
      </c>
      <c r="FD55" s="15">
        <f t="shared" si="229"/>
        <v>0.65367321767943554</v>
      </c>
      <c r="FE55" s="15">
        <f t="shared" si="229"/>
        <v>0.65589556885531819</v>
      </c>
      <c r="FF55" s="15">
        <f t="shared" si="229"/>
        <v>0.65976329555692947</v>
      </c>
      <c r="FG55" s="15">
        <f t="shared" si="229"/>
        <v>0.66472709002204811</v>
      </c>
      <c r="FH55" s="15">
        <f t="shared" si="229"/>
        <v>0.66275282852663964</v>
      </c>
      <c r="FI55" s="15">
        <f t="shared" ref="FI55:FT55" si="230">SUM(FI52/FI53)</f>
        <v>0.65734124960921914</v>
      </c>
      <c r="FJ55" s="15">
        <f t="shared" si="230"/>
        <v>0.65516582688271685</v>
      </c>
      <c r="FK55" s="15">
        <f t="shared" si="230"/>
        <v>0.65797100048229362</v>
      </c>
      <c r="FL55" s="15">
        <f t="shared" si="230"/>
        <v>0.66508665533306877</v>
      </c>
      <c r="FM55" s="15">
        <f t="shared" si="230"/>
        <v>0.67221588858617198</v>
      </c>
      <c r="FN55" s="15">
        <f t="shared" si="230"/>
        <v>0.67297893263029618</v>
      </c>
      <c r="FO55" s="15">
        <f t="shared" si="230"/>
        <v>0.67397496334187412</v>
      </c>
      <c r="FP55" s="15">
        <f t="shared" si="230"/>
        <v>0.67246045873381666</v>
      </c>
      <c r="FQ55" s="15">
        <f t="shared" si="230"/>
        <v>0.67700072469829531</v>
      </c>
      <c r="FR55" s="15">
        <f t="shared" si="230"/>
        <v>0.68055998047510757</v>
      </c>
      <c r="FS55" s="15">
        <f t="shared" si="230"/>
        <v>0.6854770914362075</v>
      </c>
      <c r="FT55" s="15">
        <f t="shared" si="230"/>
        <v>0.6823898734916648</v>
      </c>
    </row>
    <row r="56" spans="2:176" ht="10.95" customHeight="1" x14ac:dyDescent="0.25">
      <c r="B56" s="3"/>
      <c r="C56" s="74"/>
      <c r="D56" s="18"/>
      <c r="E56" s="18"/>
      <c r="F56" s="18"/>
      <c r="G56" s="18"/>
      <c r="H56" s="19"/>
      <c r="I56" s="18"/>
      <c r="J56" s="18"/>
      <c r="K56" s="18"/>
      <c r="L56" s="14"/>
      <c r="M56" s="14"/>
      <c r="N56" s="14"/>
      <c r="O56" s="138"/>
      <c r="P56" s="18"/>
      <c r="Q56" s="18"/>
      <c r="U56" s="18"/>
      <c r="V56" s="18"/>
      <c r="W56" s="18"/>
      <c r="X56" s="18"/>
      <c r="Y56" s="18"/>
      <c r="Z56" s="146"/>
      <c r="AA56" s="13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46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20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20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74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20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G56" s="18"/>
      <c r="DH56" s="18"/>
      <c r="DI56" s="18"/>
      <c r="DJ56" s="18"/>
      <c r="DK56" s="18"/>
      <c r="DL56" s="18"/>
    </row>
    <row r="57" spans="2:176" x14ac:dyDescent="0.25">
      <c r="B57" s="3" t="s">
        <v>21</v>
      </c>
      <c r="C57" s="85">
        <f t="shared" ref="C57:AT57" si="231">SUM(1000*(C53))/C10</f>
        <v>1089.0273154313868</v>
      </c>
      <c r="D57" s="32">
        <f t="shared" si="231"/>
        <v>1089.7484470072802</v>
      </c>
      <c r="E57" s="32">
        <f t="shared" si="231"/>
        <v>1048.7117687280195</v>
      </c>
      <c r="F57" s="32">
        <f t="shared" si="231"/>
        <v>919.27664832701726</v>
      </c>
      <c r="G57" s="32">
        <f t="shared" si="231"/>
        <v>1115.8256794818592</v>
      </c>
      <c r="H57" s="32">
        <f t="shared" si="231"/>
        <v>1339.216382711945</v>
      </c>
      <c r="I57" s="32">
        <f t="shared" si="231"/>
        <v>1610.6310084194254</v>
      </c>
      <c r="J57" s="32">
        <f t="shared" si="231"/>
        <v>1742.954875188768</v>
      </c>
      <c r="K57" s="32">
        <f t="shared" si="231"/>
        <v>1766.4434197628766</v>
      </c>
      <c r="L57" s="32">
        <f t="shared" si="231"/>
        <v>1332.6433652501132</v>
      </c>
      <c r="M57" s="32">
        <f t="shared" si="231"/>
        <v>925.54153484601215</v>
      </c>
      <c r="N57" s="32">
        <f t="shared" si="231"/>
        <v>1001.8542794036442</v>
      </c>
      <c r="O57" s="139">
        <f t="shared" si="231"/>
        <v>1181.2887651768049</v>
      </c>
      <c r="P57" s="32">
        <f t="shared" si="231"/>
        <v>1185.8981279951709</v>
      </c>
      <c r="Q57" s="32">
        <f t="shared" si="231"/>
        <v>1040.052357441213</v>
      </c>
      <c r="R57" s="32">
        <f t="shared" si="231"/>
        <v>818.54801944862561</v>
      </c>
      <c r="S57" s="32">
        <f t="shared" si="231"/>
        <v>1048.6999433879125</v>
      </c>
      <c r="T57" s="32">
        <f t="shared" si="231"/>
        <v>1411.2007479931879</v>
      </c>
      <c r="U57" s="32">
        <f t="shared" si="231"/>
        <v>1655.953132522345</v>
      </c>
      <c r="V57" s="32">
        <f t="shared" si="231"/>
        <v>1821.8019295061533</v>
      </c>
      <c r="W57" s="32">
        <f t="shared" si="231"/>
        <v>1629.8791274649871</v>
      </c>
      <c r="X57" s="32">
        <f t="shared" si="231"/>
        <v>1161.4175774628209</v>
      </c>
      <c r="Y57" s="32">
        <f t="shared" si="231"/>
        <v>946.01883161429828</v>
      </c>
      <c r="Z57" s="152">
        <f t="shared" si="231"/>
        <v>995.41818846312469</v>
      </c>
      <c r="AA57" s="139">
        <f t="shared" si="231"/>
        <v>1133.8462522177861</v>
      </c>
      <c r="AB57" s="32">
        <f t="shared" si="231"/>
        <v>1098.3495059312875</v>
      </c>
      <c r="AC57" s="32">
        <f t="shared" si="231"/>
        <v>947.91930470209934</v>
      </c>
      <c r="AD57" s="32">
        <f t="shared" si="231"/>
        <v>826.04493783360147</v>
      </c>
      <c r="AE57" s="32">
        <f t="shared" si="231"/>
        <v>939.4032712347888</v>
      </c>
      <c r="AF57" s="32">
        <f t="shared" si="231"/>
        <v>1342.8319247834979</v>
      </c>
      <c r="AG57" s="32">
        <f t="shared" si="231"/>
        <v>1560.1413050480826</v>
      </c>
      <c r="AH57" s="32">
        <f t="shared" si="231"/>
        <v>1642.8396056225592</v>
      </c>
      <c r="AI57" s="32">
        <f t="shared" si="231"/>
        <v>1530.3796137238235</v>
      </c>
      <c r="AJ57" s="32">
        <f t="shared" si="231"/>
        <v>1294.7280175206104</v>
      </c>
      <c r="AK57" s="32">
        <f t="shared" si="231"/>
        <v>1029.5504188608481</v>
      </c>
      <c r="AL57" s="152">
        <f t="shared" si="231"/>
        <v>974.23035259325081</v>
      </c>
      <c r="AM57" s="32">
        <f t="shared" si="231"/>
        <v>1176.4155730533685</v>
      </c>
      <c r="AN57" s="32">
        <f t="shared" si="231"/>
        <v>1048.8576894207501</v>
      </c>
      <c r="AO57" s="32">
        <f t="shared" si="231"/>
        <v>901.59543802505982</v>
      </c>
      <c r="AP57" s="32">
        <f t="shared" si="231"/>
        <v>835.96764977251496</v>
      </c>
      <c r="AQ57" s="32">
        <f t="shared" si="231"/>
        <v>878.05086513300057</v>
      </c>
      <c r="AR57" s="32">
        <f t="shared" si="231"/>
        <v>1380.546963248855</v>
      </c>
      <c r="AS57" s="32">
        <f t="shared" si="231"/>
        <v>1756.9903429864553</v>
      </c>
      <c r="AT57" s="32">
        <f t="shared" si="231"/>
        <v>1668.7635814404427</v>
      </c>
      <c r="AU57" s="32">
        <f>SUM(1000*(AU53))/AU10</f>
        <v>1749.8349626626079</v>
      </c>
      <c r="AV57" s="32">
        <f>SUM(1000*(AV53))/AV10</f>
        <v>1464.6291812801373</v>
      </c>
      <c r="AW57" s="32">
        <f>SUM(1000*(AW53))/AW10</f>
        <v>940.95250686965085</v>
      </c>
      <c r="AX57" s="54">
        <f>SUM(1000*(AX53))/AX10</f>
        <v>1027.1443748312222</v>
      </c>
      <c r="AY57" s="32">
        <f t="shared" ref="AY57:BF57" si="232">SUM(1000*(AY53))/AY10</f>
        <v>1074.4869835156148</v>
      </c>
      <c r="AZ57" s="32">
        <f t="shared" si="232"/>
        <v>872.53282808286303</v>
      </c>
      <c r="BA57" s="32">
        <f t="shared" si="232"/>
        <v>911.87984836272415</v>
      </c>
      <c r="BB57" s="32">
        <f t="shared" si="232"/>
        <v>893.32607051328353</v>
      </c>
      <c r="BC57" s="32">
        <f t="shared" si="232"/>
        <v>1064.899238778645</v>
      </c>
      <c r="BD57" s="32">
        <f t="shared" si="232"/>
        <v>1396.1351448923594</v>
      </c>
      <c r="BE57" s="32">
        <f t="shared" si="232"/>
        <v>1604.2450863998583</v>
      </c>
      <c r="BF57" s="32">
        <f t="shared" si="232"/>
        <v>1752.9361238012846</v>
      </c>
      <c r="BG57" s="32">
        <f t="shared" ref="BG57:BM57" si="233">SUM(1000*(BG53))/BG10</f>
        <v>1676.4915662476449</v>
      </c>
      <c r="BH57" s="32">
        <f t="shared" si="233"/>
        <v>1209.4256195215221</v>
      </c>
      <c r="BI57" s="32">
        <f t="shared" si="233"/>
        <v>867.04862612105239</v>
      </c>
      <c r="BJ57" s="54">
        <f t="shared" si="233"/>
        <v>954.21515806318234</v>
      </c>
      <c r="BK57" s="32">
        <f t="shared" si="233"/>
        <v>1141.3956269162893</v>
      </c>
      <c r="BL57" s="32">
        <f t="shared" si="233"/>
        <v>1202.778802860882</v>
      </c>
      <c r="BM57" s="32">
        <f t="shared" si="233"/>
        <v>907.81270364291936</v>
      </c>
      <c r="BN57" s="32">
        <f t="shared" ref="BN57:BS57" si="234">SUM(1000*(BN53))/BN10</f>
        <v>791.38760298889031</v>
      </c>
      <c r="BO57" s="32">
        <f t="shared" si="234"/>
        <v>874.21581312831768</v>
      </c>
      <c r="BP57" s="32">
        <f t="shared" si="234"/>
        <v>1149.6370740953305</v>
      </c>
      <c r="BQ57" s="32">
        <f t="shared" si="234"/>
        <v>1399.1404431280089</v>
      </c>
      <c r="BR57" s="32">
        <f t="shared" si="234"/>
        <v>1470.2956849366985</v>
      </c>
      <c r="BS57" s="32">
        <f t="shared" si="234"/>
        <v>1607.4050889198652</v>
      </c>
      <c r="BT57" s="32">
        <f>SUM(1000*(BT53))/BT10</f>
        <v>1340.0477779074524</v>
      </c>
      <c r="BU57" s="32">
        <f>SUM(1000*(BU53))/BU10</f>
        <v>928.82145482811814</v>
      </c>
      <c r="BV57" s="54">
        <f>SUM(1000*(BV53))/BV10</f>
        <v>957.92009912040601</v>
      </c>
      <c r="BW57" s="32">
        <f t="shared" ref="BW57:CB57" si="235">SUM(1000*(BW53))/BW10</f>
        <v>1185.9280608379879</v>
      </c>
      <c r="BX57" s="32">
        <f t="shared" si="235"/>
        <v>1058.6040877877376</v>
      </c>
      <c r="BY57" s="32">
        <f t="shared" si="235"/>
        <v>873.84074371820896</v>
      </c>
      <c r="BZ57" s="32">
        <f t="shared" si="235"/>
        <v>825.73399775298935</v>
      </c>
      <c r="CA57" s="32">
        <f t="shared" si="235"/>
        <v>854.77453260552647</v>
      </c>
      <c r="CB57" s="32">
        <f t="shared" si="235"/>
        <v>1366.8270115333426</v>
      </c>
      <c r="CC57" s="32">
        <f>SUM(1000*(CC53))/CC10</f>
        <v>1595.9241265456508</v>
      </c>
      <c r="CD57" s="32">
        <f>SUM(1000*(CD53))/CD10</f>
        <v>1655.3163147229068</v>
      </c>
      <c r="CE57" s="32">
        <f>SUM(1000*(CE53))/CE10</f>
        <v>1481.4960568962294</v>
      </c>
      <c r="CF57" s="32">
        <f t="shared" ref="CF57:CT57" si="236">SUM(1000*(CF53))/CF10</f>
        <v>942.11883866727555</v>
      </c>
      <c r="CG57" s="32">
        <f t="shared" si="236"/>
        <v>941.42832994024741</v>
      </c>
      <c r="CH57" s="32">
        <f t="shared" si="236"/>
        <v>939.98933989130728</v>
      </c>
      <c r="CI57" s="85">
        <f t="shared" si="236"/>
        <v>1178.0650956017384</v>
      </c>
      <c r="CJ57" s="32">
        <f t="shared" si="236"/>
        <v>964.06431877578359</v>
      </c>
      <c r="CK57" s="32">
        <f t="shared" si="236"/>
        <v>816.88345670136243</v>
      </c>
      <c r="CL57" s="32">
        <f t="shared" si="236"/>
        <v>819.81940527247218</v>
      </c>
      <c r="CM57" s="32">
        <f t="shared" si="236"/>
        <v>900.32075272889756</v>
      </c>
      <c r="CN57" s="32">
        <f t="shared" si="236"/>
        <v>1238.2201558551005</v>
      </c>
      <c r="CO57" s="32">
        <f t="shared" si="236"/>
        <v>1726.6372832203019</v>
      </c>
      <c r="CP57" s="32">
        <f t="shared" si="236"/>
        <v>1688.0261640797428</v>
      </c>
      <c r="CQ57" s="32">
        <f t="shared" si="236"/>
        <v>1560.3788614545422</v>
      </c>
      <c r="CR57" s="32">
        <f t="shared" si="236"/>
        <v>1095.3939051297089</v>
      </c>
      <c r="CS57" s="32">
        <f t="shared" si="236"/>
        <v>824.06587863148854</v>
      </c>
      <c r="CT57" s="54">
        <f t="shared" si="236"/>
        <v>972.79393622736677</v>
      </c>
      <c r="CU57" s="32">
        <f t="shared" ref="CU57:FF57" si="237">SUM(1000*(CU53))/CU10</f>
        <v>1380.3875461665723</v>
      </c>
      <c r="CV57" s="32">
        <f t="shared" si="237"/>
        <v>1137.3451024915769</v>
      </c>
      <c r="CW57" s="32">
        <f t="shared" si="237"/>
        <v>1031.3541459923151</v>
      </c>
      <c r="CX57" s="32">
        <f t="shared" si="237"/>
        <v>790.16760263930666</v>
      </c>
      <c r="CY57" s="32">
        <f t="shared" si="237"/>
        <v>836.71481838996044</v>
      </c>
      <c r="CZ57" s="32">
        <f t="shared" si="237"/>
        <v>1369.7785709553791</v>
      </c>
      <c r="DA57" s="32">
        <f t="shared" si="237"/>
        <v>1622.6822172414493</v>
      </c>
      <c r="DB57" s="32">
        <f t="shared" si="237"/>
        <v>1689.5333395412626</v>
      </c>
      <c r="DC57" s="32">
        <f t="shared" si="237"/>
        <v>1688.9038604067787</v>
      </c>
      <c r="DD57" s="32">
        <f t="shared" si="237"/>
        <v>1207.1033851193238</v>
      </c>
      <c r="DE57" s="32">
        <f t="shared" si="237"/>
        <v>870.50717585609334</v>
      </c>
      <c r="DF57" s="54">
        <f t="shared" si="237"/>
        <v>957.92762410896785</v>
      </c>
      <c r="DG57" s="32">
        <f t="shared" si="237"/>
        <v>1201.2187988900982</v>
      </c>
      <c r="DH57" s="32">
        <f t="shared" si="237"/>
        <v>1248.9968033877267</v>
      </c>
      <c r="DI57" s="32">
        <f t="shared" si="237"/>
        <v>849.15844546030053</v>
      </c>
      <c r="DJ57" s="32">
        <f t="shared" si="237"/>
        <v>821.47174952557191</v>
      </c>
      <c r="DK57" s="32">
        <f t="shared" si="237"/>
        <v>1010.0256626225334</v>
      </c>
      <c r="DL57" s="32">
        <f t="shared" si="237"/>
        <v>1427.1968539427367</v>
      </c>
      <c r="DM57" s="32">
        <f t="shared" si="237"/>
        <v>1844.4493666512515</v>
      </c>
      <c r="DN57" s="32">
        <f t="shared" si="237"/>
        <v>1923.6661655256214</v>
      </c>
      <c r="DO57" s="32">
        <f t="shared" si="237"/>
        <v>1815.6693487757725</v>
      </c>
      <c r="DP57" s="32">
        <f t="shared" si="237"/>
        <v>1261.5115495731375</v>
      </c>
      <c r="DQ57" s="32">
        <f t="shared" si="237"/>
        <v>886.30626394583987</v>
      </c>
      <c r="DR57" s="32">
        <f t="shared" si="237"/>
        <v>1004.631668015704</v>
      </c>
      <c r="DS57" s="32">
        <f t="shared" si="237"/>
        <v>1136.8312258968685</v>
      </c>
      <c r="DT57" s="32">
        <f t="shared" si="237"/>
        <v>930.75695561297141</v>
      </c>
      <c r="DU57" s="32">
        <f t="shared" si="237"/>
        <v>821.37907961296912</v>
      </c>
      <c r="DV57" s="32">
        <f t="shared" si="237"/>
        <v>874.36044474479502</v>
      </c>
      <c r="DW57" s="32">
        <f t="shared" si="237"/>
        <v>1028.7311466617007</v>
      </c>
      <c r="DX57" s="32">
        <f t="shared" si="237"/>
        <v>1370.7105030368057</v>
      </c>
      <c r="DY57" s="32">
        <f t="shared" si="237"/>
        <v>1643.1942881208022</v>
      </c>
      <c r="DZ57" s="32">
        <f t="shared" si="237"/>
        <v>1707.8313018058575</v>
      </c>
      <c r="EA57" s="32">
        <f t="shared" si="237"/>
        <v>1630.840977607081</v>
      </c>
      <c r="EB57" s="32">
        <f t="shared" si="237"/>
        <v>1190.4333755510943</v>
      </c>
      <c r="EC57" s="32">
        <f t="shared" si="237"/>
        <v>922.29051803465995</v>
      </c>
      <c r="ED57" s="32">
        <f t="shared" si="237"/>
        <v>899.66327843596673</v>
      </c>
      <c r="EE57" s="32">
        <f t="shared" si="237"/>
        <v>1192.9900656931313</v>
      </c>
      <c r="EF57" s="32">
        <f t="shared" si="237"/>
        <v>956.56245872036766</v>
      </c>
      <c r="EG57" s="32">
        <f t="shared" si="237"/>
        <v>847.97811288832872</v>
      </c>
      <c r="EH57" s="32">
        <f t="shared" si="237"/>
        <v>833.84818224495586</v>
      </c>
      <c r="EI57" s="32">
        <f t="shared" si="237"/>
        <v>852.48472727222702</v>
      </c>
      <c r="EJ57" s="32">
        <f t="shared" si="237"/>
        <v>1257.87746277355</v>
      </c>
      <c r="EK57" s="32">
        <f t="shared" si="237"/>
        <v>1620.1399588568702</v>
      </c>
      <c r="EL57" s="32">
        <f t="shared" si="237"/>
        <v>1653.8585865316277</v>
      </c>
      <c r="EM57" s="32">
        <f t="shared" si="237"/>
        <v>1665.0027345189578</v>
      </c>
      <c r="EN57" s="32">
        <f t="shared" si="237"/>
        <v>1287.3035362517755</v>
      </c>
      <c r="EO57" s="32">
        <f t="shared" si="237"/>
        <v>859.0068244436834</v>
      </c>
      <c r="EP57" s="32">
        <f t="shared" si="237"/>
        <v>1127.9710002731504</v>
      </c>
      <c r="EQ57" s="32">
        <f t="shared" si="237"/>
        <v>1345.0552522276078</v>
      </c>
      <c r="ER57" s="32">
        <f t="shared" si="237"/>
        <v>1193.8138543393998</v>
      </c>
      <c r="ES57" s="32">
        <f t="shared" si="237"/>
        <v>1011.6820907094603</v>
      </c>
      <c r="ET57" s="32">
        <f t="shared" si="237"/>
        <v>823.72168994603976</v>
      </c>
      <c r="EU57" s="32">
        <f t="shared" si="237"/>
        <v>901.66915846084316</v>
      </c>
      <c r="EV57" s="32">
        <f t="shared" si="237"/>
        <v>1213.1063874260333</v>
      </c>
      <c r="EW57" s="32">
        <f t="shared" si="237"/>
        <v>1496.2212371800483</v>
      </c>
      <c r="EX57" s="32">
        <f t="shared" si="237"/>
        <v>1558.4153627589174</v>
      </c>
      <c r="EY57" s="32">
        <f t="shared" si="237"/>
        <v>1635.5386301211126</v>
      </c>
      <c r="EZ57" s="32">
        <f t="shared" si="237"/>
        <v>1198.0148887374935</v>
      </c>
      <c r="FA57" s="32">
        <f t="shared" si="237"/>
        <v>921.59505324870679</v>
      </c>
      <c r="FB57" s="32">
        <f t="shared" si="237"/>
        <v>951.191213226983</v>
      </c>
      <c r="FC57" s="32">
        <f t="shared" si="237"/>
        <v>1204.8336441908134</v>
      </c>
      <c r="FD57" s="32">
        <f t="shared" si="237"/>
        <v>1104.9250706228506</v>
      </c>
      <c r="FE57" s="32">
        <f t="shared" si="237"/>
        <v>1073.6606409758663</v>
      </c>
      <c r="FF57" s="32">
        <f t="shared" si="237"/>
        <v>835.971133807662</v>
      </c>
      <c r="FG57" s="32">
        <f>SUM(1000*(FG53))/FG10</f>
        <v>876.83888254044723</v>
      </c>
      <c r="FH57" s="32">
        <f>SUM(1000*(FH53))/FH10</f>
        <v>1178.2945796247254</v>
      </c>
      <c r="FI57" s="32">
        <f t="shared" ref="FI57:FJ57" si="238">SUM(1000*(FI53))/FI10</f>
        <v>1529.7376198765794</v>
      </c>
      <c r="FJ57" s="32">
        <f t="shared" si="238"/>
        <v>1762.2204494019497</v>
      </c>
      <c r="FK57" s="32">
        <f t="shared" ref="FK57:FT57" si="239">SUM(1000*(FK53))/FK10</f>
        <v>1611.7816222664451</v>
      </c>
      <c r="FL57" s="32">
        <f t="shared" si="239"/>
        <v>1280.0962546594953</v>
      </c>
      <c r="FM57" s="32">
        <f t="shared" si="239"/>
        <v>907.53825105152305</v>
      </c>
      <c r="FN57" s="32">
        <f t="shared" si="239"/>
        <v>913.43575627489213</v>
      </c>
      <c r="FO57" s="32">
        <f t="shared" si="239"/>
        <v>1111.7829219345808</v>
      </c>
      <c r="FP57" s="32">
        <f t="shared" si="239"/>
        <v>1008.8005180635922</v>
      </c>
      <c r="FQ57" s="32">
        <f t="shared" si="239"/>
        <v>787.58191327738768</v>
      </c>
      <c r="FR57" s="32">
        <f t="shared" si="239"/>
        <v>790.49524012843176</v>
      </c>
      <c r="FS57" s="32">
        <f t="shared" si="239"/>
        <v>884.6265525936293</v>
      </c>
      <c r="FT57" s="32">
        <f t="shared" si="239"/>
        <v>1157.2591311831998</v>
      </c>
    </row>
    <row r="58" spans="2:176" ht="12.6" customHeight="1" x14ac:dyDescent="0.25">
      <c r="B58" s="3"/>
      <c r="C58" s="74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18"/>
      <c r="O58" s="138"/>
      <c r="P58" s="18"/>
      <c r="Q58" s="18"/>
      <c r="U58" s="18"/>
      <c r="V58" s="18"/>
      <c r="W58" s="18"/>
      <c r="X58" s="18"/>
      <c r="Y58" s="18"/>
      <c r="Z58" s="146"/>
      <c r="AA58" s="13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46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20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20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20"/>
      <c r="BW58" s="18"/>
      <c r="BX58" s="18"/>
      <c r="BY58" s="18"/>
      <c r="BZ58" s="18"/>
      <c r="CA58" s="18"/>
      <c r="CB58" s="18"/>
      <c r="CC58" s="69"/>
      <c r="CD58" s="69"/>
      <c r="CE58" s="69"/>
      <c r="CF58" s="69"/>
      <c r="CG58" s="69"/>
      <c r="CH58" s="69"/>
      <c r="CI58" s="88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69"/>
      <c r="DH58" s="69"/>
      <c r="DI58" s="69"/>
      <c r="DJ58" s="69"/>
    </row>
    <row r="59" spans="2:176" x14ac:dyDescent="0.25">
      <c r="B59" s="3" t="s">
        <v>13</v>
      </c>
      <c r="C59" s="74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18"/>
      <c r="O59" s="138"/>
      <c r="P59" s="18"/>
      <c r="Q59" s="18"/>
      <c r="U59" s="18"/>
      <c r="V59" s="18"/>
      <c r="W59" s="18"/>
      <c r="X59" s="18"/>
      <c r="Y59" s="18"/>
      <c r="Z59" s="146"/>
      <c r="AA59" s="13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46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20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20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20"/>
      <c r="BW59" s="18"/>
      <c r="BX59" s="18"/>
      <c r="BY59" s="18"/>
      <c r="BZ59" s="18"/>
      <c r="CA59" s="18"/>
      <c r="CB59" s="18"/>
      <c r="CC59" s="69"/>
      <c r="CD59" s="69"/>
      <c r="CE59" s="69"/>
      <c r="CF59" s="69"/>
      <c r="CG59" s="69"/>
      <c r="CH59" s="69"/>
      <c r="CI59" s="88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69"/>
      <c r="DH59" s="69"/>
      <c r="DI59" s="69"/>
      <c r="DJ59" s="69"/>
    </row>
    <row r="60" spans="2:176" x14ac:dyDescent="0.25">
      <c r="B60" s="3" t="s">
        <v>65</v>
      </c>
      <c r="C60" s="74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18"/>
      <c r="O60" s="138"/>
      <c r="P60" s="18"/>
      <c r="Q60" s="18"/>
      <c r="U60" s="18"/>
      <c r="V60" s="18"/>
      <c r="W60" s="18"/>
      <c r="X60" s="18"/>
      <c r="Y60" s="18"/>
      <c r="Z60" s="146"/>
      <c r="AA60" s="13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46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20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20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20"/>
      <c r="BW60" s="18"/>
      <c r="BX60" s="18"/>
      <c r="BY60" s="18"/>
      <c r="BZ60" s="18"/>
      <c r="CA60" s="18"/>
      <c r="CB60" s="18"/>
      <c r="CC60" s="69"/>
      <c r="CD60" s="69"/>
      <c r="CE60" s="69"/>
      <c r="CF60" s="69"/>
      <c r="CG60" s="69"/>
      <c r="CH60" s="69"/>
      <c r="CI60" s="88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69"/>
      <c r="DH60" s="69"/>
      <c r="DI60" s="69"/>
      <c r="DJ60" s="69"/>
    </row>
    <row r="61" spans="2:176" s="68" customFormat="1" x14ac:dyDescent="0.25">
      <c r="B61" s="87" t="s">
        <v>1</v>
      </c>
      <c r="C61" s="88">
        <f>SUM(Oncor!C61,Centerpoint!C61,'AEP Central'!C61,TNMP!C61,'AEP North'!C61)</f>
        <v>3800205.804</v>
      </c>
      <c r="D61" s="69">
        <f>SUM(Oncor!D61,Centerpoint!D61,'AEP Central'!D61,TNMP!D61,'AEP North'!D61)</f>
        <v>3774376.6039999998</v>
      </c>
      <c r="E61" s="69">
        <f>SUM(Oncor!E61,Centerpoint!E61,'AEP Central'!E61,TNMP!E61,'AEP North'!E61)</f>
        <v>4518784.6880000001</v>
      </c>
      <c r="F61" s="69">
        <f>SUM(Oncor!F61,Centerpoint!F61,'AEP Central'!F61,TNMP!F61,'AEP North'!F61)</f>
        <v>4536292.6630000006</v>
      </c>
      <c r="G61" s="69">
        <f>SUM(Oncor!G61,Centerpoint!G61,'AEP Central'!G61,TNMP!G61,'AEP North'!G61)</f>
        <v>4875514.8570000008</v>
      </c>
      <c r="H61" s="69">
        <f>SUM(Oncor!H61,Centerpoint!H61,'AEP Central'!H61,TNMP!H61,'AEP North'!H61)</f>
        <v>5510209.966</v>
      </c>
      <c r="I61" s="69">
        <f>SUM(Oncor!I61,Centerpoint!I61,'AEP Central'!I61,TNMP!I61,'AEP North'!I61)</f>
        <v>5975579.7939999988</v>
      </c>
      <c r="J61" s="69">
        <f>SUM(Oncor!J61,Centerpoint!J61,'AEP Central'!J61,TNMP!J61,'AEP North'!J61)</f>
        <v>5265014.4240000006</v>
      </c>
      <c r="K61" s="69">
        <f>SUM(Oncor!K61,Centerpoint!K61,'AEP Central'!K61,TNMP!K61,'AEP North'!K61)</f>
        <v>6316550.1409999998</v>
      </c>
      <c r="L61" s="69">
        <f>SUM(Oncor!L61,Centerpoint!L61,'AEP Central'!L61,TNMP!L61,'AEP North'!L61)</f>
        <v>4957998.1099999994</v>
      </c>
      <c r="M61" s="69">
        <f>SUM(Oncor!M61,Centerpoint!M61,'AEP Central'!M61,TNMP!M61,'AEP North'!M61)</f>
        <v>4118947.2579999999</v>
      </c>
      <c r="N61" s="69">
        <f>SUM(Oncor!N61,Centerpoint!N61,'AEP Central'!N61,TNMP!N61,'AEP North'!N61)</f>
        <v>4036124.5760000008</v>
      </c>
      <c r="O61" s="143">
        <f>SUM(Oncor!O61,Centerpoint!O61,'AEP Central'!O61,TNMP!O61,'AEP North'!O61)</f>
        <v>3975963</v>
      </c>
      <c r="P61" s="69">
        <f>SUM(Oncor!P61,Centerpoint!P61,'AEP Central'!P61,TNMP!P61,'AEP North'!P61)</f>
        <v>3910879</v>
      </c>
      <c r="Q61" s="69">
        <f>SUM(Oncor!Q61,Centerpoint!Q61,'AEP Central'!Q61,TNMP!Q61,'AEP North'!Q61)</f>
        <v>3507205</v>
      </c>
      <c r="R61" s="69">
        <f>SUM(Oncor!R61,Centerpoint!R61,'AEP Central'!R61,TNMP!R61,'AEP North'!R61)</f>
        <v>3707650.4350000001</v>
      </c>
      <c r="S61" s="69">
        <f>SUM(Oncor!S61,Centerpoint!S61,'AEP Central'!S61,TNMP!S61,'AEP North'!S61)</f>
        <v>4135010.5940000005</v>
      </c>
      <c r="T61" s="69">
        <f>SUM(Oncor!T61,Centerpoint!T61,'AEP Central'!T61,TNMP!T61,'AEP North'!T61)</f>
        <v>4622834.9279999994</v>
      </c>
      <c r="U61" s="69">
        <f>SUM(Oncor!U61,Centerpoint!U61,'AEP Central'!U61,TNMP!U61,'AEP North'!U61)</f>
        <v>4651740.6059999997</v>
      </c>
      <c r="V61" s="69">
        <f>SUM(Oncor!V61,Centerpoint!V61,'AEP Central'!V61,TNMP!V61,'AEP North'!V61)</f>
        <v>4852029.9279999994</v>
      </c>
      <c r="W61" s="69">
        <f>SUM(Oncor!W61,Centerpoint!W61,'AEP Central'!W61,TNMP!W61,'AEP North'!W61)</f>
        <v>4651060.1519999998</v>
      </c>
      <c r="X61" s="69">
        <f>SUM(Oncor!X61,Centerpoint!X61,'AEP Central'!X61,TNMP!X61,'AEP North'!X61)</f>
        <v>4121415.9200000004</v>
      </c>
      <c r="Y61" s="69">
        <f>SUM(Oncor!Y61,Centerpoint!Y61,'AEP Central'!Y61,TNMP!Y61,'AEP North'!Y61)</f>
        <v>3577646.4299999997</v>
      </c>
      <c r="Z61" s="157">
        <f>SUM(Oncor!Z61,Centerpoint!Z61,'AEP Central'!Z61,TNMP!Z61,'AEP North'!Z61)</f>
        <v>3370188.93</v>
      </c>
      <c r="AA61" s="140">
        <f>SUM(Oncor!AA61,Centerpoint!AA61,'AEP Central'!AA61,TNMP!AA61,'AEP North'!AA61)</f>
        <v>3349906.65</v>
      </c>
      <c r="AB61" s="130">
        <f>SUM(Oncor!AB61,Centerpoint!AB61,'AEP Central'!AB61,TNMP!AB61,'AEP North'!AB61)</f>
        <v>3314815.12</v>
      </c>
      <c r="AC61" s="130">
        <f>SUM(Oncor!AC61,Centerpoint!AC61,'AEP Central'!AC61,TNMP!AC61,'AEP North'!AC61)</f>
        <v>3230434.23</v>
      </c>
      <c r="AD61" s="130">
        <f>SUM(Oncor!AD61,Centerpoint!AD61,'AEP Central'!AD61,TNMP!AD61,'AEP North'!AD61)</f>
        <v>3249240.21</v>
      </c>
      <c r="AE61" s="130">
        <f>SUM(Oncor!AE61,Centerpoint!AE61,'AEP Central'!AE61,TNMP!AE61,'AEP North'!AE61)</f>
        <v>3313704.64</v>
      </c>
      <c r="AF61" s="130">
        <f>SUM(Oncor!AF61,Centerpoint!AF61,'AEP Central'!AF61,TNMP!AF61,'AEP North'!AF61)</f>
        <v>3716874.5100000002</v>
      </c>
      <c r="AG61" s="130">
        <f>SUM(Oncor!AG61,Centerpoint!AG61,'AEP Central'!AG61,TNMP!AG61,'AEP North'!AG61)</f>
        <v>3748586.06</v>
      </c>
      <c r="AH61" s="130">
        <f>SUM(Oncor!AH61,Centerpoint!AH61,'AEP Central'!AH61,TNMP!AH61,'AEP North'!AH61)</f>
        <v>3729674.17</v>
      </c>
      <c r="AI61" s="130">
        <f>SUM(Oncor!AI61,Centerpoint!AI61,'AEP Central'!AI61,TNMP!AI61,'AEP North'!AI61)</f>
        <v>3627175.65</v>
      </c>
      <c r="AJ61" s="130">
        <f>SUM(Oncor!AJ61,Centerpoint!AJ61,'AEP Central'!AJ61,TNMP!AJ61,'AEP North'!AJ61)</f>
        <v>3271804.9220000003</v>
      </c>
      <c r="AK61" s="130">
        <f>SUM(Oncor!AK61,Centerpoint!AK61,'AEP Central'!AK61,TNMP!AK61,'AEP North'!AK61)</f>
        <v>2858561.8789999997</v>
      </c>
      <c r="AL61" s="153">
        <f>SUM(Oncor!AL61,Centerpoint!AL61,'AEP Central'!AL61,TNMP!AL61,'AEP North'!AL61)</f>
        <v>2713127.548</v>
      </c>
      <c r="AM61" s="130">
        <f>SUM(Oncor!AM61,Centerpoint!AM61,'AEP Central'!AM61,TNMP!AM61,'AEP North'!AM61)</f>
        <v>2794066.75</v>
      </c>
      <c r="AN61" s="130">
        <f>SUM(Oncor!AN61,Centerpoint!AN61,'AEP Central'!AN61,TNMP!AN61,'AEP North'!AN61)</f>
        <v>2469939.0300000003</v>
      </c>
      <c r="AO61" s="130">
        <f>SUM(Oncor!AO61,Centerpoint!AO61,'AEP Central'!AO61,TNMP!AO61,'AEP North'!AO61)</f>
        <v>2397923.1300000004</v>
      </c>
      <c r="AP61" s="130">
        <f>SUM(Oncor!AP61,Centerpoint!AP61,'AEP Central'!AP61,TNMP!AP61,'AEP North'!AP61)</f>
        <v>2385828.2799999998</v>
      </c>
      <c r="AQ61" s="130">
        <f>SUM(Oncor!AQ61,Centerpoint!AQ61,'AEP Central'!AQ61,TNMP!AQ61,'AEP North'!AQ61)</f>
        <v>2427388.0499999998</v>
      </c>
      <c r="AR61" s="130">
        <f>SUM(Oncor!AR61,Centerpoint!AR61,'AEP Central'!AR61,TNMP!AR61,'AEP North'!AR61)</f>
        <v>2837159.7600000002</v>
      </c>
      <c r="AS61" s="130">
        <f>SUM(Oncor!AS61,Centerpoint!AS61,'AEP Central'!AS61,TNMP!AS61,'AEP North'!AS61)</f>
        <v>3008251.5499999993</v>
      </c>
      <c r="AT61" s="130">
        <f>SUM(Oncor!AT61,Centerpoint!AT61,'AEP Central'!AT61,TNMP!AT61,'AEP North'!AT61)</f>
        <v>2884123.87</v>
      </c>
      <c r="AU61" s="130">
        <f>SUM(Oncor!AU61,Centerpoint!AU61,'AEP Central'!AU61,TNMP!AU61,'AEP North'!AU61)</f>
        <v>2970279.28</v>
      </c>
      <c r="AV61" s="130">
        <f>SUM(Oncor!AV61,Centerpoint!AV61,'AEP Central'!AV61,TNMP!AV61,'AEP North'!AV61)</f>
        <v>2655609.9499999997</v>
      </c>
      <c r="AW61" s="130">
        <f>SUM(Oncor!AW61,Centerpoint!AW61,'AEP Central'!AW61,TNMP!AW61,'AEP North'!AW61)</f>
        <v>2227857.5299999998</v>
      </c>
      <c r="AX61" s="122">
        <f>SUM(Oncor!AX61,Centerpoint!AX61,'AEP Central'!AX61,TNMP!AX61,'AEP North'!AX61)</f>
        <v>2190931.9500000002</v>
      </c>
      <c r="AY61" s="130">
        <f>SUM(Oncor!AY61,Centerpoint!AY61,'AEP Central'!AY61,TNMP!AY61,'AEP North'!AY61)</f>
        <v>2157024.36</v>
      </c>
      <c r="AZ61" s="130">
        <f>SUM(Oncor!AZ61,Centerpoint!AZ61,'AEP Central'!AZ61,TNMP!AZ61,'AEP North'!AZ61)</f>
        <v>2029975.6400000001</v>
      </c>
      <c r="BA61" s="130">
        <f>SUM(Oncor!BA61,Centerpoint!BA61,'AEP Central'!BA61,TNMP!BA61,'AEP North'!BA61)</f>
        <v>2086692.5399999998</v>
      </c>
      <c r="BB61" s="130">
        <f>SUM(Oncor!BB61,Centerpoint!BB61,'AEP Central'!BB61,TNMP!BB61,'AEP North'!BB61)</f>
        <v>2190554.7799999998</v>
      </c>
      <c r="BC61" s="130">
        <f>SUM(Oncor!BC61,Centerpoint!BC61,'AEP Central'!BC61,TNMP!BC61,'AEP North'!BC61)</f>
        <v>2331407.29</v>
      </c>
      <c r="BD61" s="130">
        <f>SUM(Oncor!BD61,Centerpoint!BD61,'AEP Central'!BD61,TNMP!BD61,'AEP North'!BD61)</f>
        <v>2611465.2399999998</v>
      </c>
      <c r="BE61" s="130">
        <f>SUM(Oncor!BE61,Centerpoint!BE61,'AEP Central'!BE61,TNMP!BE61,'AEP North'!BE61)</f>
        <v>2642678.8199999994</v>
      </c>
      <c r="BF61" s="130">
        <f>SUM(Oncor!BF61,Centerpoint!BF61,'AEP Central'!BF61,TNMP!BF61,'AEP North'!BF61)</f>
        <v>2799804.52</v>
      </c>
      <c r="BG61" s="130">
        <f>SUM(Oncor!BG61,Centerpoint!BG61,'AEP Central'!BG61,TNMP!BG61,'AEP North'!BG61)</f>
        <v>2763045.87</v>
      </c>
      <c r="BH61" s="130">
        <f>SUM(Oncor!BH61,Centerpoint!BH61,'AEP Central'!BH61,TNMP!BH61,'AEP North'!BH61)</f>
        <v>2361712.8099999996</v>
      </c>
      <c r="BI61" s="130">
        <f>SUM(Oncor!BI61,Centerpoint!BI61,'AEP Central'!BI61,TNMP!BI61,'AEP North'!BI61)</f>
        <v>2037513.24</v>
      </c>
      <c r="BJ61" s="122">
        <f>SUM(Oncor!BJ61,Centerpoint!BJ61,'AEP Central'!BJ61,TNMP!BJ61,'AEP North'!BJ61)</f>
        <v>1962198.8800000001</v>
      </c>
      <c r="BK61" s="130">
        <f>SUM(Oncor!BK61,Centerpoint!BK61,'AEP Central'!BK61,TNMP!BK61,'AEP North'!BK61)</f>
        <v>2037203.6700000002</v>
      </c>
      <c r="BL61" s="130">
        <f>SUM(Oncor!BL61,Centerpoint!BL61,'AEP Central'!BL61,TNMP!BL61,'AEP North'!BL61)</f>
        <v>2010781.39</v>
      </c>
      <c r="BM61" s="130">
        <f>SUM(Oncor!BM61,Centerpoint!BM61,'AEP Central'!BM61,TNMP!BM61,'AEP North'!BM61)</f>
        <v>1931314.11</v>
      </c>
      <c r="BN61" s="130">
        <f>SUM(Oncor!BN61,Centerpoint!BN61,'AEP Central'!BN61,TNMP!BN61,'AEP North'!BN61)</f>
        <v>1915934.1179999998</v>
      </c>
      <c r="BO61" s="130">
        <f>SUM(Oncor!BO61,Centerpoint!BO61,'AEP Central'!BO61,TNMP!BO61,'AEP North'!BO61)</f>
        <v>1990884.611</v>
      </c>
      <c r="BP61" s="130">
        <f>SUM(Oncor!BP61,Centerpoint!BP61,'AEP Central'!BP61,TNMP!BP61,'AEP North'!BP61)</f>
        <v>2198786.0559999999</v>
      </c>
      <c r="BQ61" s="130">
        <f>SUM(Oncor!BQ61,Centerpoint!BQ61,'AEP Central'!BQ61,TNMP!BQ61,'AEP North'!BQ61)</f>
        <v>2371731.3099999996</v>
      </c>
      <c r="BR61" s="130">
        <f>SUM(Oncor!BR61,Centerpoint!BR61,'AEP Central'!BR61,TNMP!BR61,'AEP North'!BR61)</f>
        <v>2421796.89</v>
      </c>
      <c r="BS61" s="130">
        <f>SUM(Oncor!BS61,Centerpoint!BS61,'AEP Central'!BS61,TNMP!BS61,'AEP North'!BS61)</f>
        <v>2506545.7199999997</v>
      </c>
      <c r="BT61" s="130">
        <f>SUM(Oncor!BT61,Centerpoint!BT61,'AEP Central'!BT61,TNMP!BT61,'AEP North'!BT61)</f>
        <v>2373338.5300000003</v>
      </c>
      <c r="BU61" s="130">
        <f>SUM(Oncor!BU61,Centerpoint!BU61,'AEP Central'!BU61,TNMP!BU61,'AEP North'!BU61)</f>
        <v>2018111.91</v>
      </c>
      <c r="BV61" s="122">
        <f>SUM(Oncor!BV61,Centerpoint!BV61,'AEP Central'!BV61,TNMP!BV61,'AEP North'!BV61)</f>
        <v>1981108.4699999997</v>
      </c>
      <c r="BW61" s="130">
        <f>SUM(Oncor!BW61,Centerpoint!BW61,'AEP Central'!BW61,TNMP!BW61,'AEP North'!BW61)</f>
        <v>1973995.12</v>
      </c>
      <c r="BX61" s="130">
        <f>SUM(Oncor!BX61,Centerpoint!BX61,'AEP Central'!BX61,TNMP!BX61,'AEP North'!BX61)</f>
        <v>1899742.54</v>
      </c>
      <c r="BY61" s="130">
        <f>SUM(Oncor!BY61,Centerpoint!BY61,'AEP Central'!BY61,TNMP!BY61,'AEP North'!BY61)</f>
        <v>1811442.3099999998</v>
      </c>
      <c r="BZ61" s="130">
        <f>SUM(Oncor!BZ61,Centerpoint!BZ61,'AEP Central'!BZ61,TNMP!BZ61,'AEP North'!BZ61)</f>
        <v>1844559.91</v>
      </c>
      <c r="CA61" s="130">
        <f>SUM(Oncor!CA61,Centerpoint!CA61,'AEP Central'!CA61,TNMP!CA61,'AEP North'!CA61)</f>
        <v>1907103.11</v>
      </c>
      <c r="CB61" s="130">
        <f>SUM(Oncor!CB61,Centerpoint!CB61,'AEP Central'!CB61,TNMP!CB61,'AEP North'!CB61)</f>
        <v>2182508.0300000003</v>
      </c>
      <c r="CC61" s="69">
        <f>SUM(Oncor!CC61,Centerpoint!CC61,'AEP Central'!CC61,TNMP!CC61,'AEP North'!CC61)</f>
        <v>2358496.122</v>
      </c>
      <c r="CD61" s="69">
        <f>SUM(Oncor!CD61,Centerpoint!CD61,'AEP Central'!CD61,TNMP!CD61,'AEP North'!CD61)</f>
        <v>2407199.5409999997</v>
      </c>
      <c r="CE61" s="69">
        <f>SUM(Oncor!CE61,Centerpoint!CE61,'AEP Central'!CE61,TNMP!CE61,'AEP North'!CE61)</f>
        <v>2310436.4440000001</v>
      </c>
      <c r="CF61" s="69">
        <f>SUM(Oncor!CF61,Centerpoint!CF61,'AEP Central'!CF61,TNMP!CF61,'AEP North'!CF61)</f>
        <v>1686243.92</v>
      </c>
      <c r="CG61" s="69">
        <f>SUM(Oncor!CG61,Centerpoint!CG61,'AEP Central'!CG61,TNMP!CG61,'AEP North'!CG61)</f>
        <v>1922475.4200000002</v>
      </c>
      <c r="CH61" s="69">
        <f>SUM(Oncor!CH61,Centerpoint!CH61,'AEP Central'!CH61,TNMP!CH61,'AEP North'!CH61)</f>
        <v>1830928.94</v>
      </c>
      <c r="CI61" s="88">
        <f>SUM(Oncor!CI61,Centerpoint!CI61,'AEP Central'!CI61,TNMP!CI61,'AEP North'!CI61)</f>
        <v>1937293.64</v>
      </c>
      <c r="CJ61" s="69">
        <f>SUM(Oncor!CJ61,Centerpoint!CJ61,'AEP Central'!CJ61,TNMP!CJ61,'AEP North'!CJ61)</f>
        <v>1709470.2</v>
      </c>
      <c r="CK61" s="69">
        <f>SUM(Oncor!CK61,Centerpoint!CK61,'AEP Central'!CK61,TNMP!CK61,'AEP North'!CK61)</f>
        <v>1633342.3599999999</v>
      </c>
      <c r="CL61" s="69">
        <f>SUM(Oncor!CL61,Centerpoint!CL61,'AEP Central'!CL61,TNMP!CL61,'AEP North'!CL61)</f>
        <v>1669107.97</v>
      </c>
      <c r="CM61" s="69">
        <f>SUM(Oncor!CM61,Centerpoint!CM61,'AEP Central'!CM61,TNMP!CM61,'AEP North'!CM61)</f>
        <v>1735085.9899999998</v>
      </c>
      <c r="CN61" s="69">
        <f>SUM(Oncor!CN61,Centerpoint!CN61,'AEP Central'!CN61,TNMP!CN61,'AEP North'!CN61)</f>
        <v>1907977.7600000002</v>
      </c>
      <c r="CO61" s="69">
        <f>SUM(Oncor!CO61,Centerpoint!CO61,'AEP Central'!CO61,TNMP!CO61,'AEP North'!CO61)</f>
        <v>2130301.2799999998</v>
      </c>
      <c r="CP61" s="69">
        <f>SUM(Oncor!CP61,Centerpoint!CP61,'AEP Central'!CP61,TNMP!CP61,'AEP North'!CP61)</f>
        <v>2103467.1800000002</v>
      </c>
      <c r="CQ61" s="69">
        <f>SUM(Oncor!CQ61,Centerpoint!CQ61,'AEP Central'!CQ61,TNMP!CQ61,'AEP North'!CQ61)</f>
        <v>1984850.8</v>
      </c>
      <c r="CR61" s="69">
        <f>SUM(Oncor!CR61,Centerpoint!CR61,'AEP Central'!CR61,TNMP!CR61,'AEP North'!CR61)</f>
        <v>1713688.43</v>
      </c>
      <c r="CS61" s="69">
        <f>SUM(Oncor!CS61,Centerpoint!CS61,'AEP Central'!CS61,TNMP!CS61,'AEP North'!CS61)</f>
        <v>1504235.39</v>
      </c>
      <c r="CT61" s="89">
        <f>SUM(Oncor!CT61,Centerpoint!CT61,'AEP Central'!CT61,TNMP!CT61,'AEP North'!CT61)</f>
        <v>1529836.42</v>
      </c>
      <c r="CU61" s="69">
        <f>SUM(Oncor!CU61,Centerpoint!CU61,'AEP Central'!CU61,TNMP!CU61,'AEP North'!CU61)</f>
        <v>1676769.3910000001</v>
      </c>
      <c r="CV61" s="69">
        <f>SUM(Oncor!CV61,Centerpoint!CV61,'AEP Central'!CV61,TNMP!CV61,'AEP North'!CV61)</f>
        <v>1517272.3050000002</v>
      </c>
      <c r="CW61" s="69">
        <f>SUM(Oncor!CW61,Centerpoint!CW61,'AEP Central'!CW61,TNMP!CW61,'AEP North'!CW61)</f>
        <v>1469258.324</v>
      </c>
      <c r="CX61" s="69">
        <f>SUM(Oncor!CX61,Centerpoint!CX61,'AEP Central'!CX61,TNMP!CX61,'AEP North'!CX61)</f>
        <v>1459134.96</v>
      </c>
      <c r="CY61" s="69">
        <f>SUM(Oncor!CY61,Centerpoint!CY61,'AEP Central'!CY61,TNMP!CY61,'AEP North'!CY61)</f>
        <v>1468510.8099999998</v>
      </c>
      <c r="CZ61" s="69">
        <f>SUM(Oncor!CZ61,Centerpoint!CZ61,'AEP Central'!CZ61,TNMP!CZ61,'AEP North'!CZ61)</f>
        <v>1771224.09</v>
      </c>
      <c r="DA61" s="69">
        <f>SUM(Oncor!DA61,Centerpoint!DA61,'AEP Central'!DA61,TNMP!DA61,'AEP North'!DA61)</f>
        <v>1868081.4599999997</v>
      </c>
      <c r="DB61" s="69">
        <f>SUM(Oncor!DB61,Centerpoint!DB61,'AEP Central'!DB61,TNMP!DB61,'AEP North'!DB61)</f>
        <v>1861288.01</v>
      </c>
      <c r="DC61" s="69">
        <f>SUM(Oncor!DC61,Centerpoint!DC61,'AEP Central'!DC61,TNMP!DC61,'AEP North'!DC61)</f>
        <v>1892404.49</v>
      </c>
      <c r="DD61" s="69">
        <f>SUM(Oncor!DD61,Centerpoint!DD61,'AEP Central'!DD61,TNMP!DD61,'AEP North'!DD61)</f>
        <v>1578895.8</v>
      </c>
      <c r="DE61" s="69">
        <f>SUM(Oncor!DE61,Centerpoint!DE61,'AEP Central'!DE61,TNMP!DE61,'AEP North'!DE61)</f>
        <v>1409829.3000000003</v>
      </c>
      <c r="DF61" s="89">
        <f>SUM(Oncor!DF61,Centerpoint!DF61,'AEP Central'!DF61,TNMP!DF61,'AEP North'!DF61)</f>
        <v>1415062.85</v>
      </c>
      <c r="DG61" s="69">
        <f>SUM(Oncor!DG61,Centerpoint!DG61,'AEP Central'!DG61,TNMP!DG61,'AEP North'!DG61)</f>
        <v>1473299.69</v>
      </c>
      <c r="DH61" s="69">
        <f>SUM(Oncor!DH61,Centerpoint!DH61,'AEP Central'!DH61,TNMP!DH61,'AEP North'!DH61)</f>
        <v>1431315.03</v>
      </c>
      <c r="DI61" s="69">
        <f>SUM(Oncor!DI61,Centerpoint!DI61,'AEP Central'!DI61,TNMP!DI61,'AEP North'!DI61)</f>
        <v>1295562.19</v>
      </c>
      <c r="DJ61" s="69">
        <f>SUM(Oncor!DJ61,Centerpoint!DJ61,'AEP Central'!DJ61,TNMP!DJ61,'AEP North'!DJ61)</f>
        <v>1300748.27</v>
      </c>
      <c r="DK61" s="69">
        <f>SUM(Oncor!DK61,Centerpoint!DK61,'AEP Central'!DK61,TNMP!DK61,'AEP North'!DK61)</f>
        <v>1397989.33</v>
      </c>
      <c r="DL61" s="69">
        <f>SUM(Oncor!DL61,Centerpoint!DL61,'AEP Central'!DL61,TNMP!DL61,'AEP North'!DL61)</f>
        <v>1556517.3</v>
      </c>
      <c r="DM61" s="69">
        <f>SUM(Oncor!DM61,Centerpoint!DM61,'AEP Central'!DM61,TNMP!DM61,'AEP North'!DM61)</f>
        <v>1725545.47</v>
      </c>
      <c r="DN61" s="69">
        <f>SUM(Oncor!DN61,Centerpoint!DN61,'AEP Central'!DN61,TNMP!DN61,'AEP North'!DN61)</f>
        <v>1749809.3399999999</v>
      </c>
      <c r="DO61" s="69">
        <f>SUM(Oncor!DO61,Centerpoint!DO61,'AEP Central'!DO61,TNMP!DO61,'AEP North'!DO61)</f>
        <v>1749358.4899999998</v>
      </c>
      <c r="DP61" s="69">
        <f>SUM(Oncor!DP61,Centerpoint!DP61,'AEP Central'!DP61,TNMP!DP61,'AEP North'!DP61)</f>
        <v>1486090.43</v>
      </c>
      <c r="DQ61" s="69">
        <f>SUM(Oncor!DQ61,Centerpoint!DQ61,'AEP Central'!DQ61,TNMP!DQ61,'AEP North'!DQ61)</f>
        <v>1275580.8</v>
      </c>
      <c r="DR61" s="69">
        <f>SUM(Oncor!DR61,Centerpoint!DR61,'AEP Central'!DR61,TNMP!DR61,'AEP North'!DR61)</f>
        <v>1291633.54</v>
      </c>
      <c r="DS61" s="69">
        <f>SUM(Oncor!DS61,Centerpoint!DS61,'AEP Central'!DS61,TNMP!DS61,'AEP North'!DS61)</f>
        <v>1304578.53</v>
      </c>
      <c r="DT61" s="69">
        <f>SUM(Oncor!DT61,Centerpoint!DT61,'AEP Central'!DT61,TNMP!DT61,'AEP North'!DT61)</f>
        <v>1207269.82</v>
      </c>
      <c r="DU61" s="69">
        <f>SUM(Oncor!DU61,Centerpoint!DU61,'AEP Central'!DU61,TNMP!DU61,'AEP North'!DU61)</f>
        <v>1175910.08</v>
      </c>
      <c r="DV61" s="69">
        <f>SUM(Oncor!DV61,Centerpoint!DV61,'AEP Central'!DV61,TNMP!DV61,'AEP North'!DV61)</f>
        <v>1266226.27</v>
      </c>
      <c r="DW61" s="69">
        <f>SUM(Oncor!DW61,Centerpoint!DW61,'AEP Central'!DW61,TNMP!DW61,'AEP North'!DW61)</f>
        <v>1323133.07</v>
      </c>
      <c r="DX61" s="69">
        <f>SUM(Oncor!DX61,Centerpoint!DX61,'AEP Central'!DX61,TNMP!DX61,'AEP North'!DX61)</f>
        <v>1459910.5599999998</v>
      </c>
      <c r="DY61" s="69">
        <f>SUM(Oncor!DY61,Centerpoint!DY61,'AEP Central'!DY61,TNMP!DY61,'AEP North'!DY61)</f>
        <v>1533171.72</v>
      </c>
      <c r="DZ61" s="69">
        <f>SUM(Oncor!DZ61,Centerpoint!DZ61,'AEP Central'!DZ61,TNMP!DZ61,'AEP North'!DZ61)</f>
        <v>1562230.9500000002</v>
      </c>
      <c r="EA61" s="69">
        <f>SUM(Oncor!EA61,Centerpoint!EA61,'AEP Central'!EA61,TNMP!EA61,'AEP North'!EA61)</f>
        <v>1609516.55</v>
      </c>
      <c r="EB61" s="69">
        <f>SUM(Oncor!EB61,Centerpoint!EB61,'AEP Central'!EB61,TNMP!EB61,'AEP North'!EB61)</f>
        <v>1419549.53</v>
      </c>
      <c r="EC61" s="69">
        <f>SUM(Oncor!EC61,Centerpoint!EC61,'AEP Central'!EC61,TNMP!EC61,'AEP North'!EC61)</f>
        <v>1310906.4099999999</v>
      </c>
      <c r="ED61" s="69">
        <f>SUM(Oncor!ED61,Centerpoint!ED61,'AEP Central'!ED61,TNMP!ED61,'AEP North'!ED61)</f>
        <v>1260371.19</v>
      </c>
      <c r="EE61" s="69">
        <f>SUM(Oncor!EE61,Centerpoint!EE61,'AEP Central'!EE61,TNMP!EE61,'AEP North'!EE61)</f>
        <v>1291122.2600000002</v>
      </c>
      <c r="EF61" s="69">
        <f>SUM(Oncor!EF61,Centerpoint!EF61,'AEP Central'!EF61,TNMP!EF61,'AEP North'!EF61)</f>
        <v>1206104.54</v>
      </c>
      <c r="EG61" s="69">
        <f>SUM(Oncor!EG61,Centerpoint!EG61,'AEP Central'!EG61,TNMP!EG61,'AEP North'!EG61)</f>
        <v>1134462.6699999997</v>
      </c>
      <c r="EH61" s="69">
        <f>SUM(Oncor!EH61,Centerpoint!EH61,'AEP Central'!EH61,TNMP!EH61,'AEP North'!EH61)</f>
        <v>1178750.0100000002</v>
      </c>
      <c r="EI61" s="69">
        <f>SUM(Oncor!EI61,Centerpoint!EI61,'AEP Central'!EI61,TNMP!EI61,'AEP North'!EI61)</f>
        <v>1207231.0799999998</v>
      </c>
      <c r="EJ61" s="69">
        <f>SUM(Oncor!EJ61,Centerpoint!EJ61,'AEP Central'!EJ61,TNMP!EJ61,'AEP North'!EJ61)</f>
        <v>1368272.54</v>
      </c>
      <c r="EK61" s="69">
        <f>SUM(Oncor!EK61,Centerpoint!EK61,'AEP Central'!EK61,TNMP!EK61,'AEP North'!EK61)</f>
        <v>1453805.32</v>
      </c>
      <c r="EL61" s="69">
        <f>SUM(Oncor!EL61,Centerpoint!EL61,'AEP Central'!EL61,TNMP!EL61,'AEP North'!EL61)</f>
        <v>1469503.8299999998</v>
      </c>
      <c r="EM61" s="69">
        <f>SUM(Oncor!EM61,Centerpoint!EM61,'AEP Central'!EM61,TNMP!EM61,'AEP North'!EM61)</f>
        <v>1507722.33</v>
      </c>
      <c r="EN61" s="69">
        <f>SUM(Oncor!EN61,Centerpoint!EN61,'AEP Central'!EN61,TNMP!EN61,'AEP North'!EN61)</f>
        <v>1358768.6400000001</v>
      </c>
      <c r="EO61" s="69">
        <f>SUM(Oncor!EO61,Centerpoint!EO61,'AEP Central'!EO61,TNMP!EO61,'AEP North'!EO61)</f>
        <v>1163426.72</v>
      </c>
      <c r="EP61" s="69">
        <f>SUM(Oncor!EP61,Centerpoint!EP61,'AEP Central'!EP61,TNMP!EP61,'AEP North'!EP61)</f>
        <v>1184182.6300000001</v>
      </c>
      <c r="EQ61" s="69">
        <f>SUM(Oncor!EQ61,Centerpoint!EQ61,'AEP Central'!EQ61,TNMP!EQ61,'AEP North'!EQ61)</f>
        <v>1242931.0499999998</v>
      </c>
      <c r="ER61" s="69">
        <f>SUM(Oncor!ER61,Centerpoint!ER61,'AEP Central'!ER61,TNMP!ER61,'AEP North'!ER61)</f>
        <v>1147070.6599999999</v>
      </c>
      <c r="ES61" s="69">
        <f>SUM(Oncor!ES61,Centerpoint!ES61,'AEP Central'!ES61,TNMP!ES61,'AEP North'!ES61)</f>
        <v>1082488.31</v>
      </c>
      <c r="ET61" s="69">
        <f>SUM(Oncor!ET61,Centerpoint!ET61,'AEP Central'!ET61,TNMP!ET61,'AEP North'!ET61)</f>
        <v>1060378.28</v>
      </c>
      <c r="EU61" s="69">
        <f>SUM(Oncor!EU61,Centerpoint!EU61,'AEP Central'!EU61,TNMP!EU61,'AEP North'!EU61)</f>
        <v>1157894.71</v>
      </c>
      <c r="EV61" s="69">
        <f>SUM(Oncor!EV61,Centerpoint!EV61,'AEP Central'!EV61,TNMP!EV61,'AEP North'!EV61)</f>
        <v>1282702.21</v>
      </c>
      <c r="EW61" s="69">
        <f>SUM(Oncor!EW61,Centerpoint!EW61,'AEP Central'!EW61,TNMP!EW61,'AEP North'!EW61)</f>
        <v>1378471.44</v>
      </c>
      <c r="EX61" s="69">
        <f>SUM(Oncor!EX61,Centerpoint!EX61,'AEP Central'!EX61,TNMP!EX61,'AEP North'!EX61)</f>
        <v>1428244.02</v>
      </c>
      <c r="EY61" s="69">
        <f>SUM(Oncor!EY61,Centerpoint!EY61,'AEP Central'!EY61,TNMP!EY61,'AEP North'!EY61)</f>
        <v>1481515.82</v>
      </c>
      <c r="EZ61" s="69">
        <f>SUM(Oncor!EZ61,Centerpoint!EZ61,'AEP Central'!EZ61,TNMP!EZ61,'AEP North'!EZ61)</f>
        <v>1312754.05</v>
      </c>
      <c r="FA61" s="69">
        <f>SUM(Oncor!FA61,Centerpoint!FA61,'AEP Central'!FA61,TNMP!FA61,'AEP North'!FA61)</f>
        <v>1186055.54</v>
      </c>
      <c r="FB61" s="69">
        <f>SUM(Oncor!FB61,Centerpoint!FB61,'AEP Central'!FB61,TNMP!FB61,'AEP North'!FB61)</f>
        <v>1119419.3699999999</v>
      </c>
      <c r="FC61" s="69">
        <f>SUM(Oncor!FC61,Centerpoint!FC61,'AEP Central'!FC61,TNMP!FC61,'AEP North'!FC61)</f>
        <v>1196257.0699999998</v>
      </c>
      <c r="FD61" s="69">
        <f>SUM(Oncor!FD61,Centerpoint!FD61,'AEP Central'!FD61,TNMP!FD61,'AEP North'!FD61)</f>
        <v>1176300.2300000002</v>
      </c>
      <c r="FE61" s="69">
        <f>SUM(Oncor!FE61,Centerpoint!FE61,'AEP Central'!FE61,TNMP!FE61,'AEP North'!FE61)</f>
        <v>1132882.57</v>
      </c>
      <c r="FF61" s="69">
        <f>SUM(Oncor!FF61,Centerpoint!FF61,'AEP Central'!FF61,TNMP!FF61,'AEP North'!FF61)</f>
        <v>1132451.08</v>
      </c>
      <c r="FG61" s="69">
        <f>SUM(Oncor!FG61,Centerpoint!FG61,'AEP Central'!FG61,TNMP!FG61,'AEP North'!FG61)</f>
        <v>1149918.92</v>
      </c>
      <c r="FH61" s="69">
        <f>SUM(Oncor!FH61,Centerpoint!FH61,'AEP Central'!FH61,TNMP!FH61,'AEP North'!FH61)</f>
        <v>1261729.5</v>
      </c>
      <c r="FI61" s="69">
        <f>SUM(Oncor!FI61,Centerpoint!FI61,'AEP Central'!FI61,TNMP!FI61,'AEP North'!FI61)</f>
        <v>1398957.42</v>
      </c>
      <c r="FJ61" s="69">
        <f>SUM(Oncor!FJ61,Centerpoint!FJ61,'AEP Central'!FJ61,TNMP!FJ61,'AEP North'!FJ61)</f>
        <v>1497691.67</v>
      </c>
      <c r="FK61" s="69">
        <f>SUM(Oncor!FK61,Centerpoint!FK61,'AEP Central'!FK61,TNMP!FK61,'AEP North'!FK61)</f>
        <v>1414407.07</v>
      </c>
      <c r="FL61" s="69">
        <f>SUM(Oncor!FL61,Centerpoint!FL61,'AEP Central'!FL61,TNMP!FL61,'AEP North'!FL61,'[1]Sharyland Utilities LP '!FL61,'Sharyland Utilities LP McAllen'!FL61)</f>
        <v>1282859.7100000002</v>
      </c>
      <c r="FM61" s="69">
        <f>SUM(Oncor!FM61,Centerpoint!FM61,'AEP Central'!FM61,TNMP!FM61,'AEP North'!FM61,'[1]Sharyland Utilities LP '!FM61,'Sharyland Utilities LP McAllen'!FM61)</f>
        <v>1109768.3999999999</v>
      </c>
      <c r="FN61" s="69">
        <f>SUM(Oncor!FN61,Centerpoint!FN61,'AEP Central'!FN61,TNMP!FN61,'AEP North'!FN61,'[1]Sharyland Utilities LP '!FN61,'Sharyland Utilities LP McAllen'!FN61)</f>
        <v>1077635.5399999998</v>
      </c>
      <c r="FO61" s="69">
        <f>SUM(Oncor!FO61,Centerpoint!FO61,'AEP Central'!FO61,TNMP!FO61,'AEP North'!FO61,'[1]Sharyland Utilities LP '!FO61,'Sharyland Utilities LP McAllen'!FO61)</f>
        <v>1122389.53</v>
      </c>
      <c r="FP61" s="69">
        <f>SUM(Oncor!FP61,Centerpoint!FP61,'AEP Central'!FP61,TNMP!FP61,'AEP North'!FP61,'[1]Sharyland Utilities LP '!FP61,'Sharyland Utilities LP McAllen'!FP61)</f>
        <v>1062513.44</v>
      </c>
      <c r="FQ61" s="69">
        <f>SUM(Oncor!FQ61,Centerpoint!FQ61,'AEP Central'!FQ61,TNMP!FQ61,'AEP North'!FQ61,'[1]Sharyland Utilities LP '!FQ61,'Sharyland Utilities LP McAllen'!FQ61)</f>
        <v>1001283.5599999999</v>
      </c>
      <c r="FR61" s="69">
        <f>SUM(Oncor!FR61,Centerpoint!FR61,'AEP Central'!FR61,TNMP!FR61,'AEP North'!FR61,'[1]Sharyland Utilities LP '!FR61,'Sharyland Utilities LP McAllen'!FR61)</f>
        <v>1045917.9600000001</v>
      </c>
      <c r="FS61" s="69">
        <f>SUM(Oncor!FS61,Centerpoint!FS61,'AEP Central'!FS61,TNMP!FS61,'AEP North'!FS61,'[1]Sharyland Utilities LP '!FS61,'Sharyland Utilities LP McAllen'!FS61)</f>
        <v>1053713.25</v>
      </c>
      <c r="FT61" s="69">
        <f>SUM(Oncor!FT61,Centerpoint!FT61,'AEP Central'!FT61,TNMP!FT61,'AEP North'!FT61,'[1]Sharyland Utilities LP '!FT61,'Sharyland Utilities LP McAllen'!FT61)</f>
        <v>1196075.7</v>
      </c>
    </row>
    <row r="62" spans="2:176" s="68" customFormat="1" ht="13.8" thickBot="1" x14ac:dyDescent="0.3">
      <c r="B62" s="90" t="s">
        <v>8</v>
      </c>
      <c r="C62" s="91">
        <f>SUM(Oncor!C62,Centerpoint!C62,'AEP Central'!C62,TNMP!C62,'AEP North'!C62)</f>
        <v>188315.06399999998</v>
      </c>
      <c r="D62" s="92">
        <f>SUM(Oncor!D62,Centerpoint!D62,'AEP Central'!D62,TNMP!D62,'AEP North'!D62)</f>
        <v>539459.19799999997</v>
      </c>
      <c r="E62" s="92">
        <f>SUM(Oncor!E62,Centerpoint!E62,'AEP Central'!E62,TNMP!E62,'AEP North'!E62)</f>
        <v>1100158.344</v>
      </c>
      <c r="F62" s="92">
        <f>SUM(Oncor!F62,Centerpoint!F62,'AEP Central'!F62,TNMP!F62,'AEP North'!F62)</f>
        <v>1242025.777</v>
      </c>
      <c r="G62" s="92">
        <f>SUM(Oncor!G62,Centerpoint!G62,'AEP Central'!G62,TNMP!G62,'AEP North'!G62)</f>
        <v>1392280.94</v>
      </c>
      <c r="H62" s="92">
        <f>SUM(Oncor!H62,Centerpoint!H62,'AEP Central'!H62,TNMP!H62,'AEP North'!H62)</f>
        <v>1913217.9410000001</v>
      </c>
      <c r="I62" s="92">
        <f>SUM(Oncor!I62,Centerpoint!I62,'AEP Central'!I62,TNMP!I62,'AEP North'!I62)</f>
        <v>2241470.06</v>
      </c>
      <c r="J62" s="92">
        <f>SUM(Oncor!J62,Centerpoint!J62,'AEP Central'!J62,TNMP!J62,'AEP North'!J62)</f>
        <v>1863621.902</v>
      </c>
      <c r="K62" s="92">
        <f>SUM(Oncor!K62,Centerpoint!K62,'AEP Central'!K62,TNMP!K62,'AEP North'!K62)</f>
        <v>2653087.165</v>
      </c>
      <c r="L62" s="92">
        <f>SUM(Oncor!L62,Centerpoint!L62,'AEP Central'!L62,TNMP!L62,'AEP North'!L62)</f>
        <v>2420978.3470000001</v>
      </c>
      <c r="M62" s="92">
        <f>SUM(Oncor!M62,Centerpoint!M62,'AEP Central'!M62,TNMP!M62,'AEP North'!M62)</f>
        <v>1606238.8819999998</v>
      </c>
      <c r="N62" s="92">
        <f>SUM(Oncor!N62,Centerpoint!N62,'AEP Central'!N62,TNMP!N62,'AEP North'!N62)</f>
        <v>1991290.8369999994</v>
      </c>
      <c r="O62" s="144">
        <f>SUM(Oncor!O62,Centerpoint!O62,'AEP Central'!O62,TNMP!O62,'AEP North'!O62)</f>
        <v>2050865</v>
      </c>
      <c r="P62" s="92">
        <f>SUM(Oncor!P62,Centerpoint!P62,'AEP Central'!P62,TNMP!P62,'AEP North'!P62)</f>
        <v>2167071</v>
      </c>
      <c r="Q62" s="92">
        <f>SUM(Oncor!Q62,Centerpoint!Q62,'AEP Central'!Q62,TNMP!Q62,'AEP North'!Q62)</f>
        <v>2148874</v>
      </c>
      <c r="R62" s="92">
        <f>SUM(Oncor!R62,Centerpoint!R62,'AEP Central'!R62,TNMP!R62,'AEP North'!R62)</f>
        <v>2054294.8130000003</v>
      </c>
      <c r="S62" s="92">
        <f>SUM(Oncor!S62,Centerpoint!S62,'AEP Central'!S62,TNMP!S62,'AEP North'!S62)</f>
        <v>2344187.8380000005</v>
      </c>
      <c r="T62" s="92">
        <f>SUM(Oncor!T62,Centerpoint!T62,'AEP Central'!T62,TNMP!T62,'AEP North'!T62)</f>
        <v>2633833.5980000002</v>
      </c>
      <c r="U62" s="92">
        <f>SUM(Oncor!U62,Centerpoint!U62,'AEP Central'!U62,TNMP!U62,'AEP North'!U62)</f>
        <v>2884250.514</v>
      </c>
      <c r="V62" s="92">
        <f>SUM(Oncor!V62,Centerpoint!V62,'AEP Central'!V62,TNMP!V62,'AEP North'!V62)</f>
        <v>3065951.9279999994</v>
      </c>
      <c r="W62" s="92">
        <f>SUM(Oncor!W62,Centerpoint!W62,'AEP Central'!W62,TNMP!W62,'AEP North'!W62)</f>
        <v>3098179.8160000006</v>
      </c>
      <c r="X62" s="92">
        <f>SUM(Oncor!X62,Centerpoint!X62,'AEP Central'!X62,TNMP!X62,'AEP North'!X62)</f>
        <v>2891197.7800000003</v>
      </c>
      <c r="Y62" s="92">
        <f>SUM(Oncor!Y62,Centerpoint!Y62,'AEP Central'!Y62,TNMP!Y62,'AEP North'!Y62)</f>
        <v>2638518.33</v>
      </c>
      <c r="Z62" s="158">
        <f>SUM(Oncor!Z62,Centerpoint!Z62,'AEP Central'!Z62,TNMP!Z62,'AEP North'!Z62)</f>
        <v>2661767.04</v>
      </c>
      <c r="AA62" s="141">
        <f>SUM(Oncor!AA62,Centerpoint!AA62,'AEP Central'!AA62,TNMP!AA62,'AEP North'!AA62)</f>
        <v>2665110.89</v>
      </c>
      <c r="AB62" s="131">
        <f>SUM(Oncor!AB62,Centerpoint!AB62,'AEP Central'!AB62,TNMP!AB62,'AEP North'!AB62)</f>
        <v>2648872.75</v>
      </c>
      <c r="AC62" s="131">
        <f>SUM(Oncor!AC62,Centerpoint!AC62,'AEP Central'!AC62,TNMP!AC62,'AEP North'!AC62)</f>
        <v>2666191.7999999998</v>
      </c>
      <c r="AD62" s="131">
        <f>SUM(Oncor!AD62,Centerpoint!AD62,'AEP Central'!AD62,TNMP!AD62,'AEP North'!AD62)</f>
        <v>2903189.18</v>
      </c>
      <c r="AE62" s="131">
        <f>SUM(Oncor!AE62,Centerpoint!AE62,'AEP Central'!AE62,TNMP!AE62,'AEP North'!AE62)</f>
        <v>3023524.43</v>
      </c>
      <c r="AF62" s="131">
        <f>SUM(Oncor!AF62,Centerpoint!AF62,'AEP Central'!AF62,TNMP!AF62,'AEP North'!AF62)</f>
        <v>3526125.22</v>
      </c>
      <c r="AG62" s="131">
        <f>SUM(Oncor!AG62,Centerpoint!AG62,'AEP Central'!AG62,TNMP!AG62,'AEP North'!AG62)</f>
        <v>3802799.0100000002</v>
      </c>
      <c r="AH62" s="131">
        <f>SUM(Oncor!AH62,Centerpoint!AH62,'AEP Central'!AH62,TNMP!AH62,'AEP North'!AH62)</f>
        <v>4009618.9899999998</v>
      </c>
      <c r="AI62" s="131">
        <f>SUM(Oncor!AI62,Centerpoint!AI62,'AEP Central'!AI62,TNMP!AI62,'AEP North'!AI62)</f>
        <v>4111368.0500000003</v>
      </c>
      <c r="AJ62" s="131">
        <f>SUM(Oncor!AJ62,Centerpoint!AJ62,'AEP Central'!AJ62,TNMP!AJ62,'AEP North'!AJ62)</f>
        <v>3916204.5690000001</v>
      </c>
      <c r="AK62" s="131">
        <f>SUM(Oncor!AK62,Centerpoint!AK62,'AEP Central'!AK62,TNMP!AK62,'AEP North'!AK62)</f>
        <v>3611382.7820000001</v>
      </c>
      <c r="AL62" s="154">
        <f>SUM(Oncor!AL62,Centerpoint!AL62,'AEP Central'!AL62,TNMP!AL62,'AEP North'!AL62)</f>
        <v>3381093.9559999998</v>
      </c>
      <c r="AM62" s="131">
        <f>SUM(Oncor!AM62,Centerpoint!AM62,'AEP Central'!AM62,TNMP!AM62,'AEP North'!AM62)</f>
        <v>3555177.34</v>
      </c>
      <c r="AN62" s="131">
        <f>SUM(Oncor!AN62,Centerpoint!AN62,'AEP Central'!AN62,TNMP!AN62,'AEP North'!AN62)</f>
        <v>3386481.8000000003</v>
      </c>
      <c r="AO62" s="131">
        <f>SUM(Oncor!AO62,Centerpoint!AO62,'AEP Central'!AO62,TNMP!AO62,'AEP North'!AO62)</f>
        <v>3553759.98</v>
      </c>
      <c r="AP62" s="131">
        <f>SUM(Oncor!AP62,Centerpoint!AP62,'AEP Central'!AP62,TNMP!AP62,'AEP North'!AP62)</f>
        <v>3713252.5199999996</v>
      </c>
      <c r="AQ62" s="131">
        <f>SUM(Oncor!AQ62,Centerpoint!AQ62,'AEP Central'!AQ62,TNMP!AQ62,'AEP North'!AQ62)</f>
        <v>3925381.7</v>
      </c>
      <c r="AR62" s="131">
        <f>SUM(Oncor!AR62,Centerpoint!AR62,'AEP Central'!AR62,TNMP!AR62,'AEP North'!AR62)</f>
        <v>4648262.59</v>
      </c>
      <c r="AS62" s="131">
        <f>SUM(Oncor!AS62,Centerpoint!AS62,'AEP Central'!AS62,TNMP!AS62,'AEP North'!AS62)</f>
        <v>5078074.0000000009</v>
      </c>
      <c r="AT62" s="131">
        <f>SUM(Oncor!AT62,Centerpoint!AT62,'AEP Central'!AT62,TNMP!AT62,'AEP North'!AT62)</f>
        <v>5192219.24</v>
      </c>
      <c r="AU62" s="131">
        <f>SUM(Oncor!AU62,Centerpoint!AU62,'AEP Central'!AU62,TNMP!AU62,'AEP North'!AU62)</f>
        <v>5555208.5200000005</v>
      </c>
      <c r="AV62" s="131">
        <f>SUM(Oncor!AV62,Centerpoint!AV62,'AEP Central'!AV62,TNMP!AV62,'AEP North'!AV62)</f>
        <v>4999607.9499999993</v>
      </c>
      <c r="AW62" s="131">
        <f>SUM(Oncor!AW62,Centerpoint!AW62,'AEP Central'!AW62,TNMP!AW62,'AEP North'!AW62)</f>
        <v>4307671.45</v>
      </c>
      <c r="AX62" s="123">
        <f>SUM(Oncor!AX62,Centerpoint!AX62,'AEP Central'!AX62,TNMP!AX62,'AEP North'!AX62)</f>
        <v>4138821.9000000004</v>
      </c>
      <c r="AY62" s="131">
        <f>SUM(Oncor!AY62,Centerpoint!AY62,'AEP Central'!AY62,TNMP!AY62,'AEP North'!AY62)</f>
        <v>4132847.1100000003</v>
      </c>
      <c r="AZ62" s="131">
        <f>SUM(Oncor!AZ62,Centerpoint!AZ62,'AEP Central'!AZ62,TNMP!AZ62,'AEP North'!AZ62)</f>
        <v>3859570.1599999997</v>
      </c>
      <c r="BA62" s="131">
        <f>SUM(Oncor!BA62,Centerpoint!BA62,'AEP Central'!BA62,TNMP!BA62,'AEP North'!BA62)</f>
        <v>4124890.2</v>
      </c>
      <c r="BB62" s="131">
        <f>SUM(Oncor!BB62,Centerpoint!BB62,'AEP Central'!BB62,TNMP!BB62,'AEP North'!BB62)</f>
        <v>4321602.01</v>
      </c>
      <c r="BC62" s="131">
        <f>SUM(Oncor!BC62,Centerpoint!BC62,'AEP Central'!BC62,TNMP!BC62,'AEP North'!BC62)</f>
        <v>4612278.92</v>
      </c>
      <c r="BD62" s="131">
        <f>SUM(Oncor!BD62,Centerpoint!BD62,'AEP Central'!BD62,TNMP!BD62,'AEP North'!BD62)</f>
        <v>5201279.68</v>
      </c>
      <c r="BE62" s="131">
        <f>SUM(Oncor!BE62,Centerpoint!BE62,'AEP Central'!BE62,TNMP!BE62,'AEP North'!BE62)</f>
        <v>5327662.3600000003</v>
      </c>
      <c r="BF62" s="131">
        <f>SUM(Oncor!BF62,Centerpoint!BF62,'AEP Central'!BF62,TNMP!BF62,'AEP North'!BF62)</f>
        <v>5633047.0300000003</v>
      </c>
      <c r="BG62" s="131">
        <f>SUM(Oncor!BG62,Centerpoint!BG62,'AEP Central'!BG62,TNMP!BG62,'AEP North'!BG62)</f>
        <v>5732247.04</v>
      </c>
      <c r="BH62" s="131">
        <f>SUM(Oncor!BH62,Centerpoint!BH62,'AEP Central'!BH62,TNMP!BH62,'AEP North'!BH62)</f>
        <v>5231307.9700000007</v>
      </c>
      <c r="BI62" s="131">
        <f>SUM(Oncor!BI62,Centerpoint!BI62,'AEP Central'!BI62,TNMP!BI62,'AEP North'!BI62)</f>
        <v>4627927.75</v>
      </c>
      <c r="BJ62" s="123">
        <f>SUM(Oncor!BJ62,Centerpoint!BJ62,'AEP Central'!BJ62,TNMP!BJ62,'AEP North'!BJ62)</f>
        <v>4505108.24</v>
      </c>
      <c r="BK62" s="131">
        <f>SUM(Oncor!BK62,Centerpoint!BK62,'AEP Central'!BK62,TNMP!BK62,'AEP North'!BK62)</f>
        <v>4428693.5300000012</v>
      </c>
      <c r="BL62" s="131">
        <f>SUM(Oncor!BL62,Centerpoint!BL62,'AEP Central'!BL62,TNMP!BL62,'AEP North'!BL62)</f>
        <v>4370531.82</v>
      </c>
      <c r="BM62" s="131">
        <f>SUM(Oncor!BM62,Centerpoint!BM62,'AEP Central'!BM62,TNMP!BM62,'AEP North'!BM62)</f>
        <v>4317221.75</v>
      </c>
      <c r="BN62" s="131">
        <f>SUM(Oncor!BN62,Centerpoint!BN62,'AEP Central'!BN62,TNMP!BN62,'AEP North'!BN62)</f>
        <v>4426710.9040000001</v>
      </c>
      <c r="BO62" s="131">
        <f>SUM(Oncor!BO62,Centerpoint!BO62,'AEP Central'!BO62,TNMP!BO62,'AEP North'!BO62)</f>
        <v>4684887.2</v>
      </c>
      <c r="BP62" s="131">
        <f>SUM(Oncor!BP62,Centerpoint!BP62,'AEP Central'!BP62,TNMP!BP62,'AEP North'!BP62)</f>
        <v>5137794.1210000003</v>
      </c>
      <c r="BQ62" s="131">
        <f>SUM(Oncor!BQ62,Centerpoint!BQ62,'AEP Central'!BQ62,TNMP!BQ62,'AEP North'!BQ62)</f>
        <v>5457671.5300000003</v>
      </c>
      <c r="BR62" s="131">
        <f>SUM(Oncor!BR62,Centerpoint!BR62,'AEP Central'!BR62,TNMP!BR62,'AEP North'!BR62)</f>
        <v>5554325.1979999999</v>
      </c>
      <c r="BS62" s="131">
        <f>SUM(Oncor!BS62,Centerpoint!BS62,'AEP Central'!BS62,TNMP!BS62,'AEP North'!BS62)</f>
        <v>5822060.5099999998</v>
      </c>
      <c r="BT62" s="131">
        <f>SUM(Oncor!BT62,Centerpoint!BT62,'AEP Central'!BT62,TNMP!BT62,'AEP North'!BT62)</f>
        <v>5553154.9299999997</v>
      </c>
      <c r="BU62" s="131">
        <f>SUM(Oncor!BU62,Centerpoint!BU62,'AEP Central'!BU62,TNMP!BU62,'AEP North'!BU62)</f>
        <v>4825522.5900000008</v>
      </c>
      <c r="BV62" s="123">
        <f>SUM(Oncor!BV62,Centerpoint!BV62,'AEP Central'!BV62,TNMP!BV62,'AEP North'!BV62)</f>
        <v>4816747.4800000004</v>
      </c>
      <c r="BW62" s="131">
        <f>SUM(Oncor!BW62,Centerpoint!BW62,'AEP Central'!BW62,TNMP!BW62,'AEP North'!BW62)</f>
        <v>4802408.12</v>
      </c>
      <c r="BX62" s="131">
        <f>SUM(Oncor!BX62,Centerpoint!BX62,'AEP Central'!BX62,TNMP!BX62,'AEP North'!BX62)</f>
        <v>4557829.4800000004</v>
      </c>
      <c r="BY62" s="131">
        <f>SUM(Oncor!BY62,Centerpoint!BY62,'AEP Central'!BY62,TNMP!BY62,'AEP North'!BY62)</f>
        <v>4470796.3800000008</v>
      </c>
      <c r="BZ62" s="131">
        <f>SUM(Oncor!BZ62,Centerpoint!BZ62,'AEP Central'!BZ62,TNMP!BZ62,'AEP North'!BZ62)</f>
        <v>4618964.0900000008</v>
      </c>
      <c r="CA62" s="131">
        <f>SUM(Oncor!CA62,Centerpoint!CA62,'AEP Central'!CA62,TNMP!CA62,'AEP North'!CA62)</f>
        <v>4790057.6900000004</v>
      </c>
      <c r="CB62" s="131">
        <f>SUM(Oncor!CB62,Centerpoint!CB62,'AEP Central'!CB62,TNMP!CB62,'AEP North'!CB62)</f>
        <v>5691421.1299999999</v>
      </c>
      <c r="CC62" s="92">
        <f>SUM(Oncor!CC62,Centerpoint!CC62,'AEP Central'!CC62,TNMP!CC62,'AEP North'!CC62)</f>
        <v>5911491.8229999999</v>
      </c>
      <c r="CD62" s="92">
        <f>SUM(Oncor!CD62,Centerpoint!CD62,'AEP Central'!CD62,TNMP!CD62,'AEP North'!CD62)</f>
        <v>5972449.9939999999</v>
      </c>
      <c r="CE62" s="92">
        <f>SUM(Oncor!CE62,Centerpoint!CE62,'AEP Central'!CE62,TNMP!CE62,'AEP North'!CE62)</f>
        <v>5888962.4479999999</v>
      </c>
      <c r="CF62" s="92">
        <f>SUM(Oncor!CF62,Centerpoint!CF62,'AEP Central'!CF62,TNMP!CF62,'AEP North'!CF62)</f>
        <v>4649360.79</v>
      </c>
      <c r="CG62" s="92">
        <f>SUM(Oncor!CG62,Centerpoint!CG62,'AEP Central'!CG62,TNMP!CG62,'AEP North'!CG62)</f>
        <v>4901204.6999999993</v>
      </c>
      <c r="CH62" s="92">
        <f>SUM(Oncor!CH62,Centerpoint!CH62,'AEP Central'!CH62,TNMP!CH62,'AEP North'!CH62)</f>
        <v>4813505.1599999992</v>
      </c>
      <c r="CI62" s="91">
        <f>SUM(Oncor!CI62,Centerpoint!CI62,'AEP Central'!CI62,TNMP!CI62,'AEP North'!CI62)</f>
        <v>5023325.1499999994</v>
      </c>
      <c r="CJ62" s="92">
        <f>SUM(Oncor!CJ62,Centerpoint!CJ62,'AEP Central'!CJ62,TNMP!CJ62,'AEP North'!CJ62)</f>
        <v>4486407.55</v>
      </c>
      <c r="CK62" s="92">
        <f>SUM(Oncor!CK62,Centerpoint!CK62,'AEP Central'!CK62,TNMP!CK62,'AEP North'!CK62)</f>
        <v>4483672.29</v>
      </c>
      <c r="CL62" s="92">
        <f>SUM(Oncor!CL62,Centerpoint!CL62,'AEP Central'!CL62,TNMP!CL62,'AEP North'!CL62)</f>
        <v>4636031.7299999995</v>
      </c>
      <c r="CM62" s="92">
        <f>SUM(Oncor!CM62,Centerpoint!CM62,'AEP Central'!CM62,TNMP!CM62,'AEP North'!CM62)</f>
        <v>4949166.1899999995</v>
      </c>
      <c r="CN62" s="92">
        <f>SUM(Oncor!CN62,Centerpoint!CN62,'AEP Central'!CN62,TNMP!CN62,'AEP North'!CN62)</f>
        <v>5537602.7200000007</v>
      </c>
      <c r="CO62" s="92">
        <f>SUM(Oncor!CO62,Centerpoint!CO62,'AEP Central'!CO62,TNMP!CO62,'AEP North'!CO62)</f>
        <v>6154443.2799999993</v>
      </c>
      <c r="CP62" s="92">
        <f>SUM(Oncor!CP62,Centerpoint!CP62,'AEP Central'!CP62,TNMP!CP62,'AEP North'!CP62)</f>
        <v>6191958.4699999997</v>
      </c>
      <c r="CQ62" s="92">
        <f>SUM(Oncor!CQ62,Centerpoint!CQ62,'AEP Central'!CQ62,TNMP!CQ62,'AEP North'!CQ62)</f>
        <v>6165669.5899999999</v>
      </c>
      <c r="CR62" s="92">
        <f>SUM(Oncor!CR62,Centerpoint!CR62,'AEP Central'!CR62,TNMP!CR62,'AEP North'!CR62)</f>
        <v>5479916.7599999998</v>
      </c>
      <c r="CS62" s="92">
        <f>SUM(Oncor!CS62,Centerpoint!CS62,'AEP Central'!CS62,TNMP!CS62,'AEP North'!CS62)</f>
        <v>4849637.42</v>
      </c>
      <c r="CT62" s="93">
        <f>SUM(Oncor!CT62,Centerpoint!CT62,'AEP Central'!CT62,TNMP!CT62,'AEP North'!CT62)</f>
        <v>4990618.01</v>
      </c>
      <c r="CU62" s="92">
        <f>SUM(Oncor!CU62,Centerpoint!CU62,'AEP Central'!CU62,TNMP!CU62,'AEP North'!CU62)</f>
        <v>5191599.0780000007</v>
      </c>
      <c r="CV62" s="92">
        <f>SUM(Oncor!CV62,Centerpoint!CV62,'AEP Central'!CV62,TNMP!CV62,'AEP North'!CV62)</f>
        <v>4836515.8909999998</v>
      </c>
      <c r="CW62" s="92">
        <f>SUM(Oncor!CW62,Centerpoint!CW62,'AEP Central'!CW62,TNMP!CW62,'AEP North'!CW62)</f>
        <v>4760109.5780000007</v>
      </c>
      <c r="CX62" s="92">
        <f>SUM(Oncor!CX62,Centerpoint!CX62,'AEP Central'!CX62,TNMP!CX62,'AEP North'!CX62)</f>
        <v>4845815.2500000009</v>
      </c>
      <c r="CY62" s="92">
        <f>SUM(Oncor!CY62,Centerpoint!CY62,'AEP Central'!CY62,TNMP!CY62,'AEP North'!CY62)</f>
        <v>5043183.38</v>
      </c>
      <c r="CZ62" s="92">
        <f>SUM(Oncor!CZ62,Centerpoint!CZ62,'AEP Central'!CZ62,TNMP!CZ62,'AEP North'!CZ62)</f>
        <v>6052908.9200000009</v>
      </c>
      <c r="DA62" s="92">
        <f>SUM(Oncor!DA62,Centerpoint!DA62,'AEP Central'!DA62,TNMP!DA62,'AEP North'!DA62)</f>
        <v>6424326.9199999999</v>
      </c>
      <c r="DB62" s="92">
        <f>SUM(Oncor!DB62,Centerpoint!DB62,'AEP Central'!DB62,TNMP!DB62,'AEP North'!DB62)</f>
        <v>6414800.8900000006</v>
      </c>
      <c r="DC62" s="92">
        <f>SUM(Oncor!DC62,Centerpoint!DC62,'AEP Central'!DC62,TNMP!DC62,'AEP North'!DC62)</f>
        <v>6688827.3900000006</v>
      </c>
      <c r="DD62" s="92">
        <f>SUM(Oncor!DD62,Centerpoint!DD62,'AEP Central'!DD62,TNMP!DD62,'AEP North'!DD62)</f>
        <v>5843834.6799999997</v>
      </c>
      <c r="DE62" s="92">
        <f>SUM(Oncor!DE62,Centerpoint!DE62,'AEP Central'!DE62,TNMP!DE62,'AEP North'!DE62)</f>
        <v>5148804.22</v>
      </c>
      <c r="DF62" s="93">
        <f>SUM(Oncor!DF62,Centerpoint!DF62,'AEP Central'!DF62,TNMP!DF62,'AEP North'!DF62)</f>
        <v>5241800.1500000004</v>
      </c>
      <c r="DG62" s="92">
        <f>SUM(Oncor!DG62,Centerpoint!DG62,'AEP Central'!DG62,TNMP!DG62,'AEP North'!DG62)</f>
        <v>5305628.2</v>
      </c>
      <c r="DH62" s="92">
        <f>SUM(Oncor!DH62,Centerpoint!DH62,'AEP Central'!DH62,TNMP!DH62,'AEP North'!DH62)</f>
        <v>5214695.68</v>
      </c>
      <c r="DI62" s="92">
        <f>SUM(Oncor!DI62,Centerpoint!DI62,'AEP Central'!DI62,TNMP!DI62,'AEP North'!DI62)</f>
        <v>4975402.2</v>
      </c>
      <c r="DJ62" s="92">
        <f>SUM(Oncor!DJ62,Centerpoint!DJ62,'AEP Central'!DJ62,TNMP!DJ62,'AEP North'!DJ62)</f>
        <v>5121428.59</v>
      </c>
      <c r="DK62" s="92">
        <f>SUM(Oncor!DK62,Centerpoint!DK62,'AEP Central'!DK62,TNMP!DK62,'AEP North'!DK62)</f>
        <v>5614456.2199999997</v>
      </c>
      <c r="DL62" s="92">
        <f>SUM(Oncor!DL62,Centerpoint!DL62,'AEP Central'!DL62,TNMP!DL62,'AEP North'!DL62)</f>
        <v>6415941.7300000004</v>
      </c>
      <c r="DM62" s="92">
        <f>SUM(Oncor!DM62,Centerpoint!DM62,'AEP Central'!DM62,TNMP!DM62,'AEP North'!DM62)</f>
        <v>6963329.7200000007</v>
      </c>
      <c r="DN62" s="92">
        <f>SUM(Oncor!DN62,Centerpoint!DN62,'AEP Central'!DN62,TNMP!DN62,'AEP North'!DN62)</f>
        <v>7105249.2399999993</v>
      </c>
      <c r="DO62" s="92">
        <f>SUM(Oncor!DO62,Centerpoint!DO62,'AEP Central'!DO62,TNMP!DO62,'AEP North'!DO62)</f>
        <v>7125170.29</v>
      </c>
      <c r="DP62" s="92">
        <f>SUM(Oncor!DP62,Centerpoint!DP62,'AEP Central'!DP62,TNMP!DP62,'AEP North'!DP62)</f>
        <v>6112341.5200000005</v>
      </c>
      <c r="DQ62" s="92">
        <f>SUM(Oncor!DQ62,Centerpoint!DQ62,'AEP Central'!DQ62,TNMP!DQ62,'AEP North'!DQ62)</f>
        <v>5359477.72</v>
      </c>
      <c r="DR62" s="92">
        <f>SUM(Oncor!DR62,Centerpoint!DR62,'AEP Central'!DR62,TNMP!DR62,'AEP North'!DR62)</f>
        <v>5388847.2599999998</v>
      </c>
      <c r="DS62" s="92">
        <f>SUM(Oncor!DS62,Centerpoint!DS62,'AEP Central'!DS62,TNMP!DS62,'AEP North'!DS62)</f>
        <v>5387766.5600000005</v>
      </c>
      <c r="DT62" s="92">
        <f>SUM(Oncor!DT62,Centerpoint!DT62,'AEP Central'!DT62,TNMP!DT62,'AEP North'!DT62)</f>
        <v>5099874.08</v>
      </c>
      <c r="DU62" s="92">
        <f>SUM(Oncor!DU62,Centerpoint!DU62,'AEP Central'!DU62,TNMP!DU62,'AEP North'!DU62)</f>
        <v>5073359.0100000007</v>
      </c>
      <c r="DV62" s="92">
        <f>SUM(Oncor!DV62,Centerpoint!DV62,'AEP Central'!DV62,TNMP!DV62,'AEP North'!DV62)</f>
        <v>5534063.8400000008</v>
      </c>
      <c r="DW62" s="92">
        <f>SUM(Oncor!DW62,Centerpoint!DW62,'AEP Central'!DW62,TNMP!DW62,'AEP North'!DW62)</f>
        <v>5845923.6699999999</v>
      </c>
      <c r="DX62" s="92">
        <f>SUM(Oncor!DX62,Centerpoint!DX62,'AEP Central'!DX62,TNMP!DX62,'AEP North'!DX62)</f>
        <v>6519851.1600000001</v>
      </c>
      <c r="DY62" s="92">
        <f>SUM(Oncor!DY62,Centerpoint!DY62,'AEP Central'!DY62,TNMP!DY62,'AEP North'!DY62)</f>
        <v>6913206.9699999997</v>
      </c>
      <c r="DZ62" s="92">
        <f>SUM(Oncor!DZ62,Centerpoint!DZ62,'AEP Central'!DZ62,TNMP!DZ62,'AEP North'!DZ62)</f>
        <v>6970383.29</v>
      </c>
      <c r="EA62" s="92">
        <f>SUM(Oncor!EA62,Centerpoint!EA62,'AEP Central'!EA62,TNMP!EA62,'AEP North'!EA62)</f>
        <v>7028027.3799999999</v>
      </c>
      <c r="EB62" s="92">
        <f>SUM(Oncor!EB62,Centerpoint!EB62,'AEP Central'!EB62,TNMP!EB62,'AEP North'!EB62)</f>
        <v>6138346.4100000001</v>
      </c>
      <c r="EC62" s="92">
        <f>SUM(Oncor!EC62,Centerpoint!EC62,'AEP Central'!EC62,TNMP!EC62,'AEP North'!EC62)</f>
        <v>5651032.1699999999</v>
      </c>
      <c r="ED62" s="92">
        <f>SUM(Oncor!ED62,Centerpoint!ED62,'AEP Central'!ED62,TNMP!ED62,'AEP North'!ED62)</f>
        <v>5467251.5</v>
      </c>
      <c r="EE62" s="92">
        <f>SUM(Oncor!EE62,Centerpoint!EE62,'AEP Central'!EE62,TNMP!EE62,'AEP North'!EE62)</f>
        <v>5519290.9500000002</v>
      </c>
      <c r="EF62" s="92">
        <f>SUM(Oncor!EF62,Centerpoint!EF62,'AEP Central'!EF62,TNMP!EF62,'AEP North'!EF62)</f>
        <v>5342315.57</v>
      </c>
      <c r="EG62" s="92">
        <f>SUM(Oncor!EG62,Centerpoint!EG62,'AEP Central'!EG62,TNMP!EG62,'AEP North'!EG62)</f>
        <v>5057670.3600000003</v>
      </c>
      <c r="EH62" s="92">
        <f>SUM(Oncor!EH62,Centerpoint!EH62,'AEP Central'!EH62,TNMP!EH62,'AEP North'!EH62)</f>
        <v>5402772.5800000001</v>
      </c>
      <c r="EI62" s="92">
        <f>SUM(Oncor!EI62,Centerpoint!EI62,'AEP Central'!EI62,TNMP!EI62,'AEP North'!EI62)</f>
        <v>5517692.1000000006</v>
      </c>
      <c r="EJ62" s="92">
        <f>SUM(Oncor!EJ62,Centerpoint!EJ62,'AEP Central'!EJ62,TNMP!EJ62,'AEP North'!EJ62)</f>
        <v>6453505.2999999998</v>
      </c>
      <c r="EK62" s="92">
        <f>SUM(Oncor!EK62,Centerpoint!EK62,'AEP Central'!EK62,TNMP!EK62,'AEP North'!EK62)</f>
        <v>6984639.2999999998</v>
      </c>
      <c r="EL62" s="92">
        <f>SUM(Oncor!EL62,Centerpoint!EL62,'AEP Central'!EL62,TNMP!EL62,'AEP North'!EL62)</f>
        <v>7086421.4200000009</v>
      </c>
      <c r="EM62" s="92">
        <f>SUM(Oncor!EM62,Centerpoint!EM62,'AEP Central'!EM62,TNMP!EM62,'AEP North'!EM62)</f>
        <v>7293339.8599999994</v>
      </c>
      <c r="EN62" s="92">
        <f>SUM(Oncor!EN62,Centerpoint!EN62,'AEP Central'!EN62,TNMP!EN62,'AEP North'!EN62)</f>
        <v>6732313.4899999993</v>
      </c>
      <c r="EO62" s="92">
        <f>SUM(Oncor!EO62,Centerpoint!EO62,'AEP Central'!EO62,TNMP!EO62,'AEP North'!EO62)</f>
        <v>5755331.2039999999</v>
      </c>
      <c r="EP62" s="92">
        <f>SUM(Oncor!EP62,Centerpoint!EP62,'AEP Central'!EP62,TNMP!EP62,'AEP North'!EP62)</f>
        <v>5907915.6699999999</v>
      </c>
      <c r="EQ62" s="92">
        <f>SUM(Oncor!EQ62,Centerpoint!EQ62,'AEP Central'!EQ62,TNMP!EQ62,'AEP North'!EQ62)</f>
        <v>6019971.0599999996</v>
      </c>
      <c r="ER62" s="92">
        <f>SUM(Oncor!ER62,Centerpoint!ER62,'AEP Central'!ER62,TNMP!ER62,'AEP North'!ER62)</f>
        <v>5791469</v>
      </c>
      <c r="ES62" s="92">
        <f>SUM(Oncor!ES62,Centerpoint!ES62,'AEP Central'!ES62,TNMP!ES62,'AEP North'!ES62)</f>
        <v>5641580.4699999997</v>
      </c>
      <c r="ET62" s="92">
        <f>SUM(Oncor!ET62,Centerpoint!ET62,'AEP Central'!ET62,TNMP!ET62,'AEP North'!ET62)</f>
        <v>5704880.1299999999</v>
      </c>
      <c r="EU62" s="92">
        <f>SUM(Oncor!EU62,Centerpoint!EU62,'AEP Central'!EU62,TNMP!EU62,'AEP North'!EU62)</f>
        <v>6083710.2000000002</v>
      </c>
      <c r="EV62" s="92">
        <f>SUM(Oncor!EV62,Centerpoint!EV62,'AEP Central'!EV62,TNMP!EV62,'AEP North'!EV62)</f>
        <v>6780824.0499999998</v>
      </c>
      <c r="EW62" s="92">
        <f>SUM(Oncor!EW62,Centerpoint!EW62,'AEP Central'!EW62,TNMP!EW62,'AEP North'!EW62)</f>
        <v>7136630.629999999</v>
      </c>
      <c r="EX62" s="92">
        <f>SUM(Oncor!EX62,Centerpoint!EX62,'AEP Central'!EX62,TNMP!EX62,'AEP North'!EX62)</f>
        <v>7288401.8399999999</v>
      </c>
      <c r="EY62" s="92">
        <f>SUM(Oncor!EY62,Centerpoint!EY62,'AEP Central'!EY62,TNMP!EY62,'AEP North'!EY62)</f>
        <v>7620567.8799999999</v>
      </c>
      <c r="EZ62" s="92">
        <f>SUM(Oncor!EZ62,Centerpoint!EZ62,'AEP Central'!EZ62,TNMP!EZ62,'AEP North'!EZ62)</f>
        <v>6692116.4799999995</v>
      </c>
      <c r="FA62" s="92">
        <f>SUM(Oncor!FA62,Centerpoint!FA62,'AEP Central'!FA62,TNMP!FA62,'AEP North'!FA62)</f>
        <v>6043643.959999999</v>
      </c>
      <c r="FB62" s="92">
        <f>SUM(Oncor!FB62,Centerpoint!FB62,'AEP Central'!FB62,TNMP!FB62,'AEP North'!FB62)</f>
        <v>5750494.4299999997</v>
      </c>
      <c r="FC62" s="92">
        <f>SUM(Oncor!FC62,Centerpoint!FC62,'AEP Central'!FC62,TNMP!FC62,'AEP North'!FC62)</f>
        <v>5992247.9100000001</v>
      </c>
      <c r="FD62" s="92">
        <f>SUM(Oncor!FD62,Centerpoint!FD62,'AEP Central'!FD62,TNMP!FD62,'AEP North'!FD62)</f>
        <v>5883788.04</v>
      </c>
      <c r="FE62" s="92">
        <f>SUM(Oncor!FE62,Centerpoint!FE62,'AEP Central'!FE62,TNMP!FE62,'AEP North'!FE62)</f>
        <v>5738856.2299999995</v>
      </c>
      <c r="FF62" s="92">
        <f>SUM(Oncor!FF62,Centerpoint!FF62,'AEP Central'!FF62,TNMP!FF62,'AEP North'!FF62)</f>
        <v>5922982.0999999996</v>
      </c>
      <c r="FG62" s="92">
        <f>SUM(Oncor!FG62,Centerpoint!FG62,'AEP Central'!FG62,TNMP!FG62,'AEP North'!FG62)</f>
        <v>6008002.8200000003</v>
      </c>
      <c r="FH62" s="92">
        <f>SUM(Oncor!FH62,Centerpoint!FH62,'AEP Central'!FH62,TNMP!FH62,'AEP North'!FH62)</f>
        <v>6682924.21</v>
      </c>
      <c r="FI62" s="92">
        <f>SUM(Oncor!FI62,Centerpoint!FI62,'AEP Central'!FI62,TNMP!FI62,'AEP North'!FI62)</f>
        <v>7148801.1299999999</v>
      </c>
      <c r="FJ62" s="92">
        <f>SUM(Oncor!FJ62,Centerpoint!FJ62,'AEP Central'!FJ62,TNMP!FJ62,'AEP North'!FJ62)</f>
        <v>7572893.3600000003</v>
      </c>
      <c r="FK62" s="92">
        <f>SUM(Oncor!FK62,Centerpoint!FK62,'AEP Central'!FK62,TNMP!FK62,'AEP North'!FK62)</f>
        <v>7442627.2999999998</v>
      </c>
      <c r="FL62" s="92">
        <f>SUM(Oncor!FL62,Centerpoint!FL62,'AEP Central'!FL62,TNMP!FL62,'AEP North'!FL62,'[1]Sharyland Utilities LP '!FL62,'Sharyland Utilities LP McAllen'!FL62)</f>
        <v>6964690.3099999996</v>
      </c>
      <c r="FM62" s="92">
        <f>SUM(Oncor!FM62,Centerpoint!FM62,'AEP Central'!FM62,TNMP!FM62,'AEP North'!FM62,'[1]Sharyland Utilities LP '!FM62,'Sharyland Utilities LP McAllen'!FM62)</f>
        <v>6079711.4699999997</v>
      </c>
      <c r="FN62" s="92">
        <f>SUM(Oncor!FN62,Centerpoint!FN62,'AEP Central'!FN62,TNMP!FN62,'AEP North'!FN62,'[1]Sharyland Utilities LP '!FN62,'Sharyland Utilities LP McAllen'!FN62)</f>
        <v>5838104.5600000005</v>
      </c>
      <c r="FO62" s="92">
        <f>SUM(Oncor!FO62,Centerpoint!FO62,'AEP Central'!FO62,TNMP!FO62,'AEP North'!FO62,'[1]Sharyland Utilities LP '!FO62,'Sharyland Utilities LP McAllen'!FO62)</f>
        <v>5913275.6729999986</v>
      </c>
      <c r="FP62" s="92">
        <f>SUM(Oncor!FP62,Centerpoint!FP62,'AEP Central'!FP62,TNMP!FP62,'AEP North'!FP62,'[1]Sharyland Utilities LP '!FP62,'Sharyland Utilities LP McAllen'!FP62)</f>
        <v>5592587</v>
      </c>
      <c r="FQ62" s="92">
        <f>SUM(Oncor!FQ62,Centerpoint!FQ62,'AEP Central'!FQ62,TNMP!FQ62,'AEP North'!FQ62,'[1]Sharyland Utilities LP '!FQ62,'Sharyland Utilities LP McAllen'!FQ62)</f>
        <v>5457876.9950000001</v>
      </c>
      <c r="FR62" s="92">
        <f>SUM(Oncor!FR62,Centerpoint!FR62,'AEP Central'!FR62,TNMP!FR62,'AEP North'!FR62,'[1]Sharyland Utilities LP '!FR62,'Sharyland Utilities LP McAllen'!FR62)</f>
        <v>5754605.0199999996</v>
      </c>
      <c r="FS62" s="92">
        <f>SUM(Oncor!FS62,Centerpoint!FS62,'AEP Central'!FS62,TNMP!FS62,'AEP North'!FS62,'[1]Sharyland Utilities LP '!FS62,'Sharyland Utilities LP McAllen'!FS62)</f>
        <v>5922212.6900000004</v>
      </c>
      <c r="FT62" s="92">
        <f>SUM(Oncor!FT62,Centerpoint!FT62,'AEP Central'!FT62,TNMP!FT62,'AEP North'!FT62,'[1]Sharyland Utilities LP '!FT62,'Sharyland Utilities LP McAllen'!FT62)</f>
        <v>6631430.2300000004</v>
      </c>
    </row>
    <row r="63" spans="2:176" s="68" customFormat="1" ht="13.8" thickTop="1" x14ac:dyDescent="0.25">
      <c r="B63" s="87" t="s">
        <v>9</v>
      </c>
      <c r="C63" s="87">
        <f t="shared" ref="C63:Q63" si="240">SUM(C61:C62)</f>
        <v>3988520.8679999998</v>
      </c>
      <c r="D63" s="94">
        <f t="shared" si="240"/>
        <v>4313835.8020000001</v>
      </c>
      <c r="E63" s="94">
        <f t="shared" si="240"/>
        <v>5618943.0319999997</v>
      </c>
      <c r="F63" s="94">
        <f t="shared" si="240"/>
        <v>5778318.4400000004</v>
      </c>
      <c r="G63" s="94">
        <f t="shared" si="240"/>
        <v>6267795.7970000003</v>
      </c>
      <c r="H63" s="94">
        <f t="shared" si="240"/>
        <v>7423427.9069999997</v>
      </c>
      <c r="I63" s="94">
        <f t="shared" si="240"/>
        <v>8217049.8539999984</v>
      </c>
      <c r="J63" s="94">
        <f t="shared" si="240"/>
        <v>7128636.3260000004</v>
      </c>
      <c r="K63" s="94">
        <f t="shared" si="240"/>
        <v>8969637.3059999999</v>
      </c>
      <c r="L63" s="94">
        <f t="shared" si="240"/>
        <v>7378976.4569999995</v>
      </c>
      <c r="M63" s="94">
        <f t="shared" si="240"/>
        <v>5725186.1399999997</v>
      </c>
      <c r="N63" s="95">
        <f t="shared" si="240"/>
        <v>6027415.4130000006</v>
      </c>
      <c r="O63" s="145">
        <f t="shared" si="240"/>
        <v>6026828</v>
      </c>
      <c r="P63" s="94">
        <f t="shared" si="240"/>
        <v>6077950</v>
      </c>
      <c r="Q63" s="94">
        <f t="shared" si="240"/>
        <v>5656079</v>
      </c>
      <c r="R63" s="94">
        <f t="shared" ref="R63:W63" si="241">SUM(R61:R62)</f>
        <v>5761945.2480000006</v>
      </c>
      <c r="S63" s="94">
        <f t="shared" si="241"/>
        <v>6479198.432000001</v>
      </c>
      <c r="T63" s="94">
        <f t="shared" si="241"/>
        <v>7256668.5259999996</v>
      </c>
      <c r="U63" s="94">
        <f t="shared" si="241"/>
        <v>7535991.1199999992</v>
      </c>
      <c r="V63" s="94">
        <f t="shared" si="241"/>
        <v>7917981.8559999987</v>
      </c>
      <c r="W63" s="94">
        <f t="shared" si="241"/>
        <v>7749239.9680000003</v>
      </c>
      <c r="X63" s="94">
        <f t="shared" ref="X63:AC63" si="242">SUM(X61:X62)</f>
        <v>7012613.7000000011</v>
      </c>
      <c r="Y63" s="94">
        <f t="shared" si="242"/>
        <v>6216164.7599999998</v>
      </c>
      <c r="Z63" s="159">
        <f t="shared" si="242"/>
        <v>6031955.9700000007</v>
      </c>
      <c r="AA63" s="145">
        <f t="shared" si="242"/>
        <v>6015017.54</v>
      </c>
      <c r="AB63" s="94">
        <f t="shared" si="242"/>
        <v>5963687.8700000001</v>
      </c>
      <c r="AC63" s="94">
        <f t="shared" si="242"/>
        <v>5896626.0299999993</v>
      </c>
      <c r="AD63" s="125">
        <f t="shared" ref="AD63:AI63" si="243">SUM(AD61:AD62)</f>
        <v>6152429.3900000006</v>
      </c>
      <c r="AE63" s="125">
        <f t="shared" si="243"/>
        <v>6337229.0700000003</v>
      </c>
      <c r="AF63" s="125">
        <f t="shared" si="243"/>
        <v>7242999.7300000004</v>
      </c>
      <c r="AG63" s="125">
        <f t="shared" si="243"/>
        <v>7551385.0700000003</v>
      </c>
      <c r="AH63" s="125">
        <f t="shared" si="243"/>
        <v>7739293.1600000001</v>
      </c>
      <c r="AI63" s="125">
        <f t="shared" si="243"/>
        <v>7738543.7000000002</v>
      </c>
      <c r="AJ63" s="125">
        <f t="shared" ref="AJ63:AO63" si="244">SUM(AJ61:AJ62)</f>
        <v>7188009.4910000004</v>
      </c>
      <c r="AK63" s="125">
        <f t="shared" si="244"/>
        <v>6469944.6610000003</v>
      </c>
      <c r="AL63" s="155">
        <f t="shared" si="244"/>
        <v>6094221.5039999997</v>
      </c>
      <c r="AM63" s="125">
        <f t="shared" si="244"/>
        <v>6349244.0899999999</v>
      </c>
      <c r="AN63" s="125">
        <f t="shared" si="244"/>
        <v>5856420.8300000001</v>
      </c>
      <c r="AO63" s="125">
        <f t="shared" si="244"/>
        <v>5951683.1100000003</v>
      </c>
      <c r="AP63" s="125">
        <f t="shared" ref="AP63:AU63" si="245">SUM(AP61:AP62)</f>
        <v>6099080.7999999989</v>
      </c>
      <c r="AQ63" s="125">
        <f t="shared" si="245"/>
        <v>6352769.75</v>
      </c>
      <c r="AR63" s="125">
        <f t="shared" si="245"/>
        <v>7485422.3499999996</v>
      </c>
      <c r="AS63" s="125">
        <f t="shared" si="245"/>
        <v>8086325.5500000007</v>
      </c>
      <c r="AT63" s="125">
        <f t="shared" si="245"/>
        <v>8076343.1100000003</v>
      </c>
      <c r="AU63" s="125">
        <f t="shared" si="245"/>
        <v>8525487.8000000007</v>
      </c>
      <c r="AV63" s="125">
        <f t="shared" ref="AV63:BJ63" si="246">SUM(AV61:AV62)</f>
        <v>7655217.8999999985</v>
      </c>
      <c r="AW63" s="125">
        <f t="shared" si="246"/>
        <v>6535528.9800000004</v>
      </c>
      <c r="AX63" s="126">
        <f t="shared" si="246"/>
        <v>6329753.8500000006</v>
      </c>
      <c r="AY63" s="125">
        <f t="shared" si="246"/>
        <v>6289871.4700000007</v>
      </c>
      <c r="AZ63" s="125">
        <f t="shared" si="246"/>
        <v>5889545.7999999998</v>
      </c>
      <c r="BA63" s="125">
        <f t="shared" si="246"/>
        <v>6211582.7400000002</v>
      </c>
      <c r="BB63" s="125">
        <f t="shared" si="246"/>
        <v>6512156.7899999991</v>
      </c>
      <c r="BC63" s="125">
        <f t="shared" si="246"/>
        <v>6943686.21</v>
      </c>
      <c r="BD63" s="125">
        <f t="shared" si="246"/>
        <v>7812744.9199999999</v>
      </c>
      <c r="BE63" s="125">
        <f t="shared" si="246"/>
        <v>7970341.1799999997</v>
      </c>
      <c r="BF63" s="125">
        <f t="shared" si="246"/>
        <v>8432851.5500000007</v>
      </c>
      <c r="BG63" s="125">
        <f t="shared" si="246"/>
        <v>8495292.9100000001</v>
      </c>
      <c r="BH63" s="125">
        <f t="shared" si="246"/>
        <v>7593020.7800000003</v>
      </c>
      <c r="BI63" s="125">
        <f t="shared" si="246"/>
        <v>6665440.9900000002</v>
      </c>
      <c r="BJ63" s="126">
        <f t="shared" si="246"/>
        <v>6467307.1200000001</v>
      </c>
      <c r="BK63" s="125">
        <f t="shared" ref="BK63:BP63" si="247">SUM(BK61:BK62)</f>
        <v>6465897.2000000011</v>
      </c>
      <c r="BL63" s="125">
        <f t="shared" si="247"/>
        <v>6381313.21</v>
      </c>
      <c r="BM63" s="125">
        <f t="shared" si="247"/>
        <v>6248535.8600000003</v>
      </c>
      <c r="BN63" s="125">
        <f t="shared" si="247"/>
        <v>6342645.0219999999</v>
      </c>
      <c r="BO63" s="125">
        <f t="shared" si="247"/>
        <v>6675771.8110000007</v>
      </c>
      <c r="BP63" s="125">
        <f t="shared" si="247"/>
        <v>7336580.1770000001</v>
      </c>
      <c r="BQ63" s="125">
        <f t="shared" ref="BQ63:CB63" si="248">SUM(BQ61:BQ62)</f>
        <v>7829402.8399999999</v>
      </c>
      <c r="BR63" s="125">
        <f t="shared" si="248"/>
        <v>7976122.0879999995</v>
      </c>
      <c r="BS63" s="125">
        <f t="shared" si="248"/>
        <v>8328606.2299999995</v>
      </c>
      <c r="BT63" s="125">
        <f t="shared" si="248"/>
        <v>7926493.46</v>
      </c>
      <c r="BU63" s="125">
        <f t="shared" si="248"/>
        <v>6843634.5000000009</v>
      </c>
      <c r="BV63" s="126">
        <f t="shared" si="248"/>
        <v>6797855.9500000002</v>
      </c>
      <c r="BW63" s="125">
        <f t="shared" si="248"/>
        <v>6776403.2400000002</v>
      </c>
      <c r="BX63" s="125">
        <f t="shared" si="248"/>
        <v>6457572.0200000005</v>
      </c>
      <c r="BY63" s="125">
        <f t="shared" si="248"/>
        <v>6282238.6900000004</v>
      </c>
      <c r="BZ63" s="125">
        <f t="shared" si="248"/>
        <v>6463524.0000000009</v>
      </c>
      <c r="CA63" s="125">
        <f t="shared" si="248"/>
        <v>6697160.8000000007</v>
      </c>
      <c r="CB63" s="125">
        <f t="shared" si="248"/>
        <v>7873929.1600000001</v>
      </c>
      <c r="CC63" s="94">
        <f>SUM(CC61:CC62)</f>
        <v>8269987.9450000003</v>
      </c>
      <c r="CD63" s="94">
        <f>SUM(CD61:CD62)</f>
        <v>8379649.5350000001</v>
      </c>
      <c r="CE63" s="94">
        <f>SUM(CE61:CE62)</f>
        <v>8199398.892</v>
      </c>
      <c r="CF63" s="94">
        <f t="shared" ref="CF63:CQ63" si="249">SUM(CF61:CF62)</f>
        <v>6335604.71</v>
      </c>
      <c r="CG63" s="94">
        <f t="shared" si="249"/>
        <v>6823680.1199999992</v>
      </c>
      <c r="CH63" s="94">
        <f t="shared" si="249"/>
        <v>6644434.0999999996</v>
      </c>
      <c r="CI63" s="87">
        <f t="shared" si="249"/>
        <v>6960618.7899999991</v>
      </c>
      <c r="CJ63" s="94">
        <f t="shared" si="249"/>
        <v>6195877.75</v>
      </c>
      <c r="CK63" s="94">
        <f t="shared" si="249"/>
        <v>6117014.6500000004</v>
      </c>
      <c r="CL63" s="94">
        <f t="shared" si="249"/>
        <v>6305139.6999999993</v>
      </c>
      <c r="CM63" s="94">
        <f t="shared" si="249"/>
        <v>6684252.1799999997</v>
      </c>
      <c r="CN63" s="94">
        <f t="shared" si="249"/>
        <v>7445580.4800000004</v>
      </c>
      <c r="CO63" s="94">
        <f t="shared" si="249"/>
        <v>8284744.5599999987</v>
      </c>
      <c r="CP63" s="94">
        <f t="shared" si="249"/>
        <v>8295425.6500000004</v>
      </c>
      <c r="CQ63" s="94">
        <f t="shared" si="249"/>
        <v>8150520.3899999997</v>
      </c>
      <c r="CR63" s="94">
        <f t="shared" ref="CR63:EA63" si="250">SUM(CR61:CR62)</f>
        <v>7193605.1899999995</v>
      </c>
      <c r="CS63" s="94">
        <f t="shared" si="250"/>
        <v>6353872.8099999996</v>
      </c>
      <c r="CT63" s="96">
        <f t="shared" si="250"/>
        <v>6520454.4299999997</v>
      </c>
      <c r="CU63" s="94">
        <f t="shared" si="250"/>
        <v>6868368.4690000005</v>
      </c>
      <c r="CV63" s="94">
        <f t="shared" si="250"/>
        <v>6353788.1960000005</v>
      </c>
      <c r="CW63" s="94">
        <f t="shared" si="250"/>
        <v>6229367.9020000007</v>
      </c>
      <c r="CX63" s="94">
        <f t="shared" si="250"/>
        <v>6304950.2100000009</v>
      </c>
      <c r="CY63" s="94">
        <f t="shared" si="250"/>
        <v>6511694.1899999995</v>
      </c>
      <c r="CZ63" s="94">
        <f t="shared" si="250"/>
        <v>7824133.0100000007</v>
      </c>
      <c r="DA63" s="94">
        <f t="shared" si="250"/>
        <v>8292408.3799999999</v>
      </c>
      <c r="DB63" s="94">
        <f t="shared" si="250"/>
        <v>8276088.9000000004</v>
      </c>
      <c r="DC63" s="94">
        <f t="shared" si="250"/>
        <v>8581231.8800000008</v>
      </c>
      <c r="DD63" s="94">
        <f t="shared" si="250"/>
        <v>7422730.4799999995</v>
      </c>
      <c r="DE63" s="94">
        <f t="shared" si="250"/>
        <v>6558633.5199999996</v>
      </c>
      <c r="DF63" s="96">
        <f t="shared" si="250"/>
        <v>6656863</v>
      </c>
      <c r="DG63" s="94">
        <f t="shared" si="250"/>
        <v>6778927.8900000006</v>
      </c>
      <c r="DH63" s="94">
        <f t="shared" si="250"/>
        <v>6646010.71</v>
      </c>
      <c r="DI63" s="94">
        <f t="shared" si="250"/>
        <v>6270964.3900000006</v>
      </c>
      <c r="DJ63" s="94">
        <f t="shared" si="250"/>
        <v>6422176.8599999994</v>
      </c>
      <c r="DK63" s="94">
        <f t="shared" si="250"/>
        <v>7012445.5499999998</v>
      </c>
      <c r="DL63" s="94">
        <f t="shared" si="250"/>
        <v>7972459.0300000003</v>
      </c>
      <c r="DM63" s="94">
        <f t="shared" si="250"/>
        <v>8688875.1900000013</v>
      </c>
      <c r="DN63" s="94">
        <f t="shared" si="250"/>
        <v>8855058.5799999982</v>
      </c>
      <c r="DO63" s="94">
        <f t="shared" si="250"/>
        <v>8874528.7799999993</v>
      </c>
      <c r="DP63" s="94">
        <f t="shared" si="250"/>
        <v>7598431.9500000002</v>
      </c>
      <c r="DQ63" s="94">
        <f t="shared" si="250"/>
        <v>6635058.5199999996</v>
      </c>
      <c r="DR63" s="94">
        <f t="shared" si="250"/>
        <v>6680480.7999999998</v>
      </c>
      <c r="DS63" s="94">
        <f t="shared" si="250"/>
        <v>6692345.0900000008</v>
      </c>
      <c r="DT63" s="94">
        <f t="shared" si="250"/>
        <v>6307143.9000000004</v>
      </c>
      <c r="DU63" s="94">
        <f t="shared" si="250"/>
        <v>6249269.0900000008</v>
      </c>
      <c r="DV63" s="94">
        <f t="shared" si="250"/>
        <v>6800290.1100000013</v>
      </c>
      <c r="DW63" s="94">
        <f t="shared" si="250"/>
        <v>7169056.7400000002</v>
      </c>
      <c r="DX63" s="94">
        <f t="shared" si="250"/>
        <v>7979761.7199999997</v>
      </c>
      <c r="DY63" s="94">
        <f t="shared" si="250"/>
        <v>8446378.6899999995</v>
      </c>
      <c r="DZ63" s="94">
        <f t="shared" si="250"/>
        <v>8532614.2400000002</v>
      </c>
      <c r="EA63" s="94">
        <f t="shared" si="250"/>
        <v>8637543.9299999997</v>
      </c>
      <c r="EB63" s="94">
        <f t="shared" ref="EB63:FH63" si="251">SUM(EB61:EB62)</f>
        <v>7557895.9400000004</v>
      </c>
      <c r="EC63" s="94">
        <f t="shared" si="251"/>
        <v>6961938.5800000001</v>
      </c>
      <c r="ED63" s="94">
        <f t="shared" si="251"/>
        <v>6727622.6899999995</v>
      </c>
      <c r="EE63" s="94">
        <f t="shared" si="251"/>
        <v>6810413.2100000009</v>
      </c>
      <c r="EF63" s="94">
        <f t="shared" si="251"/>
        <v>6548420.1100000003</v>
      </c>
      <c r="EG63" s="94">
        <f t="shared" si="251"/>
        <v>6192133.0300000003</v>
      </c>
      <c r="EH63" s="94">
        <f t="shared" si="251"/>
        <v>6581522.5899999999</v>
      </c>
      <c r="EI63" s="94">
        <f t="shared" si="251"/>
        <v>6724923.1800000006</v>
      </c>
      <c r="EJ63" s="94">
        <f t="shared" si="251"/>
        <v>7821777.8399999999</v>
      </c>
      <c r="EK63" s="94">
        <f t="shared" si="251"/>
        <v>8438444.6199999992</v>
      </c>
      <c r="EL63" s="94">
        <f t="shared" si="251"/>
        <v>8555925.25</v>
      </c>
      <c r="EM63" s="94">
        <f t="shared" si="251"/>
        <v>8801062.1899999995</v>
      </c>
      <c r="EN63" s="94">
        <f t="shared" si="251"/>
        <v>8091082.129999999</v>
      </c>
      <c r="EO63" s="94">
        <f t="shared" si="251"/>
        <v>6918757.9239999996</v>
      </c>
      <c r="EP63" s="94">
        <f t="shared" si="251"/>
        <v>7092098.2999999998</v>
      </c>
      <c r="EQ63" s="94">
        <f t="shared" si="251"/>
        <v>7262902.1099999994</v>
      </c>
      <c r="ER63" s="94">
        <f t="shared" si="251"/>
        <v>6938539.6600000001</v>
      </c>
      <c r="ES63" s="94">
        <f t="shared" si="251"/>
        <v>6724068.7799999993</v>
      </c>
      <c r="ET63" s="94">
        <f t="shared" si="251"/>
        <v>6765258.4100000001</v>
      </c>
      <c r="EU63" s="94">
        <f t="shared" si="251"/>
        <v>7241604.9100000001</v>
      </c>
      <c r="EV63" s="94">
        <f t="shared" si="251"/>
        <v>8063526.2599999998</v>
      </c>
      <c r="EW63" s="94">
        <f t="shared" si="251"/>
        <v>8515102.0699999984</v>
      </c>
      <c r="EX63" s="94">
        <f t="shared" si="251"/>
        <v>8716645.8599999994</v>
      </c>
      <c r="EY63" s="94">
        <f t="shared" si="251"/>
        <v>9102083.6999999993</v>
      </c>
      <c r="EZ63" s="94">
        <f t="shared" si="251"/>
        <v>8004870.5299999993</v>
      </c>
      <c r="FA63" s="94">
        <f t="shared" si="251"/>
        <v>7229699.4999999991</v>
      </c>
      <c r="FB63" s="94">
        <f t="shared" si="251"/>
        <v>6869913.7999999998</v>
      </c>
      <c r="FC63" s="94">
        <f t="shared" si="251"/>
        <v>7188504.9800000004</v>
      </c>
      <c r="FD63" s="94">
        <f t="shared" si="251"/>
        <v>7060088.2700000005</v>
      </c>
      <c r="FE63" s="94">
        <f t="shared" si="251"/>
        <v>6871738.7999999998</v>
      </c>
      <c r="FF63" s="94">
        <f t="shared" si="251"/>
        <v>7055433.1799999997</v>
      </c>
      <c r="FG63" s="94">
        <f t="shared" si="251"/>
        <v>7157921.7400000002</v>
      </c>
      <c r="FH63" s="94">
        <f t="shared" si="251"/>
        <v>7944653.71</v>
      </c>
      <c r="FI63" s="94">
        <f t="shared" ref="FI63:FT63" si="252">SUM(FI61:FI62)</f>
        <v>8547758.5500000007</v>
      </c>
      <c r="FJ63" s="94">
        <f t="shared" si="252"/>
        <v>9070585.0300000012</v>
      </c>
      <c r="FK63" s="94">
        <f t="shared" si="252"/>
        <v>8857034.3699999992</v>
      </c>
      <c r="FL63" s="94">
        <f t="shared" si="252"/>
        <v>8247550.0199999996</v>
      </c>
      <c r="FM63" s="94">
        <f t="shared" si="252"/>
        <v>7189479.8699999992</v>
      </c>
      <c r="FN63" s="94">
        <f t="shared" si="252"/>
        <v>6915740.1000000006</v>
      </c>
      <c r="FO63" s="94">
        <f t="shared" si="252"/>
        <v>7035665.2029999988</v>
      </c>
      <c r="FP63" s="94">
        <f t="shared" si="252"/>
        <v>6655100.4399999995</v>
      </c>
      <c r="FQ63" s="94">
        <f t="shared" si="252"/>
        <v>6459160.5549999997</v>
      </c>
      <c r="FR63" s="94">
        <f t="shared" si="252"/>
        <v>6800522.9799999995</v>
      </c>
      <c r="FS63" s="94">
        <f t="shared" si="252"/>
        <v>6975925.9400000004</v>
      </c>
      <c r="FT63" s="94">
        <f t="shared" si="252"/>
        <v>7827505.9300000006</v>
      </c>
    </row>
    <row r="64" spans="2:176" x14ac:dyDescent="0.25">
      <c r="B64" s="3" t="s">
        <v>10</v>
      </c>
      <c r="C64" s="78">
        <f t="shared" ref="C64:Q64" si="253">SUM(C61)/C63</f>
        <v>0.95278573931733535</v>
      </c>
      <c r="D64" s="14">
        <f t="shared" si="253"/>
        <v>0.87494674745156187</v>
      </c>
      <c r="E64" s="14">
        <f t="shared" si="253"/>
        <v>0.80420546395744275</v>
      </c>
      <c r="F64" s="14">
        <f t="shared" si="253"/>
        <v>0.78505411394391766</v>
      </c>
      <c r="G64" s="14">
        <f t="shared" si="253"/>
        <v>0.77786753348499371</v>
      </c>
      <c r="H64" s="14">
        <f t="shared" si="253"/>
        <v>0.74227298157015698</v>
      </c>
      <c r="I64" s="14">
        <f t="shared" si="253"/>
        <v>0.72721717650175033</v>
      </c>
      <c r="J64" s="14">
        <f t="shared" si="253"/>
        <v>0.73857245386429893</v>
      </c>
      <c r="K64" s="14">
        <f t="shared" si="253"/>
        <v>0.70421466615765071</v>
      </c>
      <c r="L64" s="14">
        <f t="shared" si="253"/>
        <v>0.67190865005357747</v>
      </c>
      <c r="M64" s="14">
        <f t="shared" si="253"/>
        <v>0.71944337830734706</v>
      </c>
      <c r="N64" s="14">
        <f t="shared" si="253"/>
        <v>0.66962774248060619</v>
      </c>
      <c r="O64" s="136">
        <f t="shared" si="253"/>
        <v>0.65971071349638644</v>
      </c>
      <c r="P64" s="14">
        <f t="shared" si="253"/>
        <v>0.64345363156985502</v>
      </c>
      <c r="Q64" s="14">
        <f t="shared" si="253"/>
        <v>0.62007708873938994</v>
      </c>
      <c r="R64" s="14">
        <f t="shared" ref="R64:W64" si="254">SUM(R61)/R63</f>
        <v>0.64347200041287167</v>
      </c>
      <c r="S64" s="14">
        <f t="shared" si="254"/>
        <v>0.63819786311492921</v>
      </c>
      <c r="T64" s="14">
        <f t="shared" si="254"/>
        <v>0.6370464506456085</v>
      </c>
      <c r="U64" s="14">
        <f t="shared" si="254"/>
        <v>0.61726991605053805</v>
      </c>
      <c r="V64" s="14">
        <f t="shared" si="254"/>
        <v>0.6127861892387747</v>
      </c>
      <c r="W64" s="14">
        <f t="shared" si="254"/>
        <v>0.60019565418108878</v>
      </c>
      <c r="X64" s="14">
        <f t="shared" ref="X64:AC64" si="255">SUM(X61)/X63</f>
        <v>0.58771466621639223</v>
      </c>
      <c r="Y64" s="14">
        <f t="shared" si="255"/>
        <v>0.57553918985892516</v>
      </c>
      <c r="Z64" s="150">
        <f t="shared" si="255"/>
        <v>0.55872240227907366</v>
      </c>
      <c r="AA64" s="136">
        <f t="shared" si="255"/>
        <v>0.55692383733265061</v>
      </c>
      <c r="AB64" s="14">
        <f t="shared" si="255"/>
        <v>0.55583310063475877</v>
      </c>
      <c r="AC64" s="14">
        <f t="shared" si="255"/>
        <v>0.54784451541689516</v>
      </c>
      <c r="AD64" s="14">
        <f t="shared" ref="AD64:AI64" si="256">SUM(AD61)/AD63</f>
        <v>0.52812312080838031</v>
      </c>
      <c r="AE64" s="14">
        <f t="shared" si="256"/>
        <v>0.52289488093255876</v>
      </c>
      <c r="AF64" s="14">
        <f t="shared" si="256"/>
        <v>0.51316783771300789</v>
      </c>
      <c r="AG64" s="14">
        <f t="shared" si="256"/>
        <v>0.49641039693397598</v>
      </c>
      <c r="AH64" s="14">
        <f t="shared" si="256"/>
        <v>0.48191405763985812</v>
      </c>
      <c r="AI64" s="14">
        <f t="shared" si="256"/>
        <v>0.46871553493973289</v>
      </c>
      <c r="AJ64" s="14">
        <f t="shared" ref="AJ64:AO64" si="257">SUM(AJ61)/AJ63</f>
        <v>0.45517537589461704</v>
      </c>
      <c r="AK64" s="14">
        <f t="shared" si="257"/>
        <v>0.44182168917626846</v>
      </c>
      <c r="AL64" s="150">
        <f t="shared" si="257"/>
        <v>0.44519674025947581</v>
      </c>
      <c r="AM64" s="14">
        <f t="shared" si="257"/>
        <v>0.44006289731412734</v>
      </c>
      <c r="AN64" s="14">
        <f t="shared" si="257"/>
        <v>0.42174889778199226</v>
      </c>
      <c r="AO64" s="14">
        <f t="shared" si="257"/>
        <v>0.40289832063992403</v>
      </c>
      <c r="AP64" s="14">
        <f t="shared" ref="AP64:AU64" si="258">SUM(AP61)/AP63</f>
        <v>0.39117833625027565</v>
      </c>
      <c r="AQ64" s="14">
        <f t="shared" si="258"/>
        <v>0.38209917020839607</v>
      </c>
      <c r="AR64" s="14">
        <f t="shared" si="258"/>
        <v>0.37902467320364369</v>
      </c>
      <c r="AS64" s="14">
        <f t="shared" si="258"/>
        <v>0.3720171209283058</v>
      </c>
      <c r="AT64" s="14">
        <f t="shared" si="258"/>
        <v>0.35710764521989208</v>
      </c>
      <c r="AU64" s="14">
        <f t="shared" si="258"/>
        <v>0.34839992146842313</v>
      </c>
      <c r="AV64" s="14">
        <f t="shared" ref="AV64:BJ64" si="259">SUM(AV61)/AV63</f>
        <v>0.34690194122364565</v>
      </c>
      <c r="AW64" s="14">
        <f t="shared" si="259"/>
        <v>0.3408840411874357</v>
      </c>
      <c r="AX64" s="23">
        <f t="shared" si="259"/>
        <v>0.34613225125650027</v>
      </c>
      <c r="AY64" s="14">
        <f t="shared" si="259"/>
        <v>0.34293615859848398</v>
      </c>
      <c r="AZ64" s="14">
        <f t="shared" si="259"/>
        <v>0.34467439577428877</v>
      </c>
      <c r="BA64" s="14">
        <f t="shared" si="259"/>
        <v>0.33593572320345516</v>
      </c>
      <c r="BB64" s="14">
        <f t="shared" si="259"/>
        <v>0.33637930575685665</v>
      </c>
      <c r="BC64" s="14">
        <f t="shared" si="259"/>
        <v>0.33575930989542802</v>
      </c>
      <c r="BD64" s="14">
        <f t="shared" si="259"/>
        <v>0.33425707184101944</v>
      </c>
      <c r="BE64" s="14">
        <f t="shared" si="259"/>
        <v>0.33156407741130089</v>
      </c>
      <c r="BF64" s="14">
        <f t="shared" si="259"/>
        <v>0.33201159814084474</v>
      </c>
      <c r="BG64" s="14">
        <f t="shared" si="259"/>
        <v>0.3252443322757661</v>
      </c>
      <c r="BH64" s="14">
        <f t="shared" si="259"/>
        <v>0.31103731682399</v>
      </c>
      <c r="BI64" s="14">
        <f t="shared" si="259"/>
        <v>0.30568318631232827</v>
      </c>
      <c r="BJ64" s="23">
        <f t="shared" si="259"/>
        <v>0.303402767734958</v>
      </c>
      <c r="BK64" s="14">
        <f t="shared" ref="BK64:BP64" si="260">SUM(BK61)/BK63</f>
        <v>0.31506898532194416</v>
      </c>
      <c r="BL64" s="14">
        <f t="shared" si="260"/>
        <v>0.31510463815644618</v>
      </c>
      <c r="BM64" s="14">
        <f t="shared" si="260"/>
        <v>0.30908266404667795</v>
      </c>
      <c r="BN64" s="14">
        <f t="shared" si="260"/>
        <v>0.30207178729921358</v>
      </c>
      <c r="BO64" s="14">
        <f t="shared" si="260"/>
        <v>0.2982253838753926</v>
      </c>
      <c r="BP64" s="14">
        <f t="shared" si="260"/>
        <v>0.29970176880137434</v>
      </c>
      <c r="BQ64" s="14">
        <f t="shared" ref="BQ64:CB64" si="261">SUM(BQ61)/BQ63</f>
        <v>0.30292620758801059</v>
      </c>
      <c r="BR64" s="14">
        <f t="shared" si="261"/>
        <v>0.30363087014973988</v>
      </c>
      <c r="BS64" s="14">
        <f t="shared" si="261"/>
        <v>0.30095620452931415</v>
      </c>
      <c r="BT64" s="14">
        <f t="shared" si="261"/>
        <v>0.29941846820119628</v>
      </c>
      <c r="BU64" s="14">
        <f t="shared" si="261"/>
        <v>0.2948889088100774</v>
      </c>
      <c r="BV64" s="23">
        <f t="shared" si="261"/>
        <v>0.29143136962177019</v>
      </c>
      <c r="BW64" s="14">
        <f t="shared" si="261"/>
        <v>0.29130425833395357</v>
      </c>
      <c r="BX64" s="14">
        <f t="shared" si="261"/>
        <v>0.29418836276486465</v>
      </c>
      <c r="BY64" s="14">
        <f t="shared" si="261"/>
        <v>0.28834343923981021</v>
      </c>
      <c r="BZ64" s="14">
        <f t="shared" si="261"/>
        <v>0.28537991194896151</v>
      </c>
      <c r="CA64" s="14">
        <f t="shared" si="261"/>
        <v>0.28476292670171516</v>
      </c>
      <c r="CB64" s="14">
        <f t="shared" si="261"/>
        <v>0.27718156788700399</v>
      </c>
      <c r="CC64" s="14">
        <f>SUM(CC61)/CC63</f>
        <v>0.28518737121327203</v>
      </c>
      <c r="CD64" s="14">
        <f>SUM(CD61)/CD63</f>
        <v>0.28726732913418912</v>
      </c>
      <c r="CE64" s="14">
        <f>SUM(CE61)/CE63</f>
        <v>0.28178119816249575</v>
      </c>
      <c r="CF64" s="14">
        <f t="shared" ref="CF64:CQ64" si="262">SUM(CF61)/CF63</f>
        <v>0.26615358709776576</v>
      </c>
      <c r="CG64" s="14">
        <f t="shared" si="262"/>
        <v>0.28173586484004182</v>
      </c>
      <c r="CH64" s="14">
        <f t="shared" si="262"/>
        <v>0.27555829622871869</v>
      </c>
      <c r="CI64" s="78">
        <f t="shared" si="262"/>
        <v>0.2783220426872422</v>
      </c>
      <c r="CJ64" s="14">
        <f t="shared" si="262"/>
        <v>0.27590444307911011</v>
      </c>
      <c r="CK64" s="14">
        <f t="shared" si="262"/>
        <v>0.26701625767726417</v>
      </c>
      <c r="CL64" s="14">
        <f t="shared" si="262"/>
        <v>0.26472180624324632</v>
      </c>
      <c r="CM64" s="14">
        <f t="shared" si="262"/>
        <v>0.25957817617826617</v>
      </c>
      <c r="CN64" s="14">
        <f t="shared" si="262"/>
        <v>0.25625641481213296</v>
      </c>
      <c r="CO64" s="14">
        <f t="shared" si="262"/>
        <v>0.25713542096221254</v>
      </c>
      <c r="CP64" s="14">
        <f t="shared" si="262"/>
        <v>0.2535695296117807</v>
      </c>
      <c r="CQ64" s="14">
        <f t="shared" si="262"/>
        <v>0.24352442605201557</v>
      </c>
      <c r="CR64" s="14">
        <f t="shared" ref="CR64:EA64" si="263">SUM(CR61)/CR63</f>
        <v>0.23822386477120522</v>
      </c>
      <c r="CS64" s="14">
        <f t="shared" si="263"/>
        <v>0.23674307544094514</v>
      </c>
      <c r="CT64" s="23">
        <f t="shared" si="263"/>
        <v>0.23462113514072974</v>
      </c>
      <c r="CU64" s="14">
        <f t="shared" si="263"/>
        <v>0.24412921330123821</v>
      </c>
      <c r="CV64" s="14">
        <f t="shared" si="263"/>
        <v>0.23879806159657516</v>
      </c>
      <c r="CW64" s="14">
        <f t="shared" si="263"/>
        <v>0.23585993749514778</v>
      </c>
      <c r="CX64" s="14">
        <f t="shared" si="263"/>
        <v>0.23142688068903874</v>
      </c>
      <c r="CY64" s="14">
        <f t="shared" si="263"/>
        <v>0.22551900736603847</v>
      </c>
      <c r="CZ64" s="14">
        <f t="shared" si="263"/>
        <v>0.2263795985748458</v>
      </c>
      <c r="DA64" s="14">
        <f t="shared" si="263"/>
        <v>0.22527610488956645</v>
      </c>
      <c r="DB64" s="14">
        <f t="shared" si="263"/>
        <v>0.22489947032830929</v>
      </c>
      <c r="DC64" s="14">
        <f t="shared" si="263"/>
        <v>0.2205283013515304</v>
      </c>
      <c r="DD64" s="14">
        <f t="shared" si="263"/>
        <v>0.21271091605093551</v>
      </c>
      <c r="DE64" s="14">
        <f t="shared" si="263"/>
        <v>0.21495777980288802</v>
      </c>
      <c r="DF64" s="23">
        <f t="shared" si="263"/>
        <v>0.21257202529179287</v>
      </c>
      <c r="DG64" s="14">
        <f t="shared" si="263"/>
        <v>0.21733520608374546</v>
      </c>
      <c r="DH64" s="14">
        <f t="shared" si="263"/>
        <v>0.21536453858648688</v>
      </c>
      <c r="DI64" s="14">
        <f t="shared" si="263"/>
        <v>0.206596961715485</v>
      </c>
      <c r="DJ64" s="14">
        <f t="shared" si="263"/>
        <v>0.20254008856430031</v>
      </c>
      <c r="DK64" s="14">
        <f t="shared" si="263"/>
        <v>0.19935831516010846</v>
      </c>
      <c r="DL64" s="14">
        <f t="shared" si="263"/>
        <v>0.19523678881796649</v>
      </c>
      <c r="DM64" s="14">
        <f t="shared" si="263"/>
        <v>0.19859250274257878</v>
      </c>
      <c r="DN64" s="14">
        <f t="shared" si="263"/>
        <v>0.19760561990545297</v>
      </c>
      <c r="DO64" s="14">
        <f t="shared" si="263"/>
        <v>0.19712128197075945</v>
      </c>
      <c r="DP64" s="14">
        <f t="shared" si="263"/>
        <v>0.19557856670677953</v>
      </c>
      <c r="DQ64" s="14">
        <f t="shared" si="263"/>
        <v>0.19224861335510876</v>
      </c>
      <c r="DR64" s="14">
        <f t="shared" si="263"/>
        <v>0.19334439820559024</v>
      </c>
      <c r="DS64" s="14">
        <f t="shared" si="263"/>
        <v>0.19493593239077872</v>
      </c>
      <c r="DT64" s="14">
        <f t="shared" si="263"/>
        <v>0.19141307684449693</v>
      </c>
      <c r="DU64" s="14">
        <f t="shared" si="263"/>
        <v>0.18816761817500804</v>
      </c>
      <c r="DV64" s="14">
        <f t="shared" si="263"/>
        <v>0.18620180161696068</v>
      </c>
      <c r="DW64" s="14">
        <f t="shared" si="263"/>
        <v>0.18456166801101367</v>
      </c>
      <c r="DX64" s="14">
        <f t="shared" si="263"/>
        <v>0.18295164833568486</v>
      </c>
      <c r="DY64" s="14">
        <f t="shared" si="263"/>
        <v>0.18151823121726501</v>
      </c>
      <c r="DZ64" s="14">
        <f t="shared" si="263"/>
        <v>0.18308936816531859</v>
      </c>
      <c r="EA64" s="14">
        <f t="shared" si="263"/>
        <v>0.18633960800011817</v>
      </c>
      <c r="EB64" s="14">
        <f t="shared" ref="EB64:FH64" si="264">SUM(EB61)/EB63</f>
        <v>0.18782337587992776</v>
      </c>
      <c r="EC64" s="14">
        <f t="shared" si="264"/>
        <v>0.1882961756896166</v>
      </c>
      <c r="ED64" s="14">
        <f t="shared" si="264"/>
        <v>0.1873427283419784</v>
      </c>
      <c r="EE64" s="14">
        <f t="shared" si="264"/>
        <v>0.18958060549163067</v>
      </c>
      <c r="EF64" s="14">
        <f t="shared" si="264"/>
        <v>0.18418252337814656</v>
      </c>
      <c r="EG64" s="14">
        <f t="shared" si="264"/>
        <v>0.18321031936873611</v>
      </c>
      <c r="EH64" s="14">
        <f t="shared" si="264"/>
        <v>0.17909989578870386</v>
      </c>
      <c r="EI64" s="14">
        <f t="shared" si="264"/>
        <v>0.17951596586118918</v>
      </c>
      <c r="EJ64" s="14">
        <f t="shared" si="264"/>
        <v>0.17493114327573386</v>
      </c>
      <c r="EK64" s="14">
        <f t="shared" si="264"/>
        <v>0.17228356474063111</v>
      </c>
      <c r="EL64" s="14">
        <f t="shared" si="264"/>
        <v>0.17175276630660136</v>
      </c>
      <c r="EM64" s="14">
        <f t="shared" si="264"/>
        <v>0.17131140508393569</v>
      </c>
      <c r="EN64" s="14">
        <f t="shared" si="264"/>
        <v>0.16793410549646717</v>
      </c>
      <c r="EO64" s="14">
        <f t="shared" si="264"/>
        <v>0.16815543089956503</v>
      </c>
      <c r="EP64" s="14">
        <f t="shared" si="264"/>
        <v>0.16697211176556875</v>
      </c>
      <c r="EQ64" s="14">
        <f t="shared" si="264"/>
        <v>0.17113421483247829</v>
      </c>
      <c r="ER64" s="14">
        <f t="shared" si="264"/>
        <v>0.16531874374268546</v>
      </c>
      <c r="ES64" s="14">
        <f t="shared" si="264"/>
        <v>0.16098709656566007</v>
      </c>
      <c r="ET64" s="14">
        <f t="shared" si="264"/>
        <v>0.15673876971685402</v>
      </c>
      <c r="EU64" s="14">
        <f t="shared" si="264"/>
        <v>0.1598947642671105</v>
      </c>
      <c r="EV64" s="14">
        <f t="shared" si="264"/>
        <v>0.15907459945445754</v>
      </c>
      <c r="EW64" s="14">
        <f t="shared" si="264"/>
        <v>0.16188548635917879</v>
      </c>
      <c r="EX64" s="14">
        <f t="shared" si="264"/>
        <v>0.1638524775400248</v>
      </c>
      <c r="EY64" s="14">
        <f t="shared" si="264"/>
        <v>0.1627666662744488</v>
      </c>
      <c r="EZ64" s="14">
        <f t="shared" si="264"/>
        <v>0.1639944137859779</v>
      </c>
      <c r="FA64" s="14">
        <f t="shared" si="264"/>
        <v>0.16405322793845031</v>
      </c>
      <c r="FB64" s="14">
        <f t="shared" si="264"/>
        <v>0.16294518426126395</v>
      </c>
      <c r="FC64" s="14">
        <f t="shared" si="264"/>
        <v>0.1664124979155262</v>
      </c>
      <c r="FD64" s="14">
        <f t="shared" si="264"/>
        <v>0.16661268032559601</v>
      </c>
      <c r="FE64" s="14">
        <f t="shared" si="264"/>
        <v>0.16486112219515678</v>
      </c>
      <c r="FF64" s="14">
        <f t="shared" si="264"/>
        <v>0.16050766141619105</v>
      </c>
      <c r="FG64" s="14">
        <f t="shared" si="264"/>
        <v>0.16064983130145258</v>
      </c>
      <c r="FH64" s="14">
        <f t="shared" si="264"/>
        <v>0.15881491453955393</v>
      </c>
      <c r="FI64" s="14">
        <f t="shared" ref="FI64:FT64" si="265">SUM(FI61)/FI63</f>
        <v>0.16366365659685134</v>
      </c>
      <c r="FJ64" s="14">
        <f t="shared" si="265"/>
        <v>0.16511522300342735</v>
      </c>
      <c r="FK64" s="14">
        <f t="shared" si="265"/>
        <v>0.15969307681483008</v>
      </c>
      <c r="FL64" s="14">
        <f t="shared" si="265"/>
        <v>0.15554433824458336</v>
      </c>
      <c r="FM64" s="14">
        <f t="shared" si="265"/>
        <v>0.15436003995654834</v>
      </c>
      <c r="FN64" s="14">
        <f t="shared" si="265"/>
        <v>0.15582360302984777</v>
      </c>
      <c r="FO64" s="14">
        <f t="shared" si="265"/>
        <v>0.1595285587951818</v>
      </c>
      <c r="FP64" s="14">
        <f t="shared" si="265"/>
        <v>0.15965400516179137</v>
      </c>
      <c r="FQ64" s="14">
        <f t="shared" si="265"/>
        <v>0.15501759887744421</v>
      </c>
      <c r="FR64" s="14">
        <f t="shared" si="265"/>
        <v>0.15379963615680631</v>
      </c>
      <c r="FS64" s="14">
        <f t="shared" si="265"/>
        <v>0.1510499479299231</v>
      </c>
      <c r="FT64" s="14">
        <f t="shared" si="265"/>
        <v>0.15280418957153058</v>
      </c>
    </row>
    <row r="65" spans="2:176" ht="13.2" customHeight="1" thickBot="1" x14ac:dyDescent="0.3">
      <c r="B65" s="4" t="s">
        <v>11</v>
      </c>
      <c r="C65" s="79">
        <f t="shared" ref="C65:Q65" si="266">SUM(C62/C63)</f>
        <v>4.7214260682664676E-2</v>
      </c>
      <c r="D65" s="15">
        <f t="shared" si="266"/>
        <v>0.12505325254843808</v>
      </c>
      <c r="E65" s="15">
        <f t="shared" si="266"/>
        <v>0.19579453604255728</v>
      </c>
      <c r="F65" s="15">
        <f t="shared" si="266"/>
        <v>0.21494588605608242</v>
      </c>
      <c r="G65" s="15">
        <f t="shared" si="266"/>
        <v>0.22213246651500632</v>
      </c>
      <c r="H65" s="15">
        <f t="shared" si="266"/>
        <v>0.25772701842984302</v>
      </c>
      <c r="I65" s="15">
        <f t="shared" si="266"/>
        <v>0.27278282349824973</v>
      </c>
      <c r="J65" s="15">
        <f t="shared" si="266"/>
        <v>0.26142754613570113</v>
      </c>
      <c r="K65" s="15">
        <f t="shared" si="266"/>
        <v>0.29578533384234923</v>
      </c>
      <c r="L65" s="15">
        <f t="shared" si="266"/>
        <v>0.32809134994642253</v>
      </c>
      <c r="M65" s="15">
        <f t="shared" si="266"/>
        <v>0.28055662169265294</v>
      </c>
      <c r="N65" s="15">
        <f t="shared" si="266"/>
        <v>0.33037225751939375</v>
      </c>
      <c r="O65" s="137">
        <f t="shared" si="266"/>
        <v>0.34028928650361351</v>
      </c>
      <c r="P65" s="15">
        <f t="shared" si="266"/>
        <v>0.35654636843014503</v>
      </c>
      <c r="Q65" s="15">
        <f t="shared" si="266"/>
        <v>0.37992291126061006</v>
      </c>
      <c r="R65" s="15">
        <f t="shared" ref="R65:W65" si="267">SUM(R62/R63)</f>
        <v>0.35652799958712833</v>
      </c>
      <c r="S65" s="15">
        <f t="shared" si="267"/>
        <v>0.36180213688507079</v>
      </c>
      <c r="T65" s="15">
        <f t="shared" si="267"/>
        <v>0.3629535493543915</v>
      </c>
      <c r="U65" s="15">
        <f t="shared" si="267"/>
        <v>0.38273008394946201</v>
      </c>
      <c r="V65" s="15">
        <f t="shared" si="267"/>
        <v>0.38721381076122535</v>
      </c>
      <c r="W65" s="15">
        <f t="shared" si="267"/>
        <v>0.39980434581891122</v>
      </c>
      <c r="X65" s="15">
        <f t="shared" ref="X65:AC65" si="268">SUM(X62/X63)</f>
        <v>0.41228533378360765</v>
      </c>
      <c r="Y65" s="15">
        <f t="shared" si="268"/>
        <v>0.42446081014107484</v>
      </c>
      <c r="Z65" s="151">
        <f t="shared" si="268"/>
        <v>0.44127759772092628</v>
      </c>
      <c r="AA65" s="137">
        <f t="shared" si="268"/>
        <v>0.44307616266734945</v>
      </c>
      <c r="AB65" s="15">
        <f t="shared" si="268"/>
        <v>0.44416689936524123</v>
      </c>
      <c r="AC65" s="15">
        <f t="shared" si="268"/>
        <v>0.45215548458310489</v>
      </c>
      <c r="AD65" s="15">
        <f t="shared" ref="AD65:AI65" si="269">SUM(AD62/AD63)</f>
        <v>0.47187687919161958</v>
      </c>
      <c r="AE65" s="15">
        <f t="shared" si="269"/>
        <v>0.47710511906744124</v>
      </c>
      <c r="AF65" s="15">
        <f t="shared" si="269"/>
        <v>0.48683216228699211</v>
      </c>
      <c r="AG65" s="15">
        <f t="shared" si="269"/>
        <v>0.50358960306602407</v>
      </c>
      <c r="AH65" s="15">
        <f t="shared" si="269"/>
        <v>0.51808594236014183</v>
      </c>
      <c r="AI65" s="15">
        <f t="shared" si="269"/>
        <v>0.53128446506026716</v>
      </c>
      <c r="AJ65" s="15">
        <f t="shared" ref="AJ65:AO65" si="270">SUM(AJ62/AJ63)</f>
        <v>0.5448246241053829</v>
      </c>
      <c r="AK65" s="15">
        <f t="shared" si="270"/>
        <v>0.55817831082373148</v>
      </c>
      <c r="AL65" s="151">
        <f t="shared" si="270"/>
        <v>0.55480325974052414</v>
      </c>
      <c r="AM65" s="15">
        <f t="shared" si="270"/>
        <v>0.5599371026858726</v>
      </c>
      <c r="AN65" s="15">
        <f t="shared" si="270"/>
        <v>0.5782511022180078</v>
      </c>
      <c r="AO65" s="15">
        <f t="shared" si="270"/>
        <v>0.59710167936007597</v>
      </c>
      <c r="AP65" s="15">
        <f t="shared" ref="AP65:AU65" si="271">SUM(AP62/AP63)</f>
        <v>0.60882166374972446</v>
      </c>
      <c r="AQ65" s="15">
        <f t="shared" si="271"/>
        <v>0.61790082979160388</v>
      </c>
      <c r="AR65" s="15">
        <f t="shared" si="271"/>
        <v>0.62097532679635636</v>
      </c>
      <c r="AS65" s="15">
        <f t="shared" si="271"/>
        <v>0.62798287907169414</v>
      </c>
      <c r="AT65" s="15">
        <f t="shared" si="271"/>
        <v>0.64289235478010787</v>
      </c>
      <c r="AU65" s="15">
        <f t="shared" si="271"/>
        <v>0.65160007853157675</v>
      </c>
      <c r="AV65" s="15">
        <f>SUM(AV62/AV63)</f>
        <v>0.65309805877635441</v>
      </c>
      <c r="AW65" s="15">
        <f>SUM(AW62/AW63)</f>
        <v>0.65911595881256424</v>
      </c>
      <c r="AX65" s="24">
        <f>SUM(AX62/AX63)</f>
        <v>0.65386774874349973</v>
      </c>
      <c r="AY65" s="15">
        <f t="shared" ref="AY65:BG65" si="272">SUM(AY62/AY63)</f>
        <v>0.65706384140151597</v>
      </c>
      <c r="AZ65" s="15">
        <f t="shared" si="272"/>
        <v>0.65532560422571118</v>
      </c>
      <c r="BA65" s="15">
        <f t="shared" si="272"/>
        <v>0.66406427679654478</v>
      </c>
      <c r="BB65" s="15">
        <f t="shared" si="272"/>
        <v>0.66362069424314341</v>
      </c>
      <c r="BC65" s="15">
        <f t="shared" si="272"/>
        <v>0.66424069010457198</v>
      </c>
      <c r="BD65" s="15">
        <f t="shared" si="272"/>
        <v>0.66574292815898051</v>
      </c>
      <c r="BE65" s="15">
        <f t="shared" si="272"/>
        <v>0.66843592258869911</v>
      </c>
      <c r="BF65" s="15">
        <f t="shared" si="272"/>
        <v>0.6679884018591552</v>
      </c>
      <c r="BG65" s="15">
        <f t="shared" si="272"/>
        <v>0.6747556677242339</v>
      </c>
      <c r="BH65" s="15">
        <f t="shared" ref="BH65:BM65" si="273">SUM(BH62/BH63)</f>
        <v>0.68896268317601006</v>
      </c>
      <c r="BI65" s="15">
        <f t="shared" si="273"/>
        <v>0.69431681368767173</v>
      </c>
      <c r="BJ65" s="24">
        <f t="shared" si="273"/>
        <v>0.696597232265042</v>
      </c>
      <c r="BK65" s="15">
        <f t="shared" si="273"/>
        <v>0.68493101467805584</v>
      </c>
      <c r="BL65" s="15">
        <f t="shared" si="273"/>
        <v>0.68489536184355393</v>
      </c>
      <c r="BM65" s="15">
        <f t="shared" si="273"/>
        <v>0.69091733595332194</v>
      </c>
      <c r="BN65" s="15">
        <f t="shared" ref="BN65:BS65" si="274">SUM(BN62/BN63)</f>
        <v>0.69792821270078642</v>
      </c>
      <c r="BO65" s="15">
        <f t="shared" si="274"/>
        <v>0.70177461612460734</v>
      </c>
      <c r="BP65" s="15">
        <f t="shared" si="274"/>
        <v>0.70029823119862566</v>
      </c>
      <c r="BQ65" s="15">
        <f t="shared" si="274"/>
        <v>0.69707379241198941</v>
      </c>
      <c r="BR65" s="15">
        <f t="shared" si="274"/>
        <v>0.69636912985026012</v>
      </c>
      <c r="BS65" s="15">
        <f t="shared" si="274"/>
        <v>0.69904379547068585</v>
      </c>
      <c r="BT65" s="15">
        <f>SUM(BT62/BT63)</f>
        <v>0.70058153179880367</v>
      </c>
      <c r="BU65" s="15">
        <f>SUM(BU62/BU63)</f>
        <v>0.70511109118992255</v>
      </c>
      <c r="BV65" s="24">
        <f>SUM(BV62/BV63)</f>
        <v>0.70856863037822981</v>
      </c>
      <c r="BW65" s="15">
        <f t="shared" ref="BW65:CB65" si="275">SUM(BW62/BW63)</f>
        <v>0.70869574166604643</v>
      </c>
      <c r="BX65" s="15">
        <f t="shared" si="275"/>
        <v>0.70581163723513529</v>
      </c>
      <c r="BY65" s="15">
        <f t="shared" si="275"/>
        <v>0.7116565607601899</v>
      </c>
      <c r="BZ65" s="15">
        <f t="shared" si="275"/>
        <v>0.71462008805103838</v>
      </c>
      <c r="CA65" s="15">
        <f t="shared" si="275"/>
        <v>0.71523707329828479</v>
      </c>
      <c r="CB65" s="15">
        <f t="shared" si="275"/>
        <v>0.72281843211299601</v>
      </c>
      <c r="CC65" s="15">
        <f>SUM(CC62/CC63)</f>
        <v>0.71481262878672791</v>
      </c>
      <c r="CD65" s="15">
        <f>SUM(CD62/CD63)</f>
        <v>0.71273267086581082</v>
      </c>
      <c r="CE65" s="15">
        <f>SUM(CE62/CE63)</f>
        <v>0.71821880183750419</v>
      </c>
      <c r="CF65" s="15">
        <f t="shared" ref="CF65:CQ65" si="276">SUM(CF62/CF63)</f>
        <v>0.73384641290223429</v>
      </c>
      <c r="CG65" s="15">
        <f t="shared" si="276"/>
        <v>0.71826413515995824</v>
      </c>
      <c r="CH65" s="15">
        <f t="shared" si="276"/>
        <v>0.72444170377128125</v>
      </c>
      <c r="CI65" s="79">
        <f t="shared" si="276"/>
        <v>0.72167795731275786</v>
      </c>
      <c r="CJ65" s="15">
        <f t="shared" si="276"/>
        <v>0.72409555692088978</v>
      </c>
      <c r="CK65" s="15">
        <f t="shared" si="276"/>
        <v>0.73298374232273578</v>
      </c>
      <c r="CL65" s="15">
        <f t="shared" si="276"/>
        <v>0.73527819375675374</v>
      </c>
      <c r="CM65" s="15">
        <f t="shared" si="276"/>
        <v>0.74042182382173372</v>
      </c>
      <c r="CN65" s="15">
        <f t="shared" si="276"/>
        <v>0.7437435851878671</v>
      </c>
      <c r="CO65" s="15">
        <f t="shared" si="276"/>
        <v>0.74286457903778758</v>
      </c>
      <c r="CP65" s="15">
        <f t="shared" si="276"/>
        <v>0.7464304703882193</v>
      </c>
      <c r="CQ65" s="15">
        <f t="shared" si="276"/>
        <v>0.75647557394798448</v>
      </c>
      <c r="CR65" s="15">
        <f t="shared" ref="CR65:EA65" si="277">SUM(CR62/CR63)</f>
        <v>0.76177613522879484</v>
      </c>
      <c r="CS65" s="15">
        <f t="shared" si="277"/>
        <v>0.76325692455905492</v>
      </c>
      <c r="CT65" s="24">
        <f t="shared" si="277"/>
        <v>0.7653788648592702</v>
      </c>
      <c r="CU65" s="15">
        <f t="shared" si="277"/>
        <v>0.75587078669876184</v>
      </c>
      <c r="CV65" s="15">
        <f t="shared" si="277"/>
        <v>0.76120193840342476</v>
      </c>
      <c r="CW65" s="15">
        <f t="shared" si="277"/>
        <v>0.76414006250485222</v>
      </c>
      <c r="CX65" s="15">
        <f t="shared" si="277"/>
        <v>0.76857311931096128</v>
      </c>
      <c r="CY65" s="15">
        <f t="shared" si="277"/>
        <v>0.77448099263396153</v>
      </c>
      <c r="CZ65" s="15">
        <f t="shared" si="277"/>
        <v>0.7736204014251542</v>
      </c>
      <c r="DA65" s="15">
        <f t="shared" si="277"/>
        <v>0.77472389511043349</v>
      </c>
      <c r="DB65" s="15">
        <f t="shared" si="277"/>
        <v>0.77510052967169074</v>
      </c>
      <c r="DC65" s="15">
        <f t="shared" si="277"/>
        <v>0.77947169864846955</v>
      </c>
      <c r="DD65" s="15">
        <f t="shared" si="277"/>
        <v>0.78728908394906449</v>
      </c>
      <c r="DE65" s="15">
        <f t="shared" si="277"/>
        <v>0.78504222019711201</v>
      </c>
      <c r="DF65" s="24">
        <f t="shared" si="277"/>
        <v>0.78742797470820725</v>
      </c>
      <c r="DG65" s="15">
        <f t="shared" si="277"/>
        <v>0.78266479391625443</v>
      </c>
      <c r="DH65" s="15">
        <f t="shared" si="277"/>
        <v>0.78463546141351304</v>
      </c>
      <c r="DI65" s="15">
        <f t="shared" si="277"/>
        <v>0.79340303828451486</v>
      </c>
      <c r="DJ65" s="15">
        <f t="shared" si="277"/>
        <v>0.79745991143569972</v>
      </c>
      <c r="DK65" s="15">
        <f t="shared" si="277"/>
        <v>0.80064168483989151</v>
      </c>
      <c r="DL65" s="15">
        <f t="shared" si="277"/>
        <v>0.80476321118203353</v>
      </c>
      <c r="DM65" s="15">
        <f t="shared" si="277"/>
        <v>0.80140749725742111</v>
      </c>
      <c r="DN65" s="15">
        <f t="shared" si="277"/>
        <v>0.80239438009454711</v>
      </c>
      <c r="DO65" s="15">
        <f t="shared" si="277"/>
        <v>0.8028787180292406</v>
      </c>
      <c r="DP65" s="15">
        <f t="shared" si="277"/>
        <v>0.80442143329322047</v>
      </c>
      <c r="DQ65" s="15">
        <f t="shared" si="277"/>
        <v>0.80775138664489132</v>
      </c>
      <c r="DR65" s="15">
        <f t="shared" si="277"/>
        <v>0.80665560179440976</v>
      </c>
      <c r="DS65" s="15">
        <f t="shared" si="277"/>
        <v>0.80506406760922122</v>
      </c>
      <c r="DT65" s="15">
        <f t="shared" si="277"/>
        <v>0.80858692315550307</v>
      </c>
      <c r="DU65" s="15">
        <f t="shared" si="277"/>
        <v>0.81183238182499196</v>
      </c>
      <c r="DV65" s="15">
        <f t="shared" si="277"/>
        <v>0.81379819838303924</v>
      </c>
      <c r="DW65" s="15">
        <f t="shared" si="277"/>
        <v>0.8154383319889863</v>
      </c>
      <c r="DX65" s="15">
        <f t="shared" si="277"/>
        <v>0.81704835166431511</v>
      </c>
      <c r="DY65" s="15">
        <f t="shared" si="277"/>
        <v>0.81848176878273504</v>
      </c>
      <c r="DZ65" s="15">
        <f t="shared" si="277"/>
        <v>0.81691063183468138</v>
      </c>
      <c r="EA65" s="15">
        <f t="shared" si="277"/>
        <v>0.81366039199988183</v>
      </c>
      <c r="EB65" s="15">
        <f t="shared" ref="EB65:FH65" si="278">SUM(EB62/EB63)</f>
        <v>0.81217662412007219</v>
      </c>
      <c r="EC65" s="15">
        <f t="shared" si="278"/>
        <v>0.81170382431038335</v>
      </c>
      <c r="ED65" s="15">
        <f t="shared" si="278"/>
        <v>0.81265727165802171</v>
      </c>
      <c r="EE65" s="15">
        <f t="shared" si="278"/>
        <v>0.81041939450836931</v>
      </c>
      <c r="EF65" s="15">
        <f t="shared" si="278"/>
        <v>0.81581747662185344</v>
      </c>
      <c r="EG65" s="15">
        <f t="shared" si="278"/>
        <v>0.81678968063126389</v>
      </c>
      <c r="EH65" s="15">
        <f t="shared" si="278"/>
        <v>0.82090010421129622</v>
      </c>
      <c r="EI65" s="15">
        <f t="shared" si="278"/>
        <v>0.82048403413881077</v>
      </c>
      <c r="EJ65" s="15">
        <f t="shared" si="278"/>
        <v>0.82506885672426611</v>
      </c>
      <c r="EK65" s="15">
        <f t="shared" si="278"/>
        <v>0.827716435259369</v>
      </c>
      <c r="EL65" s="15">
        <f t="shared" si="278"/>
        <v>0.8282472336933987</v>
      </c>
      <c r="EM65" s="15">
        <f t="shared" si="278"/>
        <v>0.82868859491606428</v>
      </c>
      <c r="EN65" s="15">
        <f t="shared" si="278"/>
        <v>0.83206589450353285</v>
      </c>
      <c r="EO65" s="15">
        <f t="shared" si="278"/>
        <v>0.83184456910043503</v>
      </c>
      <c r="EP65" s="15">
        <f t="shared" si="278"/>
        <v>0.8330278882344313</v>
      </c>
      <c r="EQ65" s="15">
        <f t="shared" si="278"/>
        <v>0.82886578516752174</v>
      </c>
      <c r="ER65" s="15">
        <f t="shared" si="278"/>
        <v>0.83468125625731449</v>
      </c>
      <c r="ES65" s="15">
        <f t="shared" si="278"/>
        <v>0.83901290343433998</v>
      </c>
      <c r="ET65" s="15">
        <f t="shared" si="278"/>
        <v>0.84326123028314592</v>
      </c>
      <c r="EU65" s="15">
        <f t="shared" si="278"/>
        <v>0.84010523573288953</v>
      </c>
      <c r="EV65" s="15">
        <f t="shared" si="278"/>
        <v>0.84092540054554243</v>
      </c>
      <c r="EW65" s="15">
        <f t="shared" si="278"/>
        <v>0.83811451364082123</v>
      </c>
      <c r="EX65" s="15">
        <f t="shared" si="278"/>
        <v>0.83614752245997526</v>
      </c>
      <c r="EY65" s="15">
        <f t="shared" si="278"/>
        <v>0.83723333372555131</v>
      </c>
      <c r="EZ65" s="15">
        <f t="shared" si="278"/>
        <v>0.8360055862140221</v>
      </c>
      <c r="FA65" s="15">
        <f t="shared" si="278"/>
        <v>0.83594677206154966</v>
      </c>
      <c r="FB65" s="15">
        <f t="shared" si="278"/>
        <v>0.83705481573873608</v>
      </c>
      <c r="FC65" s="15">
        <f t="shared" si="278"/>
        <v>0.83358750208447374</v>
      </c>
      <c r="FD65" s="15">
        <f t="shared" si="278"/>
        <v>0.83338731967440394</v>
      </c>
      <c r="FE65" s="15">
        <f t="shared" si="278"/>
        <v>0.83513887780484319</v>
      </c>
      <c r="FF65" s="15">
        <f t="shared" si="278"/>
        <v>0.83949233858380889</v>
      </c>
      <c r="FG65" s="15">
        <f t="shared" si="278"/>
        <v>0.83935016869854739</v>
      </c>
      <c r="FH65" s="15">
        <f t="shared" si="278"/>
        <v>0.84118508546044612</v>
      </c>
      <c r="FI65" s="15">
        <f t="shared" ref="FI65:FT65" si="279">SUM(FI62/FI63)</f>
        <v>0.83633634340314855</v>
      </c>
      <c r="FJ65" s="15">
        <f t="shared" si="279"/>
        <v>0.8348847769965726</v>
      </c>
      <c r="FK65" s="15">
        <f t="shared" si="279"/>
        <v>0.84030692318516997</v>
      </c>
      <c r="FL65" s="15">
        <f t="shared" si="279"/>
        <v>0.84445566175541664</v>
      </c>
      <c r="FM65" s="15">
        <f t="shared" si="279"/>
        <v>0.84563996004345177</v>
      </c>
      <c r="FN65" s="15">
        <f t="shared" si="279"/>
        <v>0.84417639697015223</v>
      </c>
      <c r="FO65" s="15">
        <f t="shared" si="279"/>
        <v>0.8404714412048182</v>
      </c>
      <c r="FP65" s="15">
        <f t="shared" si="279"/>
        <v>0.84034599483820871</v>
      </c>
      <c r="FQ65" s="15">
        <f t="shared" si="279"/>
        <v>0.84498240112255585</v>
      </c>
      <c r="FR65" s="15">
        <f t="shared" si="279"/>
        <v>0.84620036384319375</v>
      </c>
      <c r="FS65" s="15">
        <f t="shared" si="279"/>
        <v>0.8489500520700769</v>
      </c>
      <c r="FT65" s="15">
        <f t="shared" si="279"/>
        <v>0.84719581042846936</v>
      </c>
    </row>
    <row r="66" spans="2:176" ht="12" customHeight="1" x14ac:dyDescent="0.25">
      <c r="B66" s="299"/>
      <c r="C66" s="74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18"/>
      <c r="O66" s="138"/>
      <c r="P66" s="18"/>
      <c r="Q66" s="18"/>
      <c r="U66" s="18"/>
      <c r="V66" s="18"/>
      <c r="W66" s="18"/>
      <c r="X66" s="18"/>
      <c r="Y66" s="18"/>
      <c r="Z66" s="146"/>
      <c r="AA66" s="13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46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20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20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74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20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20"/>
      <c r="DG66" s="18"/>
      <c r="DH66" s="18"/>
      <c r="DI66" s="18"/>
      <c r="DJ66" s="18"/>
      <c r="DK66" s="18"/>
      <c r="DL66" s="18"/>
    </row>
    <row r="67" spans="2:176" x14ac:dyDescent="0.25">
      <c r="B67" s="300" t="s">
        <v>22</v>
      </c>
      <c r="C67" s="85">
        <f>SUM(1000*(C63))/C18</f>
        <v>6406.3876707598156</v>
      </c>
      <c r="D67" s="32">
        <f t="shared" ref="D67:AT67" si="280">SUM(1000*(D63))/D18</f>
        <v>6757.1451651052375</v>
      </c>
      <c r="E67" s="32">
        <f t="shared" si="280"/>
        <v>7917.7289485476267</v>
      </c>
      <c r="F67" s="32">
        <f t="shared" si="280"/>
        <v>8093.0416562789751</v>
      </c>
      <c r="G67" s="32">
        <f t="shared" si="280"/>
        <v>8749.5788353244352</v>
      </c>
      <c r="H67" s="32">
        <f t="shared" si="280"/>
        <v>9942.3128735016398</v>
      </c>
      <c r="I67" s="32">
        <f t="shared" si="280"/>
        <v>10991.164925328212</v>
      </c>
      <c r="J67" s="32">
        <f t="shared" si="280"/>
        <v>9452.7073011932844</v>
      </c>
      <c r="K67" s="32">
        <f t="shared" si="280"/>
        <v>11891.35516022161</v>
      </c>
      <c r="L67" s="32">
        <f t="shared" si="280"/>
        <v>9763.9863457248175</v>
      </c>
      <c r="M67" s="32">
        <f t="shared" si="280"/>
        <v>7573.8991943485335</v>
      </c>
      <c r="N67" s="32">
        <f t="shared" si="280"/>
        <v>7968.4501963221019</v>
      </c>
      <c r="O67" s="32">
        <f t="shared" si="280"/>
        <v>7939.0727604444528</v>
      </c>
      <c r="P67" s="32">
        <f t="shared" si="280"/>
        <v>8145.4425083559154</v>
      </c>
      <c r="Q67" s="32">
        <f t="shared" si="280"/>
        <v>7460.7629499676832</v>
      </c>
      <c r="R67" s="32">
        <f t="shared" si="280"/>
        <v>7606.1468177173965</v>
      </c>
      <c r="S67" s="32">
        <f t="shared" si="280"/>
        <v>8540.2627404717514</v>
      </c>
      <c r="T67" s="32">
        <f t="shared" si="280"/>
        <v>9540.4525065702892</v>
      </c>
      <c r="U67" s="32">
        <f t="shared" si="280"/>
        <v>9806.2190969054936</v>
      </c>
      <c r="V67" s="32">
        <f t="shared" si="280"/>
        <v>10396.687254378028</v>
      </c>
      <c r="W67" s="32">
        <f t="shared" si="280"/>
        <v>10163.550808311058</v>
      </c>
      <c r="X67" s="32">
        <f t="shared" si="280"/>
        <v>9040.1352292064166</v>
      </c>
      <c r="Y67" s="32">
        <f t="shared" si="280"/>
        <v>8344.4277452922888</v>
      </c>
      <c r="Z67" s="32">
        <f t="shared" si="280"/>
        <v>7873.5266007575983</v>
      </c>
      <c r="AA67" s="32">
        <f t="shared" si="280"/>
        <v>7838.8416271902106</v>
      </c>
      <c r="AB67" s="32">
        <f t="shared" si="280"/>
        <v>7844.5114747111757</v>
      </c>
      <c r="AC67" s="32">
        <f t="shared" si="280"/>
        <v>7524.9691554961146</v>
      </c>
      <c r="AD67" s="32">
        <f t="shared" si="280"/>
        <v>7994.9026826276349</v>
      </c>
      <c r="AE67" s="32">
        <f t="shared" si="280"/>
        <v>8287.6212888831924</v>
      </c>
      <c r="AF67" s="32">
        <f t="shared" si="280"/>
        <v>9287.2544577027929</v>
      </c>
      <c r="AG67" s="32">
        <f t="shared" si="280"/>
        <v>9813.2893960540914</v>
      </c>
      <c r="AH67" s="32">
        <f t="shared" si="280"/>
        <v>9887.8926899568669</v>
      </c>
      <c r="AI67" s="32">
        <f t="shared" si="280"/>
        <v>9950.1546164419324</v>
      </c>
      <c r="AJ67" s="32">
        <f t="shared" si="280"/>
        <v>9251.8109623775636</v>
      </c>
      <c r="AK67" s="32">
        <f t="shared" si="280"/>
        <v>8368.0426773826821</v>
      </c>
      <c r="AL67" s="32">
        <f t="shared" si="280"/>
        <v>7922.5267755812001</v>
      </c>
      <c r="AM67" s="32">
        <f t="shared" si="280"/>
        <v>8220.4270081592604</v>
      </c>
      <c r="AN67" s="32">
        <f t="shared" si="280"/>
        <v>7758.6060286501979</v>
      </c>
      <c r="AO67" s="32">
        <f t="shared" si="280"/>
        <v>7736.0191305093804</v>
      </c>
      <c r="AP67" s="32">
        <f t="shared" si="280"/>
        <v>7882.8417662294678</v>
      </c>
      <c r="AQ67" s="32">
        <f t="shared" si="280"/>
        <v>8157.3878848191071</v>
      </c>
      <c r="AR67" s="32">
        <f t="shared" si="280"/>
        <v>9518.969275238469</v>
      </c>
      <c r="AS67" s="32">
        <f t="shared" si="280"/>
        <v>10356.687517530479</v>
      </c>
      <c r="AT67" s="32">
        <f t="shared" si="280"/>
        <v>10071.923535947981</v>
      </c>
      <c r="AU67" s="32">
        <f>SUM(1000*(AU63))/AU18</f>
        <v>10769.767297909459</v>
      </c>
      <c r="AV67" s="32">
        <f>SUM(1000*(AV63))/AV18</f>
        <v>9682.9176943801449</v>
      </c>
      <c r="AW67" s="32">
        <f>SUM(1000*(AW63))/AW18</f>
        <v>8315.6629470818007</v>
      </c>
      <c r="AX67" s="54">
        <f>SUM(1000*(AX63))/AX18</f>
        <v>8023.6406815669661</v>
      </c>
      <c r="AY67" s="32">
        <f t="shared" ref="AY67:BF67" si="281">SUM(1000*(AY63))/AY18</f>
        <v>7888.53914814578</v>
      </c>
      <c r="AZ67" s="32">
        <f t="shared" si="281"/>
        <v>7498.1358884130223</v>
      </c>
      <c r="BA67" s="32">
        <f t="shared" si="281"/>
        <v>7637.5330783219415</v>
      </c>
      <c r="BB67" s="32">
        <f t="shared" si="281"/>
        <v>8232.5237412582101</v>
      </c>
      <c r="BC67" s="32">
        <f t="shared" si="281"/>
        <v>8588.9301326248133</v>
      </c>
      <c r="BD67" s="32">
        <f t="shared" si="281"/>
        <v>9654.6969725055205</v>
      </c>
      <c r="BE67" s="32">
        <f t="shared" si="281"/>
        <v>9986.0942135754958</v>
      </c>
      <c r="BF67" s="32">
        <f t="shared" si="281"/>
        <v>10328.617682542212</v>
      </c>
      <c r="BG67" s="32">
        <f t="shared" ref="BG67:BM67" si="282">SUM(1000*(BG63))/BG18</f>
        <v>10490.528484600016</v>
      </c>
      <c r="BH67" s="32">
        <f t="shared" si="282"/>
        <v>9324.1636519479634</v>
      </c>
      <c r="BI67" s="32">
        <f t="shared" si="282"/>
        <v>8299.0407740444589</v>
      </c>
      <c r="BJ67" s="54">
        <f t="shared" si="282"/>
        <v>8148.1785836676272</v>
      </c>
      <c r="BK67" s="32">
        <f t="shared" si="282"/>
        <v>7994.2152908798244</v>
      </c>
      <c r="BL67" s="32">
        <f t="shared" si="282"/>
        <v>7968.9713775491091</v>
      </c>
      <c r="BM67" s="32">
        <f t="shared" si="282"/>
        <v>7643.7961992256551</v>
      </c>
      <c r="BN67" s="32">
        <f t="shared" ref="BN67:BS67" si="283">SUM(1000*(BN63))/BN18</f>
        <v>7890.0297705754956</v>
      </c>
      <c r="BO67" s="32">
        <f t="shared" si="283"/>
        <v>8134.0826924295379</v>
      </c>
      <c r="BP67" s="32">
        <f t="shared" si="283"/>
        <v>8992.8026213858811</v>
      </c>
      <c r="BQ67" s="32">
        <f t="shared" si="283"/>
        <v>9593.6689698946575</v>
      </c>
      <c r="BR67" s="32">
        <f t="shared" si="283"/>
        <v>9643.8178681153131</v>
      </c>
      <c r="BS67" s="32">
        <f t="shared" si="283"/>
        <v>10358.975856935143</v>
      </c>
      <c r="BT67" s="32">
        <f>SUM(1000*(BT63))/BT18</f>
        <v>9691.8907425340658</v>
      </c>
      <c r="BU67" s="32">
        <f>SUM(1000*(BU63))/BU18</f>
        <v>8469.0166431747402</v>
      </c>
      <c r="BV67" s="54">
        <f>SUM(1000*(BV63))/BV18</f>
        <v>8314.1793518276172</v>
      </c>
      <c r="BW67" s="32">
        <f t="shared" ref="BW67:CB67" si="284">SUM(1000*(BW63))/BW18</f>
        <v>8295.7539921552489</v>
      </c>
      <c r="BX67" s="32">
        <f t="shared" si="284"/>
        <v>7908.0605843143558</v>
      </c>
      <c r="BY67" s="32">
        <f t="shared" si="284"/>
        <v>7679.031478921358</v>
      </c>
      <c r="BZ67" s="32">
        <f t="shared" si="284"/>
        <v>7891.2384198780101</v>
      </c>
      <c r="CA67" s="32">
        <f t="shared" si="284"/>
        <v>8157.4306111287742</v>
      </c>
      <c r="CB67" s="32">
        <f t="shared" si="284"/>
        <v>9576.2165698982535</v>
      </c>
      <c r="CC67" s="32">
        <f>SUM(1000*(CC63))/CC18</f>
        <v>10060.396461703531</v>
      </c>
      <c r="CD67" s="32">
        <f>SUM(1000*(CD63))/CD18</f>
        <v>10180.646649965496</v>
      </c>
      <c r="CE67" s="32">
        <f>SUM(1000*(CE63))/CE18</f>
        <v>9991.1156532048844</v>
      </c>
      <c r="CF67" s="32">
        <f t="shared" ref="CF67:CQ67" si="285">SUM(1000*(CF63))/CF18</f>
        <v>7730.8442960112161</v>
      </c>
      <c r="CG67" s="32">
        <f t="shared" si="285"/>
        <v>8439.4875219840142</v>
      </c>
      <c r="CH67" s="32">
        <f t="shared" si="285"/>
        <v>8132.7720487885481</v>
      </c>
      <c r="CI67" s="85">
        <f t="shared" si="285"/>
        <v>8441.789924843215</v>
      </c>
      <c r="CJ67" s="32">
        <f t="shared" si="285"/>
        <v>7571.8771195502732</v>
      </c>
      <c r="CK67" s="32">
        <f t="shared" si="285"/>
        <v>7479.1559223597742</v>
      </c>
      <c r="CL67" s="32">
        <f t="shared" si="285"/>
        <v>7694.7312090406504</v>
      </c>
      <c r="CM67" s="32">
        <f t="shared" si="285"/>
        <v>8137.811858550589</v>
      </c>
      <c r="CN67" s="32">
        <f t="shared" si="285"/>
        <v>9058.0931676036307</v>
      </c>
      <c r="CO67" s="32">
        <f t="shared" si="285"/>
        <v>10095.713679900562</v>
      </c>
      <c r="CP67" s="32">
        <f t="shared" si="285"/>
        <v>10093.600596215854</v>
      </c>
      <c r="CQ67" s="32">
        <f t="shared" si="285"/>
        <v>9885.0261602945666</v>
      </c>
      <c r="CR67" s="32">
        <f t="shared" ref="CR67:FC67" si="286">SUM(1000*(CR63))/CR18</f>
        <v>8730.6013692528559</v>
      </c>
      <c r="CS67" s="32">
        <f t="shared" si="286"/>
        <v>7717.4168970358887</v>
      </c>
      <c r="CT67" s="54">
        <f t="shared" si="286"/>
        <v>7915.4879400407162</v>
      </c>
      <c r="CU67" s="32">
        <f t="shared" si="286"/>
        <v>8480.7131776149836</v>
      </c>
      <c r="CV67" s="32">
        <f t="shared" si="286"/>
        <v>7710.1968701915839</v>
      </c>
      <c r="CW67" s="32">
        <f t="shared" si="286"/>
        <v>7594.7802861925575</v>
      </c>
      <c r="CX67" s="32">
        <f t="shared" si="286"/>
        <v>7633.1670811168133</v>
      </c>
      <c r="CY67" s="32">
        <f t="shared" si="286"/>
        <v>7879.4482070146341</v>
      </c>
      <c r="CZ67" s="32">
        <f t="shared" si="286"/>
        <v>9464.0549955789211</v>
      </c>
      <c r="DA67" s="32">
        <f t="shared" si="286"/>
        <v>10037.291057422291</v>
      </c>
      <c r="DB67" s="32">
        <f t="shared" si="286"/>
        <v>10088.682049019058</v>
      </c>
      <c r="DC67" s="32">
        <f t="shared" si="286"/>
        <v>10371.535165697145</v>
      </c>
      <c r="DD67" s="32">
        <f t="shared" si="286"/>
        <v>9056.8817718602968</v>
      </c>
      <c r="DE67" s="32">
        <f t="shared" si="286"/>
        <v>7975.079396540089</v>
      </c>
      <c r="DF67" s="54">
        <f t="shared" si="286"/>
        <v>8041.3988963837728</v>
      </c>
      <c r="DG67" s="32">
        <f t="shared" si="286"/>
        <v>8325.9778307274719</v>
      </c>
      <c r="DH67" s="32">
        <f t="shared" si="286"/>
        <v>8020.7998701419383</v>
      </c>
      <c r="DI67" s="32">
        <f t="shared" si="286"/>
        <v>7560.0696697348367</v>
      </c>
      <c r="DJ67" s="32">
        <f t="shared" si="286"/>
        <v>7784.862556472639</v>
      </c>
      <c r="DK67" s="32">
        <f t="shared" si="286"/>
        <v>8553.1918747400487</v>
      </c>
      <c r="DL67" s="32">
        <f t="shared" si="286"/>
        <v>9519.8428456625243</v>
      </c>
      <c r="DM67" s="32">
        <f t="shared" si="286"/>
        <v>10620.227233836589</v>
      </c>
      <c r="DN67" s="32">
        <f t="shared" si="286"/>
        <v>10550.22682539758</v>
      </c>
      <c r="DO67" s="32">
        <f t="shared" si="286"/>
        <v>10656.139378897202</v>
      </c>
      <c r="DP67" s="32">
        <f t="shared" si="286"/>
        <v>9163.3707300130973</v>
      </c>
      <c r="DQ67" s="32">
        <f t="shared" si="286"/>
        <v>7935.9324369257411</v>
      </c>
      <c r="DR67" s="32">
        <f t="shared" si="286"/>
        <v>8115.3965203489852</v>
      </c>
      <c r="DS67" s="32">
        <f t="shared" si="286"/>
        <v>8080.1222459939545</v>
      </c>
      <c r="DT67" s="32">
        <f t="shared" si="286"/>
        <v>7527.9967773699755</v>
      </c>
      <c r="DU67" s="32">
        <f t="shared" si="286"/>
        <v>7385.1930124357568</v>
      </c>
      <c r="DV67" s="32">
        <f t="shared" si="286"/>
        <v>8013.4739755858727</v>
      </c>
      <c r="DW67" s="32">
        <f t="shared" si="286"/>
        <v>8432.9442611380673</v>
      </c>
      <c r="DX67" s="32">
        <f t="shared" si="286"/>
        <v>9356.9339765342665</v>
      </c>
      <c r="DY67" s="32">
        <f t="shared" si="286"/>
        <v>9814.6144630672825</v>
      </c>
      <c r="DZ67" s="32">
        <f t="shared" si="286"/>
        <v>9929.2414894186477</v>
      </c>
      <c r="EA67" s="32">
        <f t="shared" si="286"/>
        <v>10010.156627008684</v>
      </c>
      <c r="EB67" s="32">
        <f t="shared" si="286"/>
        <v>8785.819668510343</v>
      </c>
      <c r="EC67" s="32">
        <f t="shared" si="286"/>
        <v>8095.4280312191859</v>
      </c>
      <c r="ED67" s="32">
        <f t="shared" si="286"/>
        <v>7811.4904202859334</v>
      </c>
      <c r="EE67" s="32">
        <f t="shared" si="286"/>
        <v>7900.1156641320558</v>
      </c>
      <c r="EF67" s="32">
        <f t="shared" si="286"/>
        <v>7587.5590900611442</v>
      </c>
      <c r="EG67" s="32">
        <f t="shared" si="286"/>
        <v>7166.9284723034025</v>
      </c>
      <c r="EH67" s="32">
        <f t="shared" si="286"/>
        <v>7601.8154549119117</v>
      </c>
      <c r="EI67" s="32">
        <f t="shared" si="286"/>
        <v>7759.6222491969147</v>
      </c>
      <c r="EJ67" s="32">
        <f t="shared" si="286"/>
        <v>8929.3370960450429</v>
      </c>
      <c r="EK67" s="32">
        <f t="shared" si="286"/>
        <v>9664.259265197672</v>
      </c>
      <c r="EL67" s="32">
        <f t="shared" si="286"/>
        <v>9791.5391596323225</v>
      </c>
      <c r="EM67" s="32">
        <f t="shared" si="286"/>
        <v>10067.814781428953</v>
      </c>
      <c r="EN67" s="32">
        <f t="shared" si="286"/>
        <v>9242.8630194416855</v>
      </c>
      <c r="EO67" s="32">
        <f t="shared" si="286"/>
        <v>7803.9876557552898</v>
      </c>
      <c r="EP67" s="32">
        <f t="shared" si="286"/>
        <v>8083.2871350774694</v>
      </c>
      <c r="EQ67" s="32">
        <f t="shared" si="286"/>
        <v>8359.7998017930695</v>
      </c>
      <c r="ER67" s="32">
        <f t="shared" si="286"/>
        <v>7922.2357509610874</v>
      </c>
      <c r="ES67" s="32">
        <f t="shared" si="286"/>
        <v>7666.4695493543868</v>
      </c>
      <c r="ET67" s="32">
        <f t="shared" si="286"/>
        <v>7675.3734978852399</v>
      </c>
      <c r="EU67" s="32">
        <f t="shared" si="286"/>
        <v>8197.3689447434135</v>
      </c>
      <c r="EV67" s="32">
        <f t="shared" si="286"/>
        <v>9118.1806215970191</v>
      </c>
      <c r="EW67" s="32">
        <f t="shared" si="286"/>
        <v>9600.528186204041</v>
      </c>
      <c r="EX67" s="32">
        <f t="shared" si="286"/>
        <v>9818.6852767805758</v>
      </c>
      <c r="EY67" s="32">
        <f t="shared" si="286"/>
        <v>10243.13861195607</v>
      </c>
      <c r="EZ67" s="32">
        <f t="shared" si="286"/>
        <v>9010.1916764968064</v>
      </c>
      <c r="FA67" s="32">
        <f t="shared" si="286"/>
        <v>8106.3438421181863</v>
      </c>
      <c r="FB67" s="32">
        <f t="shared" si="286"/>
        <v>7696.7787400427978</v>
      </c>
      <c r="FC67" s="32">
        <f t="shared" si="286"/>
        <v>8065.8156863933145</v>
      </c>
      <c r="FD67" s="32">
        <f>SUM(1000*(FD63))/FD18</f>
        <v>7905.8037168010796</v>
      </c>
      <c r="FE67" s="32">
        <f>SUM(1000*(FE63))/FE18</f>
        <v>7686.783866984053</v>
      </c>
      <c r="FF67" s="32">
        <f>SUM(1000*(FF63))/FF18</f>
        <v>7874.9914111497674</v>
      </c>
      <c r="FG67" s="32">
        <f>SUM(1000*(FG63))/FG18</f>
        <v>7978.6717450720744</v>
      </c>
      <c r="FH67" s="32">
        <f>SUM(1000*(FH63))/FH18</f>
        <v>8831.4456633988702</v>
      </c>
      <c r="FI67" s="32">
        <f t="shared" ref="FI67:FT67" si="287">SUM(1000*(FI63))/FI18</f>
        <v>9492.0779220779223</v>
      </c>
      <c r="FJ67" s="32">
        <f t="shared" si="287"/>
        <v>10062.975553095139</v>
      </c>
      <c r="FK67" s="32">
        <f t="shared" si="287"/>
        <v>9826.4969012871916</v>
      </c>
      <c r="FL67" s="32">
        <f t="shared" si="287"/>
        <v>8920.4556732564251</v>
      </c>
      <c r="FM67" s="32">
        <f t="shared" si="287"/>
        <v>7777.2451740270972</v>
      </c>
      <c r="FN67" s="32">
        <f t="shared" si="287"/>
        <v>7469.1923119293415</v>
      </c>
      <c r="FO67" s="32">
        <f t="shared" si="287"/>
        <v>7621.0370595435379</v>
      </c>
      <c r="FP67" s="32">
        <f t="shared" si="287"/>
        <v>7173.1372382059981</v>
      </c>
      <c r="FQ67" s="32">
        <f t="shared" si="287"/>
        <v>6948.1804427405204</v>
      </c>
      <c r="FR67" s="32">
        <f t="shared" si="287"/>
        <v>7318.9852576838048</v>
      </c>
      <c r="FS67" s="32">
        <f t="shared" si="287"/>
        <v>7487.8476181071301</v>
      </c>
      <c r="FT67" s="32">
        <f t="shared" si="287"/>
        <v>8382.5389837296952</v>
      </c>
    </row>
    <row r="68" spans="2:176" ht="17.399999999999999" customHeight="1" thickBot="1" x14ac:dyDescent="0.3">
      <c r="B68" s="301"/>
      <c r="C68" s="74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18"/>
      <c r="O68" s="138"/>
      <c r="P68" s="18"/>
      <c r="Q68" s="18"/>
      <c r="U68" s="18"/>
      <c r="V68" s="18"/>
      <c r="W68" s="18"/>
      <c r="X68" s="18"/>
      <c r="Y68" s="18"/>
      <c r="Z68" s="146"/>
      <c r="AA68" s="13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46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20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20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20"/>
      <c r="BW68" s="18"/>
      <c r="BX68" s="18"/>
      <c r="BY68" s="18"/>
      <c r="BZ68" s="18"/>
      <c r="CA68" s="18"/>
      <c r="CB68" s="18"/>
      <c r="CC68" s="69"/>
      <c r="CD68" s="69"/>
      <c r="CE68" s="69"/>
      <c r="CF68" s="69"/>
      <c r="CG68" s="69"/>
      <c r="CH68" s="69"/>
      <c r="CI68" s="88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G68" s="69"/>
      <c r="DH68" s="69"/>
      <c r="DI68" s="69"/>
      <c r="DJ68" s="69"/>
    </row>
    <row r="69" spans="2:176" x14ac:dyDescent="0.25">
      <c r="B69" s="113" t="s">
        <v>67</v>
      </c>
      <c r="C69" s="86"/>
      <c r="D69" s="64"/>
      <c r="E69" s="64"/>
      <c r="F69" s="64"/>
      <c r="G69" s="64"/>
      <c r="H69" s="65"/>
      <c r="I69" s="64"/>
      <c r="J69" s="64"/>
      <c r="K69" s="64"/>
      <c r="L69" s="64"/>
      <c r="M69" s="64"/>
      <c r="N69" s="64"/>
      <c r="O69" s="162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63"/>
      <c r="AA69" s="156"/>
      <c r="AB69" s="64"/>
      <c r="AC69" s="64"/>
      <c r="AD69" s="18"/>
      <c r="AE69" s="18"/>
      <c r="AF69" s="18"/>
      <c r="AG69" s="18"/>
      <c r="AH69" s="18"/>
      <c r="AI69" s="18"/>
      <c r="AJ69" s="18"/>
      <c r="AK69" s="18"/>
      <c r="AL69" s="146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20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20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20"/>
      <c r="BW69" s="18"/>
      <c r="BX69" s="18"/>
      <c r="BY69" s="18"/>
      <c r="BZ69" s="18"/>
      <c r="CA69" s="18"/>
      <c r="CB69" s="18"/>
      <c r="CC69" s="69"/>
      <c r="CD69" s="69"/>
      <c r="CE69" s="69"/>
      <c r="CF69" s="69"/>
      <c r="CG69" s="69"/>
      <c r="CH69" s="69"/>
      <c r="CI69" s="88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8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89"/>
      <c r="DG69" s="69"/>
      <c r="DH69" s="69"/>
      <c r="DI69" s="69"/>
      <c r="DJ69" s="69"/>
    </row>
    <row r="70" spans="2:176" x14ac:dyDescent="0.25">
      <c r="B70" s="114" t="s">
        <v>50</v>
      </c>
      <c r="C70" s="81" t="s">
        <v>60</v>
      </c>
      <c r="D70" s="18"/>
      <c r="E70" s="18"/>
      <c r="F70" s="18"/>
      <c r="G70" s="18"/>
      <c r="H70" s="19"/>
      <c r="I70" s="18"/>
      <c r="J70" s="18"/>
      <c r="K70" s="18"/>
      <c r="L70" s="18"/>
      <c r="M70" s="18"/>
      <c r="N70" s="18"/>
      <c r="O70" s="161"/>
      <c r="P70" s="18"/>
      <c r="Q70" s="18"/>
      <c r="U70" s="18"/>
      <c r="V70" s="18"/>
      <c r="W70" s="18"/>
      <c r="X70" s="18"/>
      <c r="Y70" s="18"/>
      <c r="Z70" s="146"/>
      <c r="AA70" s="13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46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20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20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20"/>
      <c r="BW70" s="18"/>
      <c r="BX70" s="18"/>
      <c r="BY70" s="18"/>
      <c r="BZ70" s="18"/>
      <c r="CA70" s="18"/>
      <c r="CB70" s="18"/>
      <c r="CC70" s="69"/>
      <c r="CD70" s="69"/>
      <c r="CE70" s="69"/>
      <c r="CF70" s="69"/>
      <c r="CG70" s="69"/>
      <c r="CH70" s="69"/>
      <c r="CI70" s="88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8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89"/>
      <c r="DG70" s="69"/>
      <c r="DH70" s="69"/>
      <c r="DI70" s="69"/>
      <c r="DJ70" s="69"/>
    </row>
    <row r="71" spans="2:176" s="68" customFormat="1" x14ac:dyDescent="0.25">
      <c r="B71" s="115" t="s">
        <v>1</v>
      </c>
      <c r="C71" s="88">
        <f>SUM(Oncor!C71,Centerpoint!C71,'AEP Central'!C71,TNMP!C71,'AEP North'!C71)</f>
        <v>973125.16040000017</v>
      </c>
      <c r="D71" s="69">
        <f>SUM(Oncor!D71,Centerpoint!D71,'AEP Central'!D71,TNMP!D71,'AEP North'!D71)</f>
        <v>973125.16040000017</v>
      </c>
      <c r="E71" s="69">
        <f>SUM(Oncor!E71,Centerpoint!E71,'AEP Central'!E71,TNMP!E71,'AEP North'!E71)</f>
        <v>1128905.1374300001</v>
      </c>
      <c r="F71" s="69">
        <f>SUM(Oncor!F71,Centerpoint!F71,'AEP Central'!F71,TNMP!F71,'AEP North'!F71)</f>
        <v>1821259.6008899999</v>
      </c>
      <c r="G71" s="69">
        <f>SUM(Oncor!G71,Centerpoint!G71,'AEP Central'!G71,TNMP!G71,'AEP North'!G71)</f>
        <v>1971075.7980899997</v>
      </c>
      <c r="H71" s="69">
        <f>SUM(Oncor!H71,Centerpoint!H71,'AEP Central'!H71,TNMP!H71,'AEP North'!H71)</f>
        <v>1727644.6971800004</v>
      </c>
      <c r="I71" s="69">
        <f>SUM(Oncor!I71,Centerpoint!I71,'AEP Central'!I71,TNMP!I71,'AEP North'!I71)</f>
        <v>2626893.3558900002</v>
      </c>
      <c r="J71" s="69">
        <f>SUM(Oncor!J71,Centerpoint!J71,'AEP Central'!J71,TNMP!J71,'AEP North'!J71)</f>
        <v>1601747.6540000001</v>
      </c>
      <c r="K71" s="69">
        <f>SUM(Oncor!K71,Centerpoint!K71,'AEP Central'!K71,TNMP!K71,'AEP North'!K71)</f>
        <v>3232822.4310000003</v>
      </c>
      <c r="L71" s="69">
        <f>SUM(Oncor!L71,Centerpoint!L71,'AEP Central'!L71,TNMP!L71,'AEP North'!L71)</f>
        <v>2045511.7289999998</v>
      </c>
      <c r="M71" s="69">
        <f>SUM(Oncor!M71,Centerpoint!M71,'AEP Central'!M71,TNMP!M71,'AEP North'!M71)</f>
        <v>1898994.7289999998</v>
      </c>
      <c r="N71" s="69">
        <f>SUM(Oncor!N71,Centerpoint!N71,'AEP Central'!N71,TNMP!N71,'AEP North'!N71)</f>
        <v>1742827.531</v>
      </c>
      <c r="O71" s="143">
        <f>SUM(Oncor!O71,Centerpoint!O71,'AEP Central'!O71,TNMP!O71,'AEP North'!O71)</f>
        <v>2101666</v>
      </c>
      <c r="P71" s="69">
        <f>SUM(Oncor!P71,Centerpoint!P71,'AEP Central'!P71,TNMP!P71,'AEP North'!P71)</f>
        <v>1819219</v>
      </c>
      <c r="Q71" s="69">
        <f>SUM(Oncor!Q71,Centerpoint!Q71,'AEP Central'!Q71,TNMP!Q71,'AEP North'!Q71)</f>
        <v>1588961</v>
      </c>
      <c r="R71" s="69">
        <f>SUM(Oncor!R71,Centerpoint!R71,'AEP Central'!R71,TNMP!R71,'AEP North'!R71)</f>
        <v>1610955.6880000003</v>
      </c>
      <c r="S71" s="69">
        <f>SUM(Oncor!S71,Centerpoint!S71,'AEP Central'!S71,TNMP!S71,'AEP North'!S71)</f>
        <v>1709708.4090000002</v>
      </c>
      <c r="T71" s="69">
        <f>SUM(Oncor!T71,Centerpoint!T71,'AEP Central'!T71,TNMP!T71,'AEP North'!T71)</f>
        <v>1757263.32</v>
      </c>
      <c r="U71" s="69">
        <f>SUM(Oncor!U71,Centerpoint!U71,'AEP Central'!U71,TNMP!U71,'AEP North'!U71)</f>
        <v>1760416.014</v>
      </c>
      <c r="V71" s="69">
        <f>SUM(Oncor!V71,Centerpoint!V71,'AEP Central'!V71,TNMP!V71,'AEP North'!V71)</f>
        <v>1718605.9469999999</v>
      </c>
      <c r="W71" s="69">
        <f>SUM(Oncor!W71,Centerpoint!W71,'AEP Central'!W71,TNMP!W71,'AEP North'!W71)</f>
        <v>1764943.5889999999</v>
      </c>
      <c r="X71" s="69">
        <f>SUM(Oncor!X71,Centerpoint!X71,'AEP Central'!X71,TNMP!X71,'AEP North'!X71)</f>
        <v>1674680.2999999998</v>
      </c>
      <c r="Y71" s="69">
        <f>SUM(Oncor!Y71,Centerpoint!Y71,'AEP Central'!Y71,TNMP!Y71,'AEP North'!Y71)</f>
        <v>1648179.5899999999</v>
      </c>
      <c r="Z71" s="157">
        <f>SUM(Oncor!Z71,Centerpoint!Z71,'AEP Central'!Z71,TNMP!Z71,'AEP North'!Z71)</f>
        <v>1422126.0899999999</v>
      </c>
      <c r="AA71" s="143">
        <f>SUM(Oncor!AA71,Centerpoint!AA71,'AEP Central'!AA71,TNMP!AA71,'AEP North'!AA71)</f>
        <v>1568392.6199999999</v>
      </c>
      <c r="AB71" s="69">
        <f>SUM(Oncor!AB71,Centerpoint!AB71,'AEP Central'!AB71,TNMP!AB71,'AEP North'!AB71)</f>
        <v>1397009.2999999998</v>
      </c>
      <c r="AC71" s="69">
        <f>SUM(Oncor!AC71,Centerpoint!AC71,'AEP Central'!AC71,TNMP!AC71,'AEP North'!AC71)</f>
        <v>1385299.79</v>
      </c>
      <c r="AD71" s="69">
        <f>SUM(Oncor!AD71,Centerpoint!AD71,'AEP Central'!AD71,TNMP!AD71,'AEP North'!AD71)</f>
        <v>1565065.32</v>
      </c>
      <c r="AE71" s="69">
        <f>SUM(Oncor!AE71,Centerpoint!AE71,'AEP Central'!AE71,TNMP!AE71,'AEP North'!AE71)</f>
        <v>1458634.99</v>
      </c>
      <c r="AF71" s="69">
        <f>SUM(Oncor!AF71,Centerpoint!AF71,'AEP Central'!AF71,TNMP!AF71,'AEP North'!AF71)</f>
        <v>1471451.86</v>
      </c>
      <c r="AG71" s="69">
        <f>SUM(Oncor!AG71,Centerpoint!AG71,'AEP Central'!AG71,TNMP!AG71,'AEP North'!AG71)</f>
        <v>1460192.33</v>
      </c>
      <c r="AH71" s="69">
        <f>SUM(Oncor!AH71,Centerpoint!AH71,'AEP Central'!AH71,TNMP!AH71,'AEP North'!AH71)</f>
        <v>1438236.59</v>
      </c>
      <c r="AI71" s="69">
        <f>SUM(Oncor!AI71,Centerpoint!AI71,'AEP Central'!AI71,TNMP!AI71,'AEP North'!AI71)</f>
        <v>1380560.87</v>
      </c>
      <c r="AJ71" s="69">
        <f>SUM(Oncor!AJ71,Centerpoint!AJ71,'AEP Central'!AJ71,TNMP!AJ71,'AEP North'!AJ71)</f>
        <v>1378845.371</v>
      </c>
      <c r="AK71" s="69">
        <f>SUM(Oncor!AK71,Centerpoint!AK71,'AEP Central'!AK71,TNMP!AK71,'AEP North'!AK71)</f>
        <v>1328663.1410000001</v>
      </c>
      <c r="AL71" s="157">
        <f>SUM(Oncor!AL71,Centerpoint!AL71,'AEP Central'!AL71,TNMP!AL71,'AEP North'!AL71)</f>
        <v>1214132.0190000001</v>
      </c>
      <c r="AM71" s="69">
        <f>SUM(Oncor!AM71,Centerpoint!AM71,'AEP Central'!AM71,TNMP!AM71,'AEP North'!AM71)</f>
        <v>1272138.6400000001</v>
      </c>
      <c r="AN71" s="69">
        <f>SUM(Oncor!AN71,Centerpoint!AN71,'AEP Central'!AN71,TNMP!AN71,'AEP North'!AN71)</f>
        <v>1260911.6600000001</v>
      </c>
      <c r="AO71" s="69">
        <f>SUM(Oncor!AO71,Centerpoint!AO71,'AEP Central'!AO71,TNMP!AO71,'AEP North'!AO71)</f>
        <v>1146621.1200000001</v>
      </c>
      <c r="AP71" s="69">
        <f>SUM(Oncor!AP71,Centerpoint!AP71,'AEP Central'!AP71,TNMP!AP71,'AEP North'!AP71)</f>
        <v>1268565.93</v>
      </c>
      <c r="AQ71" s="69">
        <f>SUM(Oncor!AQ71,Centerpoint!AQ71,'AEP Central'!AQ71,TNMP!AQ71,'AEP North'!AQ71)</f>
        <v>1259596.94</v>
      </c>
      <c r="AR71" s="69">
        <f>SUM(Oncor!AR71,Centerpoint!AR71,'AEP Central'!AR71,TNMP!AR71,'AEP North'!AR71)</f>
        <v>1165862.95</v>
      </c>
      <c r="AS71" s="69">
        <f>SUM(Oncor!AS71,Centerpoint!AS71,'AEP Central'!AS71,TNMP!AS71,'AEP North'!AS71)</f>
        <v>1197207.83</v>
      </c>
      <c r="AT71" s="69">
        <f>SUM(Oncor!AT71,Centerpoint!AT71,'AEP Central'!AT71,TNMP!AT71,'AEP North'!AT71)</f>
        <v>1221733.04</v>
      </c>
      <c r="AU71" s="69">
        <f>SUM(Oncor!AU71,Centerpoint!AU71,'AEP Central'!AU71,TNMP!AU71,'AEP North'!AU71)</f>
        <v>1230434.1100000001</v>
      </c>
      <c r="AV71" s="69">
        <f>SUM(Oncor!AV71,Centerpoint!AV71,'AEP Central'!AV71,TNMP!AV71,'AEP North'!AV71)</f>
        <v>1072125.5599999998</v>
      </c>
      <c r="AW71" s="69">
        <f>SUM(Oncor!AW71,Centerpoint!AW71,'AEP Central'!AW71,TNMP!AW71,'AEP North'!AW71)</f>
        <v>1102278.9099999999</v>
      </c>
      <c r="AX71" s="89">
        <f>SUM(Oncor!AX71,Centerpoint!AX71,'AEP Central'!AX71,TNMP!AX71,'AEP North'!AX71)</f>
        <v>1050645.77</v>
      </c>
      <c r="AY71" s="69">
        <f>SUM(Oncor!AY71,Centerpoint!AY71,'AEP Central'!AY71,TNMP!AY71,'AEP North'!AY71)</f>
        <v>1115248.8799999999</v>
      </c>
      <c r="AZ71" s="69">
        <f>SUM(Oncor!AZ71,Centerpoint!AZ71,'AEP Central'!AZ71,TNMP!AZ71,'AEP North'!AZ71)</f>
        <v>1205874.0900000001</v>
      </c>
      <c r="BA71" s="69">
        <f>SUM(Oncor!BA71,Centerpoint!BA71,'AEP Central'!BA71,TNMP!BA71,'AEP North'!BA71)</f>
        <v>1080205.71</v>
      </c>
      <c r="BB71" s="69">
        <f>SUM(Oncor!BB71,Centerpoint!BB71,'AEP Central'!BB71,TNMP!BB71,'AEP North'!BB71)</f>
        <v>1169039.31</v>
      </c>
      <c r="BC71" s="69">
        <f>SUM(Oncor!BC71,Centerpoint!BC71,'AEP Central'!BC71,TNMP!BC71,'AEP North'!BC71)</f>
        <v>1086106.71</v>
      </c>
      <c r="BD71" s="69">
        <f>SUM(Oncor!BD71,Centerpoint!BD71,'AEP Central'!BD71,TNMP!BD71,'AEP North'!BD71)</f>
        <v>1189744.0299999998</v>
      </c>
      <c r="BE71" s="69">
        <f>SUM(Oncor!BE71,Centerpoint!BE71,'AEP Central'!BE71,TNMP!BE71,'AEP North'!BE71)</f>
        <v>1285287.03</v>
      </c>
      <c r="BF71" s="69">
        <f>SUM(Oncor!BF71,Centerpoint!BF71,'AEP Central'!BF71,TNMP!BF71,'AEP North'!BF71)</f>
        <v>1205264.7799999998</v>
      </c>
      <c r="BG71" s="69">
        <f>SUM(Oncor!BG71,Centerpoint!BG71,'AEP Central'!BG71,TNMP!BG71,'AEP North'!BG71)</f>
        <v>1280534.27</v>
      </c>
      <c r="BH71" s="69">
        <f>SUM(Oncor!BH71,Centerpoint!BH71,'AEP Central'!BH71,TNMP!BH71,'AEP North'!BH71)</f>
        <v>1207253.6400000001</v>
      </c>
      <c r="BI71" s="69">
        <f>SUM(Oncor!BI71,Centerpoint!BI71,'AEP Central'!BI71,TNMP!BI71,'AEP North'!BI71)</f>
        <v>1199786.1000000001</v>
      </c>
      <c r="BJ71" s="89">
        <f>SUM(Oncor!BJ71,Centerpoint!BJ71,'AEP Central'!BJ71,TNMP!BJ71,'AEP North'!BJ71)</f>
        <v>1141742.3799999999</v>
      </c>
      <c r="BK71" s="69">
        <f>SUM(Oncor!BK71,Centerpoint!BK71,'AEP Central'!BK71,TNMP!BK71,'AEP North'!BK71)</f>
        <v>1172622.53</v>
      </c>
      <c r="BL71" s="69">
        <f>SUM(Oncor!BL71,Centerpoint!BL71,'AEP Central'!BL71,TNMP!BL71,'AEP North'!BL71)</f>
        <v>1145671.3899999999</v>
      </c>
      <c r="BM71" s="69">
        <f>SUM(Oncor!BM71,Centerpoint!BM71,'AEP Central'!BM71,TNMP!BM71,'AEP North'!BM71)</f>
        <v>1076624.9000000001</v>
      </c>
      <c r="BN71" s="69">
        <f>SUM(Oncor!BN71,Centerpoint!BN71,'AEP Central'!BN71,TNMP!BN71,'AEP North'!BN71)</f>
        <v>1249989.797</v>
      </c>
      <c r="BO71" s="69">
        <f>SUM(Oncor!BO71,Centerpoint!BO71,'AEP Central'!BO71,TNMP!BO71,'AEP North'!BO71)</f>
        <v>1140907.27</v>
      </c>
      <c r="BP71" s="69">
        <f>SUM(Oncor!BP71,Centerpoint!BP71,'AEP Central'!BP71,TNMP!BP71,'AEP North'!BP71)</f>
        <v>1326554.351</v>
      </c>
      <c r="BQ71" s="69">
        <f>SUM(Oncor!BQ71,Centerpoint!BQ71,'AEP Central'!BQ71,TNMP!BQ71,'AEP North'!BQ71)</f>
        <v>1311298.25</v>
      </c>
      <c r="BR71" s="69">
        <f>SUM(Oncor!BR71,Centerpoint!BR71,'AEP Central'!BR71,TNMP!BR71,'AEP North'!BR71)</f>
        <v>1282196.76</v>
      </c>
      <c r="BS71" s="69">
        <f>SUM(Oncor!BS71,Centerpoint!BS71,'AEP Central'!BS71,TNMP!BS71,'AEP North'!BS71)</f>
        <v>1335239.3</v>
      </c>
      <c r="BT71" s="69">
        <f>SUM(Oncor!BT71,Centerpoint!BT71,'AEP Central'!BT71,TNMP!BT71,'AEP North'!BT71)</f>
        <v>1277173.0699999998</v>
      </c>
      <c r="BU71" s="69">
        <f>SUM(Oncor!BU71,Centerpoint!BU71,'AEP Central'!BU71,TNMP!BU71,'AEP North'!BU71)</f>
        <v>1242288.8399999999</v>
      </c>
      <c r="BV71" s="89">
        <f>SUM(Oncor!BV71,Centerpoint!BV71,'AEP Central'!BV71,TNMP!BV71,'AEP North'!BV71)</f>
        <v>1280712.99</v>
      </c>
      <c r="BW71" s="69">
        <f>SUM(Oncor!BW71,Centerpoint!BW71,'AEP Central'!BW71,TNMP!BW71,'AEP North'!BW71)</f>
        <v>1206647.71</v>
      </c>
      <c r="BX71" s="69">
        <f>SUM(Oncor!BX71,Centerpoint!BX71,'AEP Central'!BX71,TNMP!BX71,'AEP North'!BX71)</f>
        <v>1281343.72</v>
      </c>
      <c r="BY71" s="69">
        <f>SUM(Oncor!BY71,Centerpoint!BY71,'AEP Central'!BY71,TNMP!BY71,'AEP North'!BY71)</f>
        <v>1293153.5999999999</v>
      </c>
      <c r="BZ71" s="69">
        <f>SUM(Oncor!BZ71,Centerpoint!BZ71,'AEP Central'!BZ71,TNMP!BZ71,'AEP North'!BZ71)</f>
        <v>1268511.6100000001</v>
      </c>
      <c r="CA71" s="69">
        <f>SUM(Oncor!CA71,Centerpoint!CA71,'AEP Central'!CA71,TNMP!CA71,'AEP North'!CA71)</f>
        <v>1231767.9300000002</v>
      </c>
      <c r="CB71" s="69">
        <f>SUM(Oncor!CB71,Centerpoint!CB71,'AEP Central'!CB71,TNMP!CB71,'AEP North'!CB71)</f>
        <v>1713545.567</v>
      </c>
      <c r="CC71" s="69">
        <f>SUM(Oncor!CC71,Centerpoint!CC71,'AEP Central'!CC71,TNMP!CC71,'AEP North'!CC71)</f>
        <v>1343924.1780000001</v>
      </c>
      <c r="CD71" s="69">
        <f>SUM(Oncor!CD71,Centerpoint!CD71,'AEP Central'!CD71,TNMP!CD71,'AEP North'!CD71)</f>
        <v>1301879.7629999998</v>
      </c>
      <c r="CE71" s="69">
        <f>SUM(Oncor!CE71,Centerpoint!CE71,'AEP Central'!CE71,TNMP!CE71,'AEP North'!CE71)</f>
        <v>1275655.5090000001</v>
      </c>
      <c r="CF71" s="69">
        <f>SUM(Oncor!CF71,Centerpoint!CF71,'AEP Central'!CF71,TNMP!CF71,'AEP North'!CF71)</f>
        <v>939268.92</v>
      </c>
      <c r="CG71" s="69">
        <f>SUM(Oncor!CG71,Centerpoint!CG71,'AEP Central'!CG71,TNMP!CG71,'AEP North'!CG71)</f>
        <v>1036675.75</v>
      </c>
      <c r="CH71" s="69">
        <f>SUM(Oncor!CH71,Centerpoint!CH71,'AEP Central'!CH71,TNMP!CH71,'AEP North'!CH71)</f>
        <v>888448.77</v>
      </c>
      <c r="CI71" s="88">
        <f>SUM(Oncor!CI71,Centerpoint!CI71,'AEP Central'!CI71,TNMP!CI71,'AEP North'!CI71)</f>
        <v>954256.74000000011</v>
      </c>
      <c r="CJ71" s="69">
        <f>SUM(Oncor!CJ71,Centerpoint!CJ71,'AEP Central'!CJ71,TNMP!CJ71,'AEP North'!CJ71)</f>
        <v>946216.94</v>
      </c>
      <c r="CK71" s="69">
        <f>SUM(Oncor!CK71,Centerpoint!CK71,'AEP Central'!CK71,TNMP!CK71,'AEP North'!CK71)</f>
        <v>918809.36</v>
      </c>
      <c r="CL71" s="69">
        <f>SUM(Oncor!CL71,Centerpoint!CL71,'AEP Central'!CL71,TNMP!CL71,'AEP North'!CL71)</f>
        <v>942447.22</v>
      </c>
      <c r="CM71" s="69">
        <f>SUM(Oncor!CM71,Centerpoint!CM71,'AEP Central'!CM71,TNMP!CM71,'AEP North'!CM71)</f>
        <v>996206.97</v>
      </c>
      <c r="CN71" s="69">
        <f>SUM(Oncor!CN71,Centerpoint!CN71,'AEP Central'!CN71,TNMP!CN71,'AEP North'!CN71)</f>
        <v>1095475.73</v>
      </c>
      <c r="CO71" s="69">
        <f>SUM(Oncor!CO71,Centerpoint!CO71,'AEP Central'!CO71,TNMP!CO71,'AEP North'!CO71)</f>
        <v>1062986.21</v>
      </c>
      <c r="CP71" s="69">
        <f>SUM(Oncor!CP71,Centerpoint!CP71,'AEP Central'!CP71,TNMP!CP71,'AEP North'!CP71)</f>
        <v>1130631.6900000002</v>
      </c>
      <c r="CQ71" s="69">
        <f>SUM(Oncor!CQ71,Centerpoint!CQ71,'AEP Central'!CQ71,TNMP!CQ71,'AEP North'!CQ71)</f>
        <v>1080682.6599999999</v>
      </c>
      <c r="CR71" s="69">
        <f>SUM(Oncor!CR71,Centerpoint!CR71,'AEP Central'!CR71,TNMP!CR71,'AEP North'!CR71)</f>
        <v>995327.83000000007</v>
      </c>
      <c r="CS71" s="69">
        <f>SUM(Oncor!CS71,Centerpoint!CS71,'AEP Central'!CS71,TNMP!CS71,'AEP North'!CS71)</f>
        <v>977734.5199999999</v>
      </c>
      <c r="CT71" s="89">
        <f>SUM(Oncor!CT71,Centerpoint!CT71,'AEP Central'!CT71,TNMP!CT71,'AEP North'!CT71)</f>
        <v>922041.47999999986</v>
      </c>
      <c r="CU71" s="69">
        <f>SUM(Oncor!CU71,Centerpoint!CU71,'AEP Central'!CU71,TNMP!CU71,'AEP North'!CU71)</f>
        <v>971214.27800000005</v>
      </c>
      <c r="CV71" s="69">
        <f>SUM(Oncor!CV71,Centerpoint!CV71,'AEP Central'!CV71,TNMP!CV71,'AEP North'!CV71)</f>
        <v>875046.78500000003</v>
      </c>
      <c r="CW71" s="69">
        <f>SUM(Oncor!CW71,Centerpoint!CW71,'AEP Central'!CW71,TNMP!CW71,'AEP North'!CW71)</f>
        <v>857501.27599999995</v>
      </c>
      <c r="CX71" s="69">
        <f>SUM(Oncor!CX71,Centerpoint!CX71,'AEP Central'!CX71,TNMP!CX71,'AEP North'!CX71)</f>
        <v>941700.47000000009</v>
      </c>
      <c r="CY71" s="69">
        <f>SUM(Oncor!CY71,Centerpoint!CY71,'AEP Central'!CY71,TNMP!CY71,'AEP North'!CY71)</f>
        <v>897565.01000000013</v>
      </c>
      <c r="CZ71" s="69">
        <f>SUM(Oncor!CZ71,Centerpoint!CZ71,'AEP Central'!CZ71,TNMP!CZ71,'AEP North'!CZ71)</f>
        <v>953154.75999999989</v>
      </c>
      <c r="DA71" s="69">
        <f>SUM(Oncor!DA71,Centerpoint!DA71,'AEP Central'!DA71,TNMP!DA71,'AEP North'!DA71)</f>
        <v>1007170.05</v>
      </c>
      <c r="DB71" s="69">
        <f>SUM(Oncor!DB71,Centerpoint!DB71,'AEP Central'!DB71,TNMP!DB71,'AEP North'!DB71)</f>
        <v>987606.33</v>
      </c>
      <c r="DC71" s="69">
        <f>SUM(Oncor!DC71,Centerpoint!DC71,'AEP Central'!DC71,TNMP!DC71,'AEP North'!DC71)</f>
        <v>1029736.23</v>
      </c>
      <c r="DD71" s="69">
        <f>SUM(Oncor!DD71,Centerpoint!DD71,'AEP Central'!DD71,TNMP!DD71,'AEP North'!DD71)</f>
        <v>1034119.0200000001</v>
      </c>
      <c r="DE71" s="69">
        <f>SUM(Oncor!DE71,Centerpoint!DE71,'AEP Central'!DE71,TNMP!DE71,'AEP North'!DE71)</f>
        <v>879308.43</v>
      </c>
      <c r="DF71" s="89">
        <f>SUM(Oncor!DF71,Centerpoint!DF71,'AEP Central'!DF71,TNMP!DF71,'AEP North'!DF71)</f>
        <v>858637.23</v>
      </c>
      <c r="DG71" s="69">
        <f>SUM(Oncor!DG71,Centerpoint!DG71,'AEP Central'!DG71,TNMP!DG71,'AEP North'!DG71)</f>
        <v>862467.55999999994</v>
      </c>
      <c r="DH71" s="69">
        <f>SUM(Oncor!DH71,Centerpoint!DH71,'AEP Central'!DH71,TNMP!DH71,'AEP North'!DH71)</f>
        <v>977275.42</v>
      </c>
      <c r="DI71" s="69">
        <f>SUM(Oncor!DI71,Centerpoint!DI71,'AEP Central'!DI71,TNMP!DI71,'AEP North'!DI71)</f>
        <v>859524.04</v>
      </c>
      <c r="DJ71" s="69">
        <f>SUM(Oncor!DJ71,Centerpoint!DJ71,'AEP Central'!DJ71,TNMP!DJ71,'AEP North'!DJ71)</f>
        <v>710891.72999999986</v>
      </c>
      <c r="DK71" s="69">
        <f>SUM(Oncor!DK71,Centerpoint!DK71,'AEP Central'!DK71,TNMP!DK71,'AEP North'!DK71)</f>
        <v>827114.22</v>
      </c>
      <c r="DL71" s="69">
        <f>SUM(Oncor!DL71,Centerpoint!DL71,'AEP Central'!DL71,TNMP!DL71,'AEP North'!DL71)</f>
        <v>865258.95000000007</v>
      </c>
      <c r="DM71" s="69">
        <f>SUM(Oncor!DM71,Centerpoint!DM71,'AEP Central'!DM71,TNMP!DM71,'AEP North'!DM71)</f>
        <v>875229.39</v>
      </c>
      <c r="DN71" s="69">
        <f>SUM(Oncor!DN71,Centerpoint!DN71,'AEP Central'!DN71,TNMP!DN71,'AEP North'!DN71)</f>
        <v>896962.80500000005</v>
      </c>
      <c r="DO71" s="69">
        <f>SUM(Oncor!DO71,Centerpoint!DO71,'AEP Central'!DO71,TNMP!DO71,'AEP North'!DO71)</f>
        <v>897672.10000000009</v>
      </c>
      <c r="DP71" s="69">
        <f>SUM(Oncor!DP71,Centerpoint!DP71,'AEP Central'!DP71,TNMP!DP71,'AEP North'!DP71)</f>
        <v>844474.43</v>
      </c>
      <c r="DQ71" s="69">
        <f>SUM(Oncor!DQ71,Centerpoint!DQ71,'AEP Central'!DQ71,TNMP!DQ71,'AEP North'!DQ71)</f>
        <v>768205.91999999993</v>
      </c>
      <c r="DR71" s="69">
        <f>SUM(Oncor!DR71,Centerpoint!DR71,'AEP Central'!DR71,TNMP!DR71,'AEP North'!DR71)</f>
        <v>772481.38</v>
      </c>
      <c r="DS71" s="69">
        <f>SUM(Oncor!DS71,Centerpoint!DS71,'AEP Central'!DS71,TNMP!DS71,'AEP North'!DS71)</f>
        <v>755030.68</v>
      </c>
      <c r="DT71" s="69">
        <f>SUM(Oncor!DT71,Centerpoint!DT71,'AEP Central'!DT71,TNMP!DT71,'AEP North'!DT71)</f>
        <v>717399.96</v>
      </c>
      <c r="DU71" s="69">
        <f>SUM(Oncor!DU71,Centerpoint!DU71,'AEP Central'!DU71,TNMP!DU71,'AEP North'!DU71)</f>
        <v>701994.34</v>
      </c>
      <c r="DV71" s="69">
        <f>SUM(Oncor!DV71,Centerpoint!DV71,'AEP Central'!DV71,TNMP!DV71,'AEP North'!DV71)</f>
        <v>753819.38</v>
      </c>
      <c r="DW71" s="69">
        <f>SUM(Oncor!DW71,Centerpoint!DW71,'AEP Central'!DW71,TNMP!DW71,'AEP North'!DW71)</f>
        <v>720648.42</v>
      </c>
      <c r="DX71" s="69">
        <f>SUM(Oncor!DX71,Centerpoint!DX71,'AEP Central'!DX71,TNMP!DX71,'AEP North'!DX71)</f>
        <v>797944.08</v>
      </c>
      <c r="DY71" s="69">
        <f>SUM(Oncor!DY71,Centerpoint!DY71,'AEP Central'!DY71,TNMP!DY71,'AEP North'!DY71)</f>
        <v>809667.27</v>
      </c>
      <c r="DZ71" s="69">
        <f>SUM(Oncor!DZ71,Centerpoint!DZ71,'AEP Central'!DZ71,TNMP!DZ71,'AEP North'!DZ71)</f>
        <v>778958.44600000011</v>
      </c>
      <c r="EA71" s="69">
        <f>SUM(Oncor!EA71,Centerpoint!EA71,'AEP Central'!EA71,TNMP!EA71,'AEP North'!EA71)</f>
        <v>801016.8</v>
      </c>
      <c r="EB71" s="69">
        <f>SUM(Oncor!EB71,Centerpoint!EB71,'AEP Central'!EB71,TNMP!EB71,'AEP North'!EB71)</f>
        <v>761056.48</v>
      </c>
      <c r="EC71" s="69">
        <f>SUM(Oncor!EC71,Centerpoint!EC71,'AEP Central'!EC71,TNMP!EC71,'AEP North'!EC71)</f>
        <v>731042.86999999988</v>
      </c>
      <c r="ED71" s="69">
        <f>SUM(Oncor!ED71,Centerpoint!ED71,'AEP Central'!ED71,TNMP!ED71,'AEP North'!ED71)</f>
        <v>724398.57000000007</v>
      </c>
      <c r="EE71" s="69">
        <f>SUM(Oncor!EE71,Centerpoint!EE71,'AEP Central'!EE71,TNMP!EE71,'AEP North'!EE71)</f>
        <v>678124.02</v>
      </c>
      <c r="EF71" s="69">
        <f>SUM(Oncor!EF71,Centerpoint!EF71,'AEP Central'!EF71,TNMP!EF71,'AEP North'!EF71)</f>
        <v>643141.17999999993</v>
      </c>
      <c r="EG71" s="69">
        <f>SUM(Oncor!EG71,Centerpoint!EG71,'AEP Central'!EG71,TNMP!EG71,'AEP North'!EG71)</f>
        <v>598775.68999999994</v>
      </c>
      <c r="EH71" s="69">
        <f>SUM(Oncor!EH71,Centerpoint!EH71,'AEP Central'!EH71,TNMP!EH71,'AEP North'!EH71)</f>
        <v>675602.57</v>
      </c>
      <c r="EI71" s="69">
        <f>SUM(Oncor!EI71,Centerpoint!EI71,'AEP Central'!EI71,TNMP!EI71,'AEP North'!EI71)</f>
        <v>685821.6100000001</v>
      </c>
      <c r="EJ71" s="69">
        <f>SUM(Oncor!EJ71,Centerpoint!EJ71,'AEP Central'!EJ71,TNMP!EJ71,'AEP North'!EJ71)</f>
        <v>668124.80000000005</v>
      </c>
      <c r="EK71" s="69">
        <f>SUM(Oncor!EK71,Centerpoint!EK71,'AEP Central'!EK71,TNMP!EK71,'AEP North'!EK71)</f>
        <v>653401.07999999996</v>
      </c>
      <c r="EL71" s="69">
        <f>SUM(Oncor!EL71,Centerpoint!EL71,'AEP Central'!EL71,TNMP!EL71,'AEP North'!EL71)</f>
        <v>682349.1</v>
      </c>
      <c r="EM71" s="69">
        <f>SUM(Oncor!EM71,Centerpoint!EM71,'AEP Central'!EM71,TNMP!EM71,'AEP North'!EM71)</f>
        <v>721469.91999999993</v>
      </c>
      <c r="EN71" s="69">
        <f>SUM(Oncor!EN71,Centerpoint!EN71,'AEP Central'!EN71,TNMP!EN71,'AEP North'!EN71)</f>
        <v>700062.74</v>
      </c>
      <c r="EO71" s="69">
        <f>SUM(Oncor!EO71,Centerpoint!EO71,'AEP Central'!EO71,TNMP!EO71,'AEP North'!EO71)</f>
        <v>693614.26</v>
      </c>
      <c r="EP71" s="69">
        <f>SUM(Oncor!EP71,Centerpoint!EP71,'AEP Central'!EP71,TNMP!EP71,'AEP North'!EP71)</f>
        <v>655832.94999999995</v>
      </c>
      <c r="EQ71" s="69">
        <f>SUM(Oncor!EQ71,Centerpoint!EQ71,'AEP Central'!EQ71,TNMP!EQ71,'AEP North'!EQ71)</f>
        <v>622466.01</v>
      </c>
      <c r="ER71" s="69">
        <f>SUM(Oncor!ER71,Centerpoint!ER71,'AEP Central'!ER71,TNMP!ER71,'AEP North'!ER71)</f>
        <v>643041.79</v>
      </c>
      <c r="ES71" s="69">
        <f>SUM(Oncor!ES71,Centerpoint!ES71,'AEP Central'!ES71,TNMP!ES71,'AEP North'!ES71)</f>
        <v>634777.4</v>
      </c>
      <c r="ET71" s="69">
        <f>SUM(Oncor!ET71,Centerpoint!ET71,'AEP Central'!ET71,TNMP!ET71,'AEP North'!ET71)</f>
        <v>664967.41999999993</v>
      </c>
      <c r="EU71" s="69">
        <f>SUM(Oncor!EU71,Centerpoint!EU71,'AEP Central'!EU71,TNMP!EU71,'AEP North'!EU71)</f>
        <v>699046.89</v>
      </c>
      <c r="EV71" s="69">
        <f>SUM(Oncor!EV71,Centerpoint!EV71,'AEP Central'!EV71,TNMP!EV71,'AEP North'!EV71)</f>
        <v>740058.6</v>
      </c>
      <c r="EW71" s="69">
        <f>SUM(Oncor!EW71,Centerpoint!EW71,'AEP Central'!EW71,TNMP!EW71,'AEP North'!EW71)</f>
        <v>681747.78</v>
      </c>
      <c r="EX71" s="69">
        <f>SUM(Oncor!EX71,Centerpoint!EX71,'AEP Central'!EX71,TNMP!EX71,'AEP North'!EX71)</f>
        <v>684836.01</v>
      </c>
      <c r="EY71" s="69">
        <f>SUM(Oncor!EY71,Centerpoint!EY71,'AEP Central'!EY71,TNMP!EY71,'AEP North'!EY71)</f>
        <v>677985.67</v>
      </c>
      <c r="EZ71" s="69">
        <f>SUM(Oncor!EZ71,Centerpoint!EZ71,'AEP Central'!EZ71,TNMP!EZ71,'AEP North'!EZ71)</f>
        <v>634023.88</v>
      </c>
      <c r="FA71" s="69">
        <f>SUM(Oncor!FA71,Centerpoint!FA71,'AEP Central'!FA71,TNMP!FA71,'AEP North'!FA71)</f>
        <v>659665.21</v>
      </c>
      <c r="FB71" s="69">
        <f>SUM(Oncor!FB71,Centerpoint!FB71,'AEP Central'!FB71,TNMP!FB71,'AEP North'!FB71)</f>
        <v>595562.26</v>
      </c>
      <c r="FC71" s="69">
        <f>SUM(Oncor!FC71,Centerpoint!FC71,'AEP Central'!FC71,TNMP!FC71,'AEP North'!FC71)</f>
        <v>610963.87</v>
      </c>
      <c r="FD71" s="69">
        <f>SUM(Oncor!FD71,Centerpoint!FD71,'AEP Central'!FD71,TNMP!FD71,'AEP North'!FD71)</f>
        <v>632135.19999999995</v>
      </c>
      <c r="FE71" s="69">
        <f>SUM(Oncor!FE71,Centerpoint!FE71,'AEP Central'!FE71,TNMP!FE71,'AEP North'!FE71)</f>
        <v>657440.32000000007</v>
      </c>
      <c r="FF71" s="69">
        <f>SUM(Oncor!FF71,Centerpoint!FF71,'AEP Central'!FF71,TNMP!FF71,'AEP North'!FF71)</f>
        <v>635242</v>
      </c>
      <c r="FG71" s="69">
        <f>SUM(Oncor!FG71,Centerpoint!FG71,'AEP Central'!FG71,TNMP!FG71,'AEP North'!FG71)</f>
        <v>652560.84</v>
      </c>
      <c r="FH71" s="69">
        <f>SUM(Oncor!FH71,Centerpoint!FH71,'AEP Central'!FH71,TNMP!FH71,'AEP North'!FH71)</f>
        <v>687504.55</v>
      </c>
      <c r="FI71" s="69">
        <f>SUM(Oncor!FI71,Centerpoint!FI71,'AEP Central'!FI71,TNMP!FI71,'AEP North'!FI71)</f>
        <v>685399.64</v>
      </c>
      <c r="FJ71" s="69">
        <f>SUM(Oncor!FJ71,Centerpoint!FJ71,'AEP Central'!FJ71,TNMP!FJ71,'AEP North'!FJ71)</f>
        <v>723503.24</v>
      </c>
      <c r="FK71" s="69">
        <f>SUM(Oncor!FK71,Centerpoint!FK71,'AEP Central'!FK71,TNMP!FK71,'AEP North'!FK71)</f>
        <v>709546.6</v>
      </c>
      <c r="FL71" s="69">
        <f>SUM(Oncor!FL71,Centerpoint!FL71,'AEP Central'!FL71,TNMP!FL71,'AEP North'!FL71,'[1]Sharyland Utilities LP '!FL71,'Sharyland Utilities LP McAllen'!FL71)</f>
        <v>681580.81</v>
      </c>
      <c r="FM71" s="69">
        <f>SUM(Oncor!FM71,Centerpoint!FM71,'AEP Central'!FM71,TNMP!FM71,'AEP North'!FM71,'[1]Sharyland Utilities LP '!FM71,'Sharyland Utilities LP McAllen'!FM71)</f>
        <v>661834.65</v>
      </c>
      <c r="FN71" s="69">
        <f>SUM(Oncor!FN71,Centerpoint!FN71,'AEP Central'!FN71,TNMP!FN71,'AEP North'!FN71,'[1]Sharyland Utilities LP '!FN71,'Sharyland Utilities LP McAllen'!FN71)</f>
        <v>643867.21200000006</v>
      </c>
      <c r="FO71" s="69">
        <f>SUM(Oncor!FO71,Centerpoint!FO71,'AEP Central'!FO71,TNMP!FO71,'AEP North'!FO71,'[1]Sharyland Utilities LP '!FO71,'Sharyland Utilities LP McAllen'!FO71)</f>
        <v>655710.02</v>
      </c>
      <c r="FP71" s="69">
        <f>SUM(Oncor!FP71,Centerpoint!FP71,'AEP Central'!FP71,TNMP!FP71,'AEP North'!FP71,'[1]Sharyland Utilities LP '!FP71,'Sharyland Utilities LP McAllen'!FP71)</f>
        <v>602967.53</v>
      </c>
      <c r="FQ71" s="69">
        <f>SUM(Oncor!FQ71,Centerpoint!FQ71,'AEP Central'!FQ71,TNMP!FQ71,'AEP North'!FQ71,'[1]Sharyland Utilities LP '!FQ71,'Sharyland Utilities LP McAllen'!FQ71)</f>
        <v>612270.80000000005</v>
      </c>
      <c r="FR71" s="69">
        <f>SUM(Oncor!FR71,Centerpoint!FR71,'AEP Central'!FR71,TNMP!FR71,'AEP North'!FR71,'[1]Sharyland Utilities LP '!FR71,'Sharyland Utilities LP McAllen'!FR71)</f>
        <v>635465.58000000007</v>
      </c>
      <c r="FS71" s="69">
        <f>SUM(Oncor!FS71,Centerpoint!FS71,'AEP Central'!FS71,TNMP!FS71,'AEP North'!FS71,'[1]Sharyland Utilities LP '!FS71,'Sharyland Utilities LP McAllen'!FS71)</f>
        <v>637174.67999999993</v>
      </c>
      <c r="FT71" s="69">
        <f>SUM(Oncor!FT71,Centerpoint!FT71,'AEP Central'!FT71,TNMP!FT71,'AEP North'!FT71,'[1]Sharyland Utilities LP '!FT71,'Sharyland Utilities LP McAllen'!FT71)</f>
        <v>792492.97</v>
      </c>
    </row>
    <row r="72" spans="2:176" s="68" customFormat="1" ht="13.8" thickBot="1" x14ac:dyDescent="0.3">
      <c r="B72" s="116" t="s">
        <v>8</v>
      </c>
      <c r="C72" s="91">
        <f>SUM(Oncor!C72,Centerpoint!C72,'AEP Central'!C72,TNMP!C72,'AEP North'!C72)</f>
        <v>62670.746999999988</v>
      </c>
      <c r="D72" s="92">
        <f>SUM(Oncor!D72,Centerpoint!D72,'AEP Central'!D72,TNMP!D72,'AEP North'!D72)</f>
        <v>703076.43599999987</v>
      </c>
      <c r="E72" s="92">
        <f>SUM(Oncor!E72,Centerpoint!E72,'AEP Central'!E72,TNMP!E72,'AEP North'!E72)</f>
        <v>1648890.3315399997</v>
      </c>
      <c r="F72" s="92">
        <f>SUM(Oncor!F72,Centerpoint!F72,'AEP Central'!F72,TNMP!F72,'AEP North'!F72)</f>
        <v>1408139.7861199998</v>
      </c>
      <c r="G72" s="92">
        <f>SUM(Oncor!G72,Centerpoint!G72,'AEP Central'!G72,TNMP!G72,'AEP North'!G72)</f>
        <v>1468558.6190799999</v>
      </c>
      <c r="H72" s="92">
        <f>SUM(Oncor!H72,Centerpoint!H72,'AEP Central'!H72,TNMP!H72,'AEP North'!H72)</f>
        <v>2056014.868</v>
      </c>
      <c r="I72" s="92">
        <f>SUM(Oncor!I72,Centerpoint!I72,'AEP Central'!I72,TNMP!I72,'AEP North'!I72)</f>
        <v>3343789.227</v>
      </c>
      <c r="J72" s="92">
        <f>SUM(Oncor!J72,Centerpoint!J72,'AEP Central'!J72,TNMP!J72,'AEP North'!J72)</f>
        <v>1729292.1920000003</v>
      </c>
      <c r="K72" s="92">
        <f>SUM(Oncor!K72,Centerpoint!K72,'AEP Central'!K72,TNMP!K72,'AEP North'!K72)</f>
        <v>2847967.1830000002</v>
      </c>
      <c r="L72" s="92">
        <f>SUM(Oncor!L72,Centerpoint!L72,'AEP Central'!L72,TNMP!L72,'AEP North'!L72)</f>
        <v>2542095.6933999998</v>
      </c>
      <c r="M72" s="92">
        <f>SUM(Oncor!M72,Centerpoint!M72,'AEP Central'!M72,TNMP!M72,'AEP North'!M72)</f>
        <v>2948083.9610000001</v>
      </c>
      <c r="N72" s="92">
        <f>SUM(Oncor!N72,Centerpoint!N72,'AEP Central'!N72,TNMP!N72,'AEP North'!N72)</f>
        <v>2089165.3310000002</v>
      </c>
      <c r="O72" s="144">
        <f>SUM(Oncor!O72,Centerpoint!O72,'AEP Central'!O72,TNMP!O72,'AEP North'!O72)</f>
        <v>2016153</v>
      </c>
      <c r="P72" s="92">
        <f>SUM(Oncor!P72,Centerpoint!P72,'AEP Central'!P72,TNMP!P72,'AEP North'!P72)</f>
        <v>2018583</v>
      </c>
      <c r="Q72" s="92">
        <f>SUM(Oncor!Q72,Centerpoint!Q72,'AEP Central'!Q72,TNMP!Q72,'AEP North'!Q72)</f>
        <v>1911636</v>
      </c>
      <c r="R72" s="92">
        <f>SUM(Oncor!R72,Centerpoint!R72,'AEP Central'!R72,TNMP!R72,'AEP North'!R72)</f>
        <v>2176481.2410000004</v>
      </c>
      <c r="S72" s="92">
        <f>SUM(Oncor!S72,Centerpoint!S72,'AEP Central'!S72,TNMP!S72,'AEP North'!S72)</f>
        <v>2519986.6980000003</v>
      </c>
      <c r="T72" s="92">
        <f>SUM(Oncor!T72,Centerpoint!T72,'AEP Central'!T72,TNMP!T72,'AEP North'!T72)</f>
        <v>2507343.5020000003</v>
      </c>
      <c r="U72" s="92">
        <f>SUM(Oncor!U72,Centerpoint!U72,'AEP Central'!U72,TNMP!U72,'AEP North'!U72)</f>
        <v>2456061.8160000001</v>
      </c>
      <c r="V72" s="92">
        <f>SUM(Oncor!V72,Centerpoint!V72,'AEP Central'!V72,TNMP!V72,'AEP North'!V72)</f>
        <v>2550556.3280000002</v>
      </c>
      <c r="W72" s="92">
        <f>SUM(Oncor!W72,Centerpoint!W72,'AEP Central'!W72,TNMP!W72,'AEP North'!W72)</f>
        <v>2548634.1870000004</v>
      </c>
      <c r="X72" s="92">
        <f>SUM(Oncor!X72,Centerpoint!X72,'AEP Central'!X72,TNMP!X72,'AEP North'!X72)</f>
        <v>2493431.73</v>
      </c>
      <c r="Y72" s="92">
        <f>SUM(Oncor!Y72,Centerpoint!Y72,'AEP Central'!Y72,TNMP!Y72,'AEP North'!Y72)</f>
        <v>2527741.98</v>
      </c>
      <c r="Z72" s="158">
        <f>SUM(Oncor!Z72,Centerpoint!Z72,'AEP Central'!Z72,TNMP!Z72,'AEP North'!Z72)</f>
        <v>2463559.5700000003</v>
      </c>
      <c r="AA72" s="144">
        <f>SUM(Oncor!AA72,Centerpoint!AA72,'AEP Central'!AA72,TNMP!AA72,'AEP North'!AA72)</f>
        <v>2605561.54</v>
      </c>
      <c r="AB72" s="92">
        <f>SUM(Oncor!AB72,Centerpoint!AB72,'AEP Central'!AB72,TNMP!AB72,'AEP North'!AB72)</f>
        <v>2607057.3400000003</v>
      </c>
      <c r="AC72" s="92">
        <f>SUM(Oncor!AC72,Centerpoint!AC72,'AEP Central'!AC72,TNMP!AC72,'AEP North'!AC72)</f>
        <v>2452616.5300000003</v>
      </c>
      <c r="AD72" s="92">
        <f>SUM(Oncor!AD72,Centerpoint!AD72,'AEP Central'!AD72,TNMP!AD72,'AEP North'!AD72)</f>
        <v>2811587.95</v>
      </c>
      <c r="AE72" s="92">
        <f>SUM(Oncor!AE72,Centerpoint!AE72,'AEP Central'!AE72,TNMP!AE72,'AEP North'!AE72)</f>
        <v>2749033.84</v>
      </c>
      <c r="AF72" s="92">
        <f>SUM(Oncor!AF72,Centerpoint!AF72,'AEP Central'!AF72,TNMP!AF72,'AEP North'!AF72)</f>
        <v>3190449.11</v>
      </c>
      <c r="AG72" s="92">
        <f>SUM(Oncor!AG72,Centerpoint!AG72,'AEP Central'!AG72,TNMP!AG72,'AEP North'!AG72)</f>
        <v>3095301.94</v>
      </c>
      <c r="AH72" s="92">
        <f>SUM(Oncor!AH72,Centerpoint!AH72,'AEP Central'!AH72,TNMP!AH72,'AEP North'!AH72)</f>
        <v>3213344.9</v>
      </c>
      <c r="AI72" s="92">
        <f>SUM(Oncor!AI72,Centerpoint!AI72,'AEP Central'!AI72,TNMP!AI72,'AEP North'!AI72)</f>
        <v>3088129.0500000003</v>
      </c>
      <c r="AJ72" s="92">
        <f>SUM(Oncor!AJ72,Centerpoint!AJ72,'AEP Central'!AJ72,TNMP!AJ72,'AEP North'!AJ72)</f>
        <v>3284916.861</v>
      </c>
      <c r="AK72" s="92">
        <f>SUM(Oncor!AK72,Centerpoint!AK72,'AEP Central'!AK72,TNMP!AK72,'AEP North'!AK72)</f>
        <v>2974588.8509999998</v>
      </c>
      <c r="AL72" s="158">
        <f>SUM(Oncor!AL72,Centerpoint!AL72,'AEP Central'!AL72,TNMP!AL72,'AEP North'!AL72)</f>
        <v>3111226.4540000004</v>
      </c>
      <c r="AM72" s="92">
        <f>SUM(Oncor!AM72,Centerpoint!AM72,'AEP Central'!AM72,TNMP!AM72,'AEP North'!AM72)</f>
        <v>2928707.17</v>
      </c>
      <c r="AN72" s="92">
        <f>SUM(Oncor!AN72,Centerpoint!AN72,'AEP Central'!AN72,TNMP!AN72,'AEP North'!AN72)</f>
        <v>2788702.38</v>
      </c>
      <c r="AO72" s="92">
        <f>SUM(Oncor!AO72,Centerpoint!AO72,'AEP Central'!AO72,TNMP!AO72,'AEP North'!AO72)</f>
        <v>3157519.72</v>
      </c>
      <c r="AP72" s="92">
        <f>SUM(Oncor!AP72,Centerpoint!AP72,'AEP Central'!AP72,TNMP!AP72,'AEP North'!AP72)</f>
        <v>3044661.53</v>
      </c>
      <c r="AQ72" s="92">
        <f>SUM(Oncor!AQ72,Centerpoint!AQ72,'AEP Central'!AQ72,TNMP!AQ72,'AEP North'!AQ72)</f>
        <v>2922659.7199999997</v>
      </c>
      <c r="AR72" s="92">
        <f>SUM(Oncor!AR72,Centerpoint!AR72,'AEP Central'!AR72,TNMP!AR72,'AEP North'!AR72)</f>
        <v>3292707.0200000005</v>
      </c>
      <c r="AS72" s="92">
        <f>SUM(Oncor!AS72,Centerpoint!AS72,'AEP Central'!AS72,TNMP!AS72,'AEP North'!AS72)</f>
        <v>3190049.6599999997</v>
      </c>
      <c r="AT72" s="92">
        <f>SUM(Oncor!AT72,Centerpoint!AT72,'AEP Central'!AT72,TNMP!AT72,'AEP North'!AT72)</f>
        <v>3326135.55</v>
      </c>
      <c r="AU72" s="92">
        <f>SUM(Oncor!AU72,Centerpoint!AU72,'AEP Central'!AU72,TNMP!AU72,'AEP North'!AU72)</f>
        <v>3381890.06</v>
      </c>
      <c r="AV72" s="92">
        <f>SUM(Oncor!AV72,Centerpoint!AV72,'AEP Central'!AV72,TNMP!AV72,'AEP North'!AV72)</f>
        <v>3140119.55</v>
      </c>
      <c r="AW72" s="92">
        <f>SUM(Oncor!AW72,Centerpoint!AW72,'AEP Central'!AW72,TNMP!AW72,'AEP North'!AW72)</f>
        <v>3122786.7299999995</v>
      </c>
      <c r="AX72" s="93">
        <f>SUM(Oncor!AX72,Centerpoint!AX72,'AEP Central'!AX72,TNMP!AX72,'AEP North'!AX72)</f>
        <v>3167630.59</v>
      </c>
      <c r="AY72" s="92">
        <f>SUM(Oncor!AY72,Centerpoint!AY72,'AEP Central'!AY72,TNMP!AY72,'AEP North'!AY72)</f>
        <v>3032729.72</v>
      </c>
      <c r="AZ72" s="92">
        <f>SUM(Oncor!AZ72,Centerpoint!AZ72,'AEP Central'!AZ72,TNMP!AZ72,'AEP North'!AZ72)</f>
        <v>2883842.96</v>
      </c>
      <c r="BA72" s="92">
        <f>SUM(Oncor!BA72,Centerpoint!BA72,'AEP Central'!BA72,TNMP!BA72,'AEP North'!BA72)</f>
        <v>3354858.53</v>
      </c>
      <c r="BB72" s="92">
        <f>SUM(Oncor!BB72,Centerpoint!BB72,'AEP Central'!BB72,TNMP!BB72,'AEP North'!BB72)</f>
        <v>3406118.39</v>
      </c>
      <c r="BC72" s="92">
        <f>SUM(Oncor!BC72,Centerpoint!BC72,'AEP Central'!BC72,TNMP!BC72,'AEP North'!BC72)</f>
        <v>3479624.28</v>
      </c>
      <c r="BD72" s="92">
        <f>SUM(Oncor!BD72,Centerpoint!BD72,'AEP Central'!BD72,TNMP!BD72,'AEP North'!BD72)</f>
        <v>3627752.83</v>
      </c>
      <c r="BE72" s="92">
        <f>SUM(Oncor!BE72,Centerpoint!BE72,'AEP Central'!BE72,TNMP!BE72,'AEP North'!BE72)</f>
        <v>3573188.17</v>
      </c>
      <c r="BF72" s="92">
        <f>SUM(Oncor!BF72,Centerpoint!BF72,'AEP Central'!BF72,TNMP!BF72,'AEP North'!BF72)</f>
        <v>3481382.85</v>
      </c>
      <c r="BG72" s="92">
        <f>SUM(Oncor!BG72,Centerpoint!BG72,'AEP Central'!BG72,TNMP!BG72,'AEP North'!BG72)</f>
        <v>3539802.8800000004</v>
      </c>
      <c r="BH72" s="92">
        <f>SUM(Oncor!BH72,Centerpoint!BH72,'AEP Central'!BH72,TNMP!BH72,'AEP North'!BH72)</f>
        <v>3533272.9400000004</v>
      </c>
      <c r="BI72" s="92">
        <f>SUM(Oncor!BI72,Centerpoint!BI72,'AEP Central'!BI72,TNMP!BI72,'AEP North'!BI72)</f>
        <v>3218119.21</v>
      </c>
      <c r="BJ72" s="93">
        <f>SUM(Oncor!BJ72,Centerpoint!BJ72,'AEP Central'!BJ72,TNMP!BJ72,'AEP North'!BJ72)</f>
        <v>3056014.8499999996</v>
      </c>
      <c r="BK72" s="92">
        <f>SUM(Oncor!BK72,Centerpoint!BK72,'AEP Central'!BK72,TNMP!BK72,'AEP North'!BK72)</f>
        <v>3020598.03</v>
      </c>
      <c r="BL72" s="92">
        <f>SUM(Oncor!BL72,Centerpoint!BL72,'AEP Central'!BL72,TNMP!BL72,'AEP North'!BL72)</f>
        <v>2999539.41</v>
      </c>
      <c r="BM72" s="92">
        <f>SUM(Oncor!BM72,Centerpoint!BM72,'AEP Central'!BM72,TNMP!BM72,'AEP North'!BM72)</f>
        <v>2914492.29</v>
      </c>
      <c r="BN72" s="92">
        <f>SUM(Oncor!BN72,Centerpoint!BN72,'AEP Central'!BN72,TNMP!BN72,'AEP North'!BN72)</f>
        <v>3327136.2119999998</v>
      </c>
      <c r="BO72" s="92">
        <f>SUM(Oncor!BO72,Centerpoint!BO72,'AEP Central'!BO72,TNMP!BO72,'AEP North'!BO72)</f>
        <v>3367245.9509999999</v>
      </c>
      <c r="BP72" s="92">
        <f>SUM(Oncor!BP72,Centerpoint!BP72,'AEP Central'!BP72,TNMP!BP72,'AEP North'!BP72)</f>
        <v>3603409.159</v>
      </c>
      <c r="BQ72" s="92">
        <f>SUM(Oncor!BQ72,Centerpoint!BQ72,'AEP Central'!BQ72,TNMP!BQ72,'AEP North'!BQ72)</f>
        <v>3570925.3000000003</v>
      </c>
      <c r="BR72" s="92">
        <f>SUM(Oncor!BR72,Centerpoint!BR72,'AEP Central'!BR72,TNMP!BR72,'AEP North'!BR72)</f>
        <v>3431986.36</v>
      </c>
      <c r="BS72" s="92">
        <f>SUM(Oncor!BS72,Centerpoint!BS72,'AEP Central'!BS72,TNMP!BS72,'AEP North'!BS72)</f>
        <v>3443282.32</v>
      </c>
      <c r="BT72" s="92">
        <f>SUM(Oncor!BT72,Centerpoint!BT72,'AEP Central'!BT72,TNMP!BT72,'AEP North'!BT72)</f>
        <v>3384751.5900000003</v>
      </c>
      <c r="BU72" s="92">
        <f>SUM(Oncor!BU72,Centerpoint!BU72,'AEP Central'!BU72,TNMP!BU72,'AEP North'!BU72)</f>
        <v>3402329.27</v>
      </c>
      <c r="BV72" s="93">
        <f>SUM(Oncor!BV72,Centerpoint!BV72,'AEP Central'!BV72,TNMP!BV72,'AEP North'!BV72)</f>
        <v>3405154.52</v>
      </c>
      <c r="BW72" s="92">
        <f>SUM(Oncor!BW72,Centerpoint!BW72,'AEP Central'!BW72,TNMP!BW72,'AEP North'!BW72)</f>
        <v>3168630.67</v>
      </c>
      <c r="BX72" s="92">
        <f>SUM(Oncor!BX72,Centerpoint!BX72,'AEP Central'!BX72,TNMP!BX72,'AEP North'!BX72)</f>
        <v>3044004.9</v>
      </c>
      <c r="BY72" s="92">
        <f>SUM(Oncor!BY72,Centerpoint!BY72,'AEP Central'!BY72,TNMP!BY72,'AEP North'!BY72)</f>
        <v>3153795.15</v>
      </c>
      <c r="BZ72" s="92">
        <f>SUM(Oncor!BZ72,Centerpoint!BZ72,'AEP Central'!BZ72,TNMP!BZ72,'AEP North'!BZ72)</f>
        <v>3387043.19</v>
      </c>
      <c r="CA72" s="92">
        <f>SUM(Oncor!CA72,Centerpoint!CA72,'AEP Central'!CA72,TNMP!CA72,'AEP North'!CA72)</f>
        <v>3337624.84</v>
      </c>
      <c r="CB72" s="92">
        <f>SUM(Oncor!CB72,Centerpoint!CB72,'AEP Central'!CB72,TNMP!CB72,'AEP North'!CB72)</f>
        <v>3694653.11</v>
      </c>
      <c r="CC72" s="92">
        <f>SUM(Oncor!CC72,Centerpoint!CC72,'AEP Central'!CC72,TNMP!CC72,'AEP North'!CC72)</f>
        <v>3527541.6679999996</v>
      </c>
      <c r="CD72" s="92">
        <f>SUM(Oncor!CD72,Centerpoint!CD72,'AEP Central'!CD72,TNMP!CD72,'AEP North'!CD72)</f>
        <v>4013174.3650000002</v>
      </c>
      <c r="CE72" s="92">
        <f>SUM(Oncor!CE72,Centerpoint!CE72,'AEP Central'!CE72,TNMP!CE72,'AEP North'!CE72)</f>
        <v>3556018.9619999998</v>
      </c>
      <c r="CF72" s="92">
        <f>SUM(Oncor!CF72,Centerpoint!CF72,'AEP Central'!CF72,TNMP!CF72,'AEP North'!CF72)</f>
        <v>3035121.2699999996</v>
      </c>
      <c r="CG72" s="92">
        <f>SUM(Oncor!CG72,Centerpoint!CG72,'AEP Central'!CG72,TNMP!CG72,'AEP North'!CG72)</f>
        <v>3543175.8600000003</v>
      </c>
      <c r="CH72" s="92">
        <f>SUM(Oncor!CH72,Centerpoint!CH72,'AEP Central'!CH72,TNMP!CH72,'AEP North'!CH72)</f>
        <v>3176828.1999999997</v>
      </c>
      <c r="CI72" s="91">
        <f>SUM(Oncor!CI72,Centerpoint!CI72,'AEP Central'!CI72,TNMP!CI72,'AEP North'!CI72)</f>
        <v>3218000.2899999996</v>
      </c>
      <c r="CJ72" s="92">
        <f>SUM(Oncor!CJ72,Centerpoint!CJ72,'AEP Central'!CJ72,TNMP!CJ72,'AEP North'!CJ72)</f>
        <v>3009141.69</v>
      </c>
      <c r="CK72" s="92">
        <f>SUM(Oncor!CK72,Centerpoint!CK72,'AEP Central'!CK72,TNMP!CK72,'AEP North'!CK72)</f>
        <v>2951713.01</v>
      </c>
      <c r="CL72" s="92">
        <f>SUM(Oncor!CL72,Centerpoint!CL72,'AEP Central'!CL72,TNMP!CL72,'AEP North'!CL72)</f>
        <v>2995014.75</v>
      </c>
      <c r="CM72" s="92">
        <f>SUM(Oncor!CM72,Centerpoint!CM72,'AEP Central'!CM72,TNMP!CM72,'AEP North'!CM72)</f>
        <v>3045669.42</v>
      </c>
      <c r="CN72" s="92">
        <f>SUM(Oncor!CN72,Centerpoint!CN72,'AEP Central'!CN72,TNMP!CN72,'AEP North'!CN72)</f>
        <v>3352488.8200000003</v>
      </c>
      <c r="CO72" s="92">
        <f>SUM(Oncor!CO72,Centerpoint!CO72,'AEP Central'!CO72,TNMP!CO72,'AEP North'!CO72)</f>
        <v>3612412.3600000003</v>
      </c>
      <c r="CP72" s="92">
        <f>SUM(Oncor!CP72,Centerpoint!CP72,'AEP Central'!CP72,TNMP!CP72,'AEP North'!CP72)</f>
        <v>3586737.6700000004</v>
      </c>
      <c r="CQ72" s="92">
        <f>SUM(Oncor!CQ72,Centerpoint!CQ72,'AEP Central'!CQ72,TNMP!CQ72,'AEP North'!CQ72)</f>
        <v>3446911.28</v>
      </c>
      <c r="CR72" s="92">
        <f>SUM(Oncor!CR72,Centerpoint!CR72,'AEP Central'!CR72,TNMP!CR72,'AEP North'!CR72)</f>
        <v>3177042.7399999998</v>
      </c>
      <c r="CS72" s="92">
        <f>SUM(Oncor!CS72,Centerpoint!CS72,'AEP Central'!CS72,TNMP!CS72,'AEP North'!CS72)</f>
        <v>3347632.5999999996</v>
      </c>
      <c r="CT72" s="93">
        <f>SUM(Oncor!CT72,Centerpoint!CT72,'AEP Central'!CT72,TNMP!CT72,'AEP North'!CT72)</f>
        <v>3353997.79</v>
      </c>
      <c r="CU72" s="92">
        <f>SUM(Oncor!CU72,Centerpoint!CU72,'AEP Central'!CU72,TNMP!CU72,'AEP North'!CU72)</f>
        <v>3100022.1329999999</v>
      </c>
      <c r="CV72" s="92">
        <f>SUM(Oncor!CV72,Centerpoint!CV72,'AEP Central'!CV72,TNMP!CV72,'AEP North'!CV72)</f>
        <v>3071351.0420000004</v>
      </c>
      <c r="CW72" s="92">
        <f>SUM(Oncor!CW72,Centerpoint!CW72,'AEP Central'!CW72,TNMP!CW72,'AEP North'!CW72)</f>
        <v>3103835.9929999998</v>
      </c>
      <c r="CX72" s="92">
        <f>SUM(Oncor!CX72,Centerpoint!CX72,'AEP Central'!CX72,TNMP!CX72,'AEP North'!CX72)</f>
        <v>3434647.8710000003</v>
      </c>
      <c r="CY72" s="92">
        <f>SUM(Oncor!CY72,Centerpoint!CY72,'AEP Central'!CY72,TNMP!CY72,'AEP North'!CY72)</f>
        <v>3558106.8289999999</v>
      </c>
      <c r="CZ72" s="92">
        <f>SUM(Oncor!CZ72,Centerpoint!CZ72,'AEP Central'!CZ72,TNMP!CZ72,'AEP North'!CZ72)</f>
        <v>3521341.9219999998</v>
      </c>
      <c r="DA72" s="92">
        <f>SUM(Oncor!DA72,Centerpoint!DA72,'AEP Central'!DA72,TNMP!DA72,'AEP North'!DA72)</f>
        <v>3605030.29</v>
      </c>
      <c r="DB72" s="92">
        <f>SUM(Oncor!DB72,Centerpoint!DB72,'AEP Central'!DB72,TNMP!DB72,'AEP North'!DB72)</f>
        <v>3708613.0900000003</v>
      </c>
      <c r="DC72" s="92">
        <f>SUM(Oncor!DC72,Centerpoint!DC72,'AEP Central'!DC72,TNMP!DC72,'AEP North'!DC72)</f>
        <v>3724705.56</v>
      </c>
      <c r="DD72" s="92">
        <f>SUM(Oncor!DD72,Centerpoint!DD72,'AEP Central'!DD72,TNMP!DD72,'AEP North'!DD72)</f>
        <v>3402430.9699999997</v>
      </c>
      <c r="DE72" s="92">
        <f>SUM(Oncor!DE72,Centerpoint!DE72,'AEP Central'!DE72,TNMP!DE72,'AEP North'!DE72)</f>
        <v>3389964.5000000005</v>
      </c>
      <c r="DF72" s="93">
        <f>SUM(Oncor!DF72,Centerpoint!DF72,'AEP Central'!DF72,TNMP!DF72,'AEP North'!DF72)</f>
        <v>3468266.0300000003</v>
      </c>
      <c r="DG72" s="92">
        <f>SUM(Oncor!DG72,Centerpoint!DG72,'AEP Central'!DG72,TNMP!DG72,'AEP North'!DG72)</f>
        <v>3304938.07</v>
      </c>
      <c r="DH72" s="92">
        <f>SUM(Oncor!DH72,Centerpoint!DH72,'AEP Central'!DH72,TNMP!DH72,'AEP North'!DH72)</f>
        <v>3648504.4499999997</v>
      </c>
      <c r="DI72" s="92">
        <f>SUM(Oncor!DI72,Centerpoint!DI72,'AEP Central'!DI72,TNMP!DI72,'AEP North'!DI72)</f>
        <v>3107806.3800000004</v>
      </c>
      <c r="DJ72" s="92">
        <f>SUM(Oncor!DJ72,Centerpoint!DJ72,'AEP Central'!DJ72,TNMP!DJ72,'AEP North'!DJ72)</f>
        <v>2979490.8500000006</v>
      </c>
      <c r="DK72" s="92">
        <f>SUM(Oncor!DK72,Centerpoint!DK72,'AEP Central'!DK72,TNMP!DK72,'AEP North'!DK72)</f>
        <v>3542515.45</v>
      </c>
      <c r="DL72" s="92">
        <f>SUM(Oncor!DL72,Centerpoint!DL72,'AEP Central'!DL72,TNMP!DL72,'AEP North'!DL72)</f>
        <v>3676252.51</v>
      </c>
      <c r="DM72" s="92">
        <f>SUM(Oncor!DM72,Centerpoint!DM72,'AEP Central'!DM72,TNMP!DM72,'AEP North'!DM72)</f>
        <v>3583324.83</v>
      </c>
      <c r="DN72" s="92">
        <f>SUM(Oncor!DN72,Centerpoint!DN72,'AEP Central'!DN72,TNMP!DN72,'AEP North'!DN72)</f>
        <v>3597101.39</v>
      </c>
      <c r="DO72" s="92">
        <f>SUM(Oncor!DO72,Centerpoint!DO72,'AEP Central'!DO72,TNMP!DO72,'AEP North'!DO72)</f>
        <v>3639820.8</v>
      </c>
      <c r="DP72" s="92">
        <f>SUM(Oncor!DP72,Centerpoint!DP72,'AEP Central'!DP72,TNMP!DP72,'AEP North'!DP72)</f>
        <v>3643854.3499999996</v>
      </c>
      <c r="DQ72" s="92">
        <f>SUM(Oncor!DQ72,Centerpoint!DQ72,'AEP Central'!DQ72,TNMP!DQ72,'AEP North'!DQ72)</f>
        <v>3375043.4699999997</v>
      </c>
      <c r="DR72" s="92">
        <f>SUM(Oncor!DR72,Centerpoint!DR72,'AEP Central'!DR72,TNMP!DR72,'AEP North'!DR72)</f>
        <v>3379773.52</v>
      </c>
      <c r="DS72" s="92">
        <f>SUM(Oncor!DS72,Centerpoint!DS72,'AEP Central'!DS72,TNMP!DS72,'AEP North'!DS72)</f>
        <v>3468952.01</v>
      </c>
      <c r="DT72" s="92">
        <f>SUM(Oncor!DT72,Centerpoint!DT72,'AEP Central'!DT72,TNMP!DT72,'AEP North'!DT72)</f>
        <v>3684685.91</v>
      </c>
      <c r="DU72" s="92">
        <f>SUM(Oncor!DU72,Centerpoint!DU72,'AEP Central'!DU72,TNMP!DU72,'AEP North'!DU72)</f>
        <v>3521714.23</v>
      </c>
      <c r="DV72" s="92">
        <f>SUM(Oncor!DV72,Centerpoint!DV72,'AEP Central'!DV72,TNMP!DV72,'AEP North'!DV72)</f>
        <v>3883072.46</v>
      </c>
      <c r="DW72" s="92">
        <f>SUM(Oncor!DW72,Centerpoint!DW72,'AEP Central'!DW72,TNMP!DW72,'AEP North'!DW72)</f>
        <v>3714360.19</v>
      </c>
      <c r="DX72" s="92">
        <f>SUM(Oncor!DX72,Centerpoint!DX72,'AEP Central'!DX72,TNMP!DX72,'AEP North'!DX72)</f>
        <v>4061748.91</v>
      </c>
      <c r="DY72" s="92">
        <f>SUM(Oncor!DY72,Centerpoint!DY72,'AEP Central'!DY72,TNMP!DY72,'AEP North'!DY72)</f>
        <v>4000569.9899999998</v>
      </c>
      <c r="DZ72" s="92">
        <f>SUM(Oncor!DZ72,Centerpoint!DZ72,'AEP Central'!DZ72,TNMP!DZ72,'AEP North'!DZ72)</f>
        <v>4016282.1289999997</v>
      </c>
      <c r="EA72" s="92">
        <f>SUM(Oncor!EA72,Centerpoint!EA72,'AEP Central'!EA72,TNMP!EA72,'AEP North'!EA72)</f>
        <v>4060291.25</v>
      </c>
      <c r="EB72" s="92">
        <f>SUM(Oncor!EB72,Centerpoint!EB72,'AEP Central'!EB72,TNMP!EB72,'AEP North'!EB72)</f>
        <v>3909212.87</v>
      </c>
      <c r="EC72" s="92">
        <f>SUM(Oncor!EC72,Centerpoint!EC72,'AEP Central'!EC72,TNMP!EC72,'AEP North'!EC72)</f>
        <v>3808607.23</v>
      </c>
      <c r="ED72" s="92">
        <f>SUM(Oncor!ED72,Centerpoint!ED72,'AEP Central'!ED72,TNMP!ED72,'AEP North'!ED72)</f>
        <v>3767519.4000000004</v>
      </c>
      <c r="EE72" s="92">
        <f>SUM(Oncor!EE72,Centerpoint!EE72,'AEP Central'!EE72,TNMP!EE72,'AEP North'!EE72)</f>
        <v>3685097.71</v>
      </c>
      <c r="EF72" s="92">
        <f>SUM(Oncor!EF72,Centerpoint!EF72,'AEP Central'!EF72,TNMP!EF72,'AEP North'!EF72)</f>
        <v>3750503.17</v>
      </c>
      <c r="EG72" s="92">
        <f>SUM(Oncor!EG72,Centerpoint!EG72,'AEP Central'!EG72,TNMP!EG72,'AEP North'!EG72)</f>
        <v>3547973.2600000002</v>
      </c>
      <c r="EH72" s="92">
        <f>SUM(Oncor!EH72,Centerpoint!EH72,'AEP Central'!EH72,TNMP!EH72,'AEP North'!EH72)</f>
        <v>4113953.21</v>
      </c>
      <c r="EI72" s="92">
        <f>SUM(Oncor!EI72,Centerpoint!EI72,'AEP Central'!EI72,TNMP!EI72,'AEP North'!EI72)</f>
        <v>4151574.7199999997</v>
      </c>
      <c r="EJ72" s="92">
        <f>SUM(Oncor!EJ72,Centerpoint!EJ72,'AEP Central'!EJ72,TNMP!EJ72,'AEP North'!EJ72)</f>
        <v>4402929.09</v>
      </c>
      <c r="EK72" s="92">
        <f>SUM(Oncor!EK72,Centerpoint!EK72,'AEP Central'!EK72,TNMP!EK72,'AEP North'!EK72)</f>
        <v>4152872.36</v>
      </c>
      <c r="EL72" s="92">
        <f>SUM(Oncor!EL72,Centerpoint!EL72,'AEP Central'!EL72,TNMP!EL72,'AEP North'!EL72)</f>
        <v>4273870.3900000006</v>
      </c>
      <c r="EM72" s="92">
        <f>SUM(Oncor!EM72,Centerpoint!EM72,'AEP Central'!EM72,TNMP!EM72,'AEP North'!EM72)</f>
        <v>4398245.7300000004</v>
      </c>
      <c r="EN72" s="92">
        <f>SUM(Oncor!EN72,Centerpoint!EN72,'AEP Central'!EN72,TNMP!EN72,'AEP North'!EN72)</f>
        <v>4126907.08</v>
      </c>
      <c r="EO72" s="92">
        <f>SUM(Oncor!EO72,Centerpoint!EO72,'AEP Central'!EO72,TNMP!EO72,'AEP North'!EO72)</f>
        <v>4262737.47</v>
      </c>
      <c r="EP72" s="92">
        <f>SUM(Oncor!EP72,Centerpoint!EP72,'AEP Central'!EP72,TNMP!EP72,'AEP North'!EP72)</f>
        <v>4225750.99</v>
      </c>
      <c r="EQ72" s="92">
        <f>SUM(Oncor!EQ72,Centerpoint!EQ72,'AEP Central'!EQ72,TNMP!EQ72,'AEP North'!EQ72)</f>
        <v>4009948.96</v>
      </c>
      <c r="ER72" s="92">
        <f>SUM(Oncor!ER72,Centerpoint!ER72,'AEP Central'!ER72,TNMP!ER72,'AEP North'!ER72)</f>
        <v>3987897.37</v>
      </c>
      <c r="ES72" s="92">
        <f>SUM(Oncor!ES72,Centerpoint!ES72,'AEP Central'!ES72,TNMP!ES72,'AEP North'!ES72)</f>
        <v>3807375.9499999997</v>
      </c>
      <c r="ET72" s="92">
        <f>SUM(Oncor!ET72,Centerpoint!ET72,'AEP Central'!ET72,TNMP!ET72,'AEP North'!ET72)</f>
        <v>4269176.3100000005</v>
      </c>
      <c r="EU72" s="92">
        <f>SUM(Oncor!EU72,Centerpoint!EU72,'AEP Central'!EU72,TNMP!EU72,'AEP North'!EU72)</f>
        <v>4169416.34</v>
      </c>
      <c r="EV72" s="92">
        <f>SUM(Oncor!EV72,Centerpoint!EV72,'AEP Central'!EV72,TNMP!EV72,'AEP North'!EV72)</f>
        <v>4568139.72</v>
      </c>
      <c r="EW72" s="92">
        <f>SUM(Oncor!EW72,Centerpoint!EW72,'AEP Central'!EW72,TNMP!EW72,'AEP North'!EW72)</f>
        <v>4454467.1099999994</v>
      </c>
      <c r="EX72" s="92">
        <f>SUM(Oncor!EX72,Centerpoint!EX72,'AEP Central'!EX72,TNMP!EX72,'AEP North'!EX72)</f>
        <v>4611784.96</v>
      </c>
      <c r="EY72" s="92">
        <f>SUM(Oncor!EY72,Centerpoint!EY72,'AEP Central'!EY72,TNMP!EY72,'AEP North'!EY72)</f>
        <v>4789893.53</v>
      </c>
      <c r="EZ72" s="92">
        <f>SUM(Oncor!EZ72,Centerpoint!EZ72,'AEP Central'!EZ72,TNMP!EZ72,'AEP North'!EZ72)</f>
        <v>4651980.62</v>
      </c>
      <c r="FA72" s="92">
        <f>SUM(Oncor!FA72,Centerpoint!FA72,'AEP Central'!FA72,TNMP!FA72,'AEP North'!FA72)</f>
        <v>4416656.4000000004</v>
      </c>
      <c r="FB72" s="92">
        <f>SUM(Oncor!FB72,Centerpoint!FB72,'AEP Central'!FB72,TNMP!FB72,'AEP North'!FB72)</f>
        <v>4695953.54</v>
      </c>
      <c r="FC72" s="92">
        <f>SUM(Oncor!FC72,Centerpoint!FC72,'AEP Central'!FC72,TNMP!FC72,'AEP North'!FC72)</f>
        <v>4390517.6899999995</v>
      </c>
      <c r="FD72" s="92">
        <f>SUM(Oncor!FD72,Centerpoint!FD72,'AEP Central'!FD72,TNMP!FD72,'AEP North'!FD72)</f>
        <v>4049567.85</v>
      </c>
      <c r="FE72" s="92">
        <f>SUM(Oncor!FE72,Centerpoint!FE72,'AEP Central'!FE72,TNMP!FE72,'AEP North'!FE72)</f>
        <v>4320803.99</v>
      </c>
      <c r="FF72" s="92">
        <f>SUM(Oncor!FF72,Centerpoint!FF72,'AEP Central'!FF72,TNMP!FF72,'AEP North'!FF72)</f>
        <v>4368744.21</v>
      </c>
      <c r="FG72" s="92">
        <f>SUM(Oncor!FG72,Centerpoint!FG72,'AEP Central'!FG72,TNMP!FG72,'AEP North'!FG72)</f>
        <v>4431012.83</v>
      </c>
      <c r="FH72" s="92">
        <f>SUM(Oncor!FH72,Centerpoint!FH72,'AEP Central'!FH72,TNMP!FH72,'AEP North'!FH72)</f>
        <v>4741059.74</v>
      </c>
      <c r="FI72" s="92">
        <f>SUM(Oncor!FI72,Centerpoint!FI72,'AEP Central'!FI72,TNMP!FI72,'AEP North'!FI72)</f>
        <v>4726601.2300000004</v>
      </c>
      <c r="FJ72" s="92">
        <f>SUM(Oncor!FJ72,Centerpoint!FJ72,'AEP Central'!FJ72,TNMP!FJ72,'AEP North'!FJ72)</f>
        <v>4843867.6500000004</v>
      </c>
      <c r="FK72" s="92">
        <f>SUM(Oncor!FK72,Centerpoint!FK72,'AEP Central'!FK72,TNMP!FK72,'AEP North'!FK72)</f>
        <v>4659498.3899999997</v>
      </c>
      <c r="FL72" s="92">
        <f>SUM(Oncor!FL72,Centerpoint!FL72,'AEP Central'!FL72,TNMP!FL72,'AEP North'!FL72,'[1]Sharyland Utilities LP '!FL72,'Sharyland Utilities LP McAllen'!FL72)</f>
        <v>4735160.45</v>
      </c>
      <c r="FM72" s="92">
        <f>SUM(Oncor!FM72,Centerpoint!FM72,'AEP Central'!FM72,TNMP!FM72,'AEP North'!FM72,'[1]Sharyland Utilities LP '!FM72,'Sharyland Utilities LP McAllen'!FM72)</f>
        <v>4684614.54</v>
      </c>
      <c r="FN72" s="92">
        <f>SUM(Oncor!FN72,Centerpoint!FN72,'AEP Central'!FN72,TNMP!FN72,'AEP North'!FN72,'[1]Sharyland Utilities LP '!FN72,'Sharyland Utilities LP McAllen'!FN72)</f>
        <v>4572387.5100000007</v>
      </c>
      <c r="FO72" s="92">
        <f>SUM(Oncor!FO72,Centerpoint!FO72,'AEP Central'!FO72,TNMP!FO72,'AEP North'!FO72,'[1]Sharyland Utilities LP '!FO72,'Sharyland Utilities LP McAllen'!FO72)</f>
        <v>4654617.8079999993</v>
      </c>
      <c r="FP72" s="92">
        <f>SUM(Oncor!FP72,Centerpoint!FP72,'AEP Central'!FP72,TNMP!FP72,'AEP North'!FP72,'[1]Sharyland Utilities LP '!FP72,'Sharyland Utilities LP McAllen'!FP72)</f>
        <v>4483987.7180000003</v>
      </c>
      <c r="FQ72" s="92">
        <f>SUM(Oncor!FQ72,Centerpoint!FQ72,'AEP Central'!FQ72,TNMP!FQ72,'AEP North'!FQ72,'[1]Sharyland Utilities LP '!FQ72,'Sharyland Utilities LP McAllen'!FQ72)</f>
        <v>4735423.3159999996</v>
      </c>
      <c r="FR72" s="92">
        <f>SUM(Oncor!FR72,Centerpoint!FR72,'AEP Central'!FR72,TNMP!FR72,'AEP North'!FR72,'[1]Sharyland Utilities LP '!FR72,'Sharyland Utilities LP McAllen'!FR72)</f>
        <v>4725500.01</v>
      </c>
      <c r="FS72" s="92">
        <f>SUM(Oncor!FS72,Centerpoint!FS72,'AEP Central'!FS72,TNMP!FS72,'AEP North'!FS72,'[1]Sharyland Utilities LP '!FS72,'Sharyland Utilities LP McAllen'!FS72)</f>
        <v>4720296.79</v>
      </c>
      <c r="FT72" s="92">
        <f>SUM(Oncor!FT72,Centerpoint!FT72,'AEP Central'!FT72,TNMP!FT72,'AEP North'!FT72,'[1]Sharyland Utilities LP '!FT72,'Sharyland Utilities LP McAllen'!FT72)</f>
        <v>5351214.51</v>
      </c>
    </row>
    <row r="73" spans="2:176" s="68" customFormat="1" ht="13.8" thickTop="1" x14ac:dyDescent="0.25">
      <c r="B73" s="115" t="s">
        <v>9</v>
      </c>
      <c r="C73" s="87">
        <f t="shared" ref="C73:Q73" si="288">SUM(C71:C72)</f>
        <v>1035795.9074000001</v>
      </c>
      <c r="D73" s="94">
        <f t="shared" si="288"/>
        <v>1676201.5964000002</v>
      </c>
      <c r="E73" s="94">
        <f t="shared" si="288"/>
        <v>2777795.4689699998</v>
      </c>
      <c r="F73" s="94">
        <f t="shared" si="288"/>
        <v>3229399.3870099997</v>
      </c>
      <c r="G73" s="94">
        <f t="shared" si="288"/>
        <v>3439634.4171699993</v>
      </c>
      <c r="H73" s="94">
        <f t="shared" si="288"/>
        <v>3783659.5651800004</v>
      </c>
      <c r="I73" s="94">
        <f t="shared" si="288"/>
        <v>5970682.5828900002</v>
      </c>
      <c r="J73" s="94">
        <f t="shared" si="288"/>
        <v>3331039.8460000004</v>
      </c>
      <c r="K73" s="94">
        <f t="shared" si="288"/>
        <v>6080789.6140000001</v>
      </c>
      <c r="L73" s="94">
        <f t="shared" si="288"/>
        <v>4587607.4223999996</v>
      </c>
      <c r="M73" s="94">
        <f t="shared" si="288"/>
        <v>4847078.6899999995</v>
      </c>
      <c r="N73" s="95">
        <f t="shared" si="288"/>
        <v>3831992.8620000002</v>
      </c>
      <c r="O73" s="145">
        <f t="shared" si="288"/>
        <v>4117819</v>
      </c>
      <c r="P73" s="94">
        <f t="shared" si="288"/>
        <v>3837802</v>
      </c>
      <c r="Q73" s="94">
        <f t="shared" si="288"/>
        <v>3500597</v>
      </c>
      <c r="R73" s="94">
        <f t="shared" ref="R73:W73" si="289">SUM(R71:R72)</f>
        <v>3787436.9290000005</v>
      </c>
      <c r="S73" s="94">
        <f t="shared" si="289"/>
        <v>4229695.1070000008</v>
      </c>
      <c r="T73" s="94">
        <f t="shared" si="289"/>
        <v>4264606.8220000006</v>
      </c>
      <c r="U73" s="94">
        <f t="shared" si="289"/>
        <v>4216477.83</v>
      </c>
      <c r="V73" s="94">
        <f t="shared" si="289"/>
        <v>4269162.2750000004</v>
      </c>
      <c r="W73" s="94">
        <f t="shared" si="289"/>
        <v>4313577.7760000005</v>
      </c>
      <c r="X73" s="94">
        <f t="shared" ref="X73:AC73" si="290">SUM(X71:X72)</f>
        <v>4168112.03</v>
      </c>
      <c r="Y73" s="94">
        <f t="shared" si="290"/>
        <v>4175921.57</v>
      </c>
      <c r="Z73" s="159">
        <f t="shared" si="290"/>
        <v>3885685.66</v>
      </c>
      <c r="AA73" s="145">
        <f t="shared" si="290"/>
        <v>4173954.16</v>
      </c>
      <c r="AB73" s="94">
        <f t="shared" si="290"/>
        <v>4004066.64</v>
      </c>
      <c r="AC73" s="94">
        <f t="shared" si="290"/>
        <v>3837916.3200000003</v>
      </c>
      <c r="AD73" s="94">
        <f t="shared" ref="AD73:AI73" si="291">SUM(AD71:AD72)</f>
        <v>4376653.2700000005</v>
      </c>
      <c r="AE73" s="94">
        <f t="shared" si="291"/>
        <v>4207668.83</v>
      </c>
      <c r="AF73" s="94">
        <f t="shared" si="291"/>
        <v>4661900.97</v>
      </c>
      <c r="AG73" s="94">
        <f t="shared" si="291"/>
        <v>4555494.2699999996</v>
      </c>
      <c r="AH73" s="94">
        <f t="shared" si="291"/>
        <v>4651581.49</v>
      </c>
      <c r="AI73" s="94">
        <f t="shared" si="291"/>
        <v>4468689.92</v>
      </c>
      <c r="AJ73" s="94">
        <f t="shared" ref="AJ73:AO73" si="292">SUM(AJ71:AJ72)</f>
        <v>4663762.2319999998</v>
      </c>
      <c r="AK73" s="94">
        <f t="shared" si="292"/>
        <v>4303251.9919999996</v>
      </c>
      <c r="AL73" s="159">
        <f t="shared" si="292"/>
        <v>4325358.4730000002</v>
      </c>
      <c r="AM73" s="94">
        <f t="shared" si="292"/>
        <v>4200845.8100000005</v>
      </c>
      <c r="AN73" s="94">
        <f t="shared" si="292"/>
        <v>4049614.04</v>
      </c>
      <c r="AO73" s="94">
        <f t="shared" si="292"/>
        <v>4304140.84</v>
      </c>
      <c r="AP73" s="94">
        <f t="shared" ref="AP73:AU73" si="293">SUM(AP71:AP72)</f>
        <v>4313227.46</v>
      </c>
      <c r="AQ73" s="94">
        <f t="shared" si="293"/>
        <v>4182256.6599999997</v>
      </c>
      <c r="AR73" s="94">
        <f t="shared" si="293"/>
        <v>4458569.9700000007</v>
      </c>
      <c r="AS73" s="94">
        <f t="shared" si="293"/>
        <v>4387257.49</v>
      </c>
      <c r="AT73" s="94">
        <f t="shared" si="293"/>
        <v>4547868.59</v>
      </c>
      <c r="AU73" s="94">
        <f t="shared" si="293"/>
        <v>4612324.17</v>
      </c>
      <c r="AV73" s="94">
        <f t="shared" ref="AV73:BJ73" si="294">SUM(AV71:AV72)</f>
        <v>4212245.1099999994</v>
      </c>
      <c r="AW73" s="94">
        <f t="shared" si="294"/>
        <v>4225065.6399999997</v>
      </c>
      <c r="AX73" s="96">
        <f t="shared" si="294"/>
        <v>4218276.3599999994</v>
      </c>
      <c r="AY73" s="94">
        <f t="shared" si="294"/>
        <v>4147978.6</v>
      </c>
      <c r="AZ73" s="94">
        <f t="shared" si="294"/>
        <v>4089717.05</v>
      </c>
      <c r="BA73" s="94">
        <f t="shared" si="294"/>
        <v>4435064.24</v>
      </c>
      <c r="BB73" s="94">
        <f t="shared" si="294"/>
        <v>4575157.7</v>
      </c>
      <c r="BC73" s="94">
        <f t="shared" si="294"/>
        <v>4565730.99</v>
      </c>
      <c r="BD73" s="94">
        <f t="shared" si="294"/>
        <v>4817496.8599999994</v>
      </c>
      <c r="BE73" s="94">
        <f t="shared" si="294"/>
        <v>4858475.2</v>
      </c>
      <c r="BF73" s="94">
        <f t="shared" si="294"/>
        <v>4686647.63</v>
      </c>
      <c r="BG73" s="94">
        <f t="shared" si="294"/>
        <v>4820337.1500000004</v>
      </c>
      <c r="BH73" s="94">
        <f t="shared" si="294"/>
        <v>4740526.58</v>
      </c>
      <c r="BI73" s="94">
        <f t="shared" si="294"/>
        <v>4417905.3100000005</v>
      </c>
      <c r="BJ73" s="96">
        <f t="shared" si="294"/>
        <v>4197757.2299999995</v>
      </c>
      <c r="BK73" s="94">
        <f t="shared" ref="BK73:BP73" si="295">SUM(BK71:BK72)</f>
        <v>4193220.5599999996</v>
      </c>
      <c r="BL73" s="94">
        <f t="shared" si="295"/>
        <v>4145210.8</v>
      </c>
      <c r="BM73" s="94">
        <f t="shared" si="295"/>
        <v>3991117.1900000004</v>
      </c>
      <c r="BN73" s="94">
        <f t="shared" si="295"/>
        <v>4577126.0089999996</v>
      </c>
      <c r="BO73" s="94">
        <f t="shared" si="295"/>
        <v>4508153.2209999999</v>
      </c>
      <c r="BP73" s="94">
        <f t="shared" si="295"/>
        <v>4929963.51</v>
      </c>
      <c r="BQ73" s="94">
        <f t="shared" ref="BQ73:CB73" si="296">SUM(BQ71:BQ72)</f>
        <v>4882223.5500000007</v>
      </c>
      <c r="BR73" s="94">
        <f t="shared" si="296"/>
        <v>4714183.12</v>
      </c>
      <c r="BS73" s="94">
        <f t="shared" si="296"/>
        <v>4778521.62</v>
      </c>
      <c r="BT73" s="94">
        <f t="shared" si="296"/>
        <v>4661924.66</v>
      </c>
      <c r="BU73" s="94">
        <f t="shared" si="296"/>
        <v>4644618.1099999994</v>
      </c>
      <c r="BV73" s="96">
        <f t="shared" si="296"/>
        <v>4685867.51</v>
      </c>
      <c r="BW73" s="94">
        <f t="shared" si="296"/>
        <v>4375278.38</v>
      </c>
      <c r="BX73" s="94">
        <f t="shared" si="296"/>
        <v>4325348.62</v>
      </c>
      <c r="BY73" s="94">
        <f t="shared" si="296"/>
        <v>4446948.75</v>
      </c>
      <c r="BZ73" s="94">
        <f t="shared" si="296"/>
        <v>4655554.8</v>
      </c>
      <c r="CA73" s="94">
        <f t="shared" si="296"/>
        <v>4569392.7699999996</v>
      </c>
      <c r="CB73" s="94">
        <f t="shared" si="296"/>
        <v>5408198.6770000001</v>
      </c>
      <c r="CC73" s="94">
        <f>SUM(CC71:CC72)</f>
        <v>4871465.8459999999</v>
      </c>
      <c r="CD73" s="94">
        <f>SUM(CD71:CD72)</f>
        <v>5315054.1280000005</v>
      </c>
      <c r="CE73" s="94">
        <f>SUM(CE71:CE72)</f>
        <v>4831674.4709999999</v>
      </c>
      <c r="CF73" s="94">
        <f t="shared" ref="CF73:CQ73" si="297">SUM(CF71:CF72)</f>
        <v>3974390.1899999995</v>
      </c>
      <c r="CG73" s="94">
        <f t="shared" si="297"/>
        <v>4579851.6100000003</v>
      </c>
      <c r="CH73" s="94">
        <f t="shared" si="297"/>
        <v>4065276.9699999997</v>
      </c>
      <c r="CI73" s="87">
        <f t="shared" si="297"/>
        <v>4172257.03</v>
      </c>
      <c r="CJ73" s="94">
        <f t="shared" si="297"/>
        <v>3955358.63</v>
      </c>
      <c r="CK73" s="94">
        <f t="shared" si="297"/>
        <v>3870522.3699999996</v>
      </c>
      <c r="CL73" s="94">
        <f t="shared" si="297"/>
        <v>3937461.9699999997</v>
      </c>
      <c r="CM73" s="94">
        <f t="shared" si="297"/>
        <v>4041876.3899999997</v>
      </c>
      <c r="CN73" s="94">
        <f t="shared" si="297"/>
        <v>4447964.5500000007</v>
      </c>
      <c r="CO73" s="94">
        <f t="shared" si="297"/>
        <v>4675398.57</v>
      </c>
      <c r="CP73" s="94">
        <f t="shared" si="297"/>
        <v>4717369.3600000003</v>
      </c>
      <c r="CQ73" s="94">
        <f t="shared" si="297"/>
        <v>4527593.9399999995</v>
      </c>
      <c r="CR73" s="94">
        <f t="shared" ref="CR73:EA73" si="298">SUM(CR71:CR72)</f>
        <v>4172370.57</v>
      </c>
      <c r="CS73" s="94">
        <f t="shared" si="298"/>
        <v>4325367.1199999992</v>
      </c>
      <c r="CT73" s="96">
        <f t="shared" si="298"/>
        <v>4276039.2699999996</v>
      </c>
      <c r="CU73" s="94">
        <f t="shared" si="298"/>
        <v>4071236.4109999998</v>
      </c>
      <c r="CV73" s="94">
        <f t="shared" si="298"/>
        <v>3946397.8270000005</v>
      </c>
      <c r="CW73" s="94">
        <f t="shared" si="298"/>
        <v>3961337.2689999999</v>
      </c>
      <c r="CX73" s="94">
        <f t="shared" si="298"/>
        <v>4376348.341</v>
      </c>
      <c r="CY73" s="94">
        <f t="shared" si="298"/>
        <v>4455671.8389999997</v>
      </c>
      <c r="CZ73" s="94">
        <f t="shared" si="298"/>
        <v>4474496.682</v>
      </c>
      <c r="DA73" s="94">
        <f t="shared" si="298"/>
        <v>4612200.34</v>
      </c>
      <c r="DB73" s="94">
        <f t="shared" si="298"/>
        <v>4696219.42</v>
      </c>
      <c r="DC73" s="94">
        <f t="shared" si="298"/>
        <v>4754441.79</v>
      </c>
      <c r="DD73" s="94">
        <f t="shared" si="298"/>
        <v>4436549.99</v>
      </c>
      <c r="DE73" s="94">
        <f t="shared" si="298"/>
        <v>4269272.9300000006</v>
      </c>
      <c r="DF73" s="96">
        <f t="shared" si="298"/>
        <v>4326903.26</v>
      </c>
      <c r="DG73" s="94">
        <f t="shared" si="298"/>
        <v>4167405.63</v>
      </c>
      <c r="DH73" s="94">
        <f t="shared" si="298"/>
        <v>4625779.87</v>
      </c>
      <c r="DI73" s="94">
        <f t="shared" si="298"/>
        <v>3967330.4200000004</v>
      </c>
      <c r="DJ73" s="94">
        <f t="shared" si="298"/>
        <v>3690382.5800000005</v>
      </c>
      <c r="DK73" s="94">
        <f t="shared" si="298"/>
        <v>4369629.67</v>
      </c>
      <c r="DL73" s="94">
        <f t="shared" si="298"/>
        <v>4541511.46</v>
      </c>
      <c r="DM73" s="94">
        <f t="shared" si="298"/>
        <v>4458554.22</v>
      </c>
      <c r="DN73" s="94">
        <f t="shared" si="298"/>
        <v>4494064.1950000003</v>
      </c>
      <c r="DO73" s="94">
        <f t="shared" si="298"/>
        <v>4537492.9000000004</v>
      </c>
      <c r="DP73" s="94">
        <f t="shared" si="298"/>
        <v>4488328.7799999993</v>
      </c>
      <c r="DQ73" s="94">
        <f t="shared" si="298"/>
        <v>4143249.3899999997</v>
      </c>
      <c r="DR73" s="94">
        <f t="shared" si="298"/>
        <v>4152254.9</v>
      </c>
      <c r="DS73" s="94">
        <f t="shared" si="298"/>
        <v>4223982.6899999995</v>
      </c>
      <c r="DT73" s="94">
        <f t="shared" si="298"/>
        <v>4402085.87</v>
      </c>
      <c r="DU73" s="94">
        <f t="shared" si="298"/>
        <v>4223708.57</v>
      </c>
      <c r="DV73" s="94">
        <f t="shared" si="298"/>
        <v>4636891.84</v>
      </c>
      <c r="DW73" s="94">
        <f t="shared" si="298"/>
        <v>4435008.6100000003</v>
      </c>
      <c r="DX73" s="94">
        <f t="shared" si="298"/>
        <v>4859692.99</v>
      </c>
      <c r="DY73" s="94">
        <f t="shared" si="298"/>
        <v>4810237.26</v>
      </c>
      <c r="DZ73" s="94">
        <f t="shared" si="298"/>
        <v>4795240.5750000002</v>
      </c>
      <c r="EA73" s="94">
        <f t="shared" si="298"/>
        <v>4861308.05</v>
      </c>
      <c r="EB73" s="94">
        <f t="shared" ref="EB73:FH73" si="299">SUM(EB71:EB72)</f>
        <v>4670269.3499999996</v>
      </c>
      <c r="EC73" s="94">
        <f t="shared" si="299"/>
        <v>4539650.0999999996</v>
      </c>
      <c r="ED73" s="94">
        <f t="shared" si="299"/>
        <v>4491917.9700000007</v>
      </c>
      <c r="EE73" s="94">
        <f t="shared" si="299"/>
        <v>4363221.7300000004</v>
      </c>
      <c r="EF73" s="94">
        <f t="shared" si="299"/>
        <v>4393644.3499999996</v>
      </c>
      <c r="EG73" s="94">
        <f t="shared" si="299"/>
        <v>4146748.95</v>
      </c>
      <c r="EH73" s="94">
        <f t="shared" si="299"/>
        <v>4789555.78</v>
      </c>
      <c r="EI73" s="94">
        <f t="shared" si="299"/>
        <v>4837396.33</v>
      </c>
      <c r="EJ73" s="94">
        <f t="shared" si="299"/>
        <v>5071053.8899999997</v>
      </c>
      <c r="EK73" s="94">
        <f t="shared" si="299"/>
        <v>4806273.4399999995</v>
      </c>
      <c r="EL73" s="94">
        <f t="shared" si="299"/>
        <v>4956219.49</v>
      </c>
      <c r="EM73" s="94">
        <f t="shared" si="299"/>
        <v>5119715.6500000004</v>
      </c>
      <c r="EN73" s="94">
        <f t="shared" si="299"/>
        <v>4826969.82</v>
      </c>
      <c r="EO73" s="94">
        <f t="shared" si="299"/>
        <v>4956351.7299999995</v>
      </c>
      <c r="EP73" s="94">
        <f t="shared" si="299"/>
        <v>4881583.9400000004</v>
      </c>
      <c r="EQ73" s="94">
        <f t="shared" si="299"/>
        <v>4632414.97</v>
      </c>
      <c r="ER73" s="94">
        <f t="shared" si="299"/>
        <v>4630939.16</v>
      </c>
      <c r="ES73" s="94">
        <f t="shared" si="299"/>
        <v>4442153.3499999996</v>
      </c>
      <c r="ET73" s="94">
        <f t="shared" si="299"/>
        <v>4934143.7300000004</v>
      </c>
      <c r="EU73" s="94">
        <f t="shared" si="299"/>
        <v>4868463.2299999995</v>
      </c>
      <c r="EV73" s="94">
        <f t="shared" si="299"/>
        <v>5308198.3199999994</v>
      </c>
      <c r="EW73" s="94">
        <f t="shared" si="299"/>
        <v>5136214.8899999997</v>
      </c>
      <c r="EX73" s="94">
        <f t="shared" si="299"/>
        <v>5296620.97</v>
      </c>
      <c r="EY73" s="94">
        <f t="shared" si="299"/>
        <v>5467879.2000000002</v>
      </c>
      <c r="EZ73" s="94">
        <f t="shared" si="299"/>
        <v>5286004.5</v>
      </c>
      <c r="FA73" s="94">
        <f t="shared" si="299"/>
        <v>5076321.6100000003</v>
      </c>
      <c r="FB73" s="94">
        <f t="shared" si="299"/>
        <v>5291515.8</v>
      </c>
      <c r="FC73" s="94">
        <f t="shared" si="299"/>
        <v>5001481.5599999996</v>
      </c>
      <c r="FD73" s="94">
        <f t="shared" si="299"/>
        <v>4681703.05</v>
      </c>
      <c r="FE73" s="94">
        <f t="shared" si="299"/>
        <v>4978244.3100000005</v>
      </c>
      <c r="FF73" s="94">
        <f t="shared" si="299"/>
        <v>5003986.21</v>
      </c>
      <c r="FG73" s="94">
        <f t="shared" si="299"/>
        <v>5083573.67</v>
      </c>
      <c r="FH73" s="94">
        <f t="shared" si="299"/>
        <v>5428564.29</v>
      </c>
      <c r="FI73" s="94">
        <f t="shared" ref="FI73:FT73" si="300">SUM(FI71:FI72)</f>
        <v>5412000.8700000001</v>
      </c>
      <c r="FJ73" s="94">
        <f t="shared" si="300"/>
        <v>5567370.8900000006</v>
      </c>
      <c r="FK73" s="94">
        <f t="shared" si="300"/>
        <v>5369044.9899999993</v>
      </c>
      <c r="FL73" s="94">
        <f t="shared" si="300"/>
        <v>5416741.2599999998</v>
      </c>
      <c r="FM73" s="94">
        <f t="shared" si="300"/>
        <v>5346449.1900000004</v>
      </c>
      <c r="FN73" s="94">
        <f t="shared" si="300"/>
        <v>5216254.722000001</v>
      </c>
      <c r="FO73" s="94">
        <f t="shared" si="300"/>
        <v>5310327.8279999997</v>
      </c>
      <c r="FP73" s="94">
        <f t="shared" si="300"/>
        <v>5086955.2480000006</v>
      </c>
      <c r="FQ73" s="94">
        <f t="shared" si="300"/>
        <v>5347694.1159999995</v>
      </c>
      <c r="FR73" s="94">
        <f t="shared" si="300"/>
        <v>5360965.59</v>
      </c>
      <c r="FS73" s="94">
        <f t="shared" si="300"/>
        <v>5357471.47</v>
      </c>
      <c r="FT73" s="94">
        <f t="shared" si="300"/>
        <v>6143707.4799999995</v>
      </c>
    </row>
    <row r="74" spans="2:176" x14ac:dyDescent="0.25">
      <c r="B74" s="114" t="s">
        <v>10</v>
      </c>
      <c r="C74" s="78">
        <f t="shared" ref="C74:Q74" si="301">SUM(C71)/C73</f>
        <v>0.93949508146125738</v>
      </c>
      <c r="D74" s="14">
        <f t="shared" si="301"/>
        <v>0.58055377258319862</v>
      </c>
      <c r="E74" s="14">
        <f t="shared" si="301"/>
        <v>0.40640326116184339</v>
      </c>
      <c r="F74" s="14">
        <f t="shared" si="301"/>
        <v>0.56396232940895163</v>
      </c>
      <c r="G74" s="14">
        <f t="shared" si="301"/>
        <v>0.57304805076108234</v>
      </c>
      <c r="H74" s="14">
        <f t="shared" si="301"/>
        <v>0.45660680286330435</v>
      </c>
      <c r="I74" s="14">
        <f t="shared" si="301"/>
        <v>0.43996533384940056</v>
      </c>
      <c r="J74" s="14">
        <f t="shared" si="301"/>
        <v>0.48085514675647623</v>
      </c>
      <c r="K74" s="14">
        <f t="shared" si="301"/>
        <v>0.53164517048196636</v>
      </c>
      <c r="L74" s="14">
        <f t="shared" si="301"/>
        <v>0.44587767449593446</v>
      </c>
      <c r="M74" s="14">
        <f t="shared" si="301"/>
        <v>0.39178128733866296</v>
      </c>
      <c r="N74" s="14">
        <f t="shared" si="301"/>
        <v>0.45480970183498215</v>
      </c>
      <c r="O74" s="136">
        <f t="shared" si="301"/>
        <v>0.51038328785213727</v>
      </c>
      <c r="P74" s="14">
        <f t="shared" si="301"/>
        <v>0.47402627858341834</v>
      </c>
      <c r="Q74" s="14">
        <f t="shared" si="301"/>
        <v>0.45391143282131591</v>
      </c>
      <c r="R74" s="14">
        <f t="shared" ref="R74:W74" si="302">SUM(R71)/R73</f>
        <v>0.42534191808319882</v>
      </c>
      <c r="S74" s="14">
        <f t="shared" si="302"/>
        <v>0.4042155204450768</v>
      </c>
      <c r="T74" s="14">
        <f t="shared" si="302"/>
        <v>0.41205752214594188</v>
      </c>
      <c r="U74" s="14">
        <f t="shared" si="302"/>
        <v>0.41750866125151664</v>
      </c>
      <c r="V74" s="14">
        <f t="shared" si="302"/>
        <v>0.40256280654030652</v>
      </c>
      <c r="W74" s="14">
        <f t="shared" si="302"/>
        <v>0.40916002461340567</v>
      </c>
      <c r="X74" s="14">
        <f t="shared" ref="X74:AC74" si="303">SUM(X71)/X73</f>
        <v>0.40178389830851063</v>
      </c>
      <c r="Y74" s="14">
        <f t="shared" si="303"/>
        <v>0.39468643325118768</v>
      </c>
      <c r="Z74" s="150">
        <f t="shared" si="303"/>
        <v>0.36599102820890556</v>
      </c>
      <c r="AA74" s="136">
        <f t="shared" si="303"/>
        <v>0.37575703035512009</v>
      </c>
      <c r="AB74" s="14">
        <f t="shared" si="303"/>
        <v>0.34889761475098718</v>
      </c>
      <c r="AC74" s="14">
        <f t="shared" si="303"/>
        <v>0.36095101469017959</v>
      </c>
      <c r="AD74" s="14">
        <f t="shared" ref="AD74:AI74" si="304">SUM(AD71)/AD73</f>
        <v>0.35759408466917458</v>
      </c>
      <c r="AE74" s="14">
        <f t="shared" si="304"/>
        <v>0.34666107265861035</v>
      </c>
      <c r="AF74" s="14">
        <f t="shared" si="304"/>
        <v>0.31563344426855128</v>
      </c>
      <c r="AG74" s="14">
        <f t="shared" si="304"/>
        <v>0.32053433578350221</v>
      </c>
      <c r="AH74" s="14">
        <f t="shared" si="304"/>
        <v>0.30919303318493513</v>
      </c>
      <c r="AI74" s="14">
        <f t="shared" si="304"/>
        <v>0.30894085172953778</v>
      </c>
      <c r="AJ74" s="14">
        <f t="shared" ref="AJ74:AO74" si="305">SUM(AJ71)/AJ73</f>
        <v>0.29565087206615553</v>
      </c>
      <c r="AK74" s="14">
        <f t="shared" si="305"/>
        <v>0.30875792156026732</v>
      </c>
      <c r="AL74" s="150">
        <f t="shared" si="305"/>
        <v>0.28070090064879577</v>
      </c>
      <c r="AM74" s="14">
        <f t="shared" si="305"/>
        <v>0.30282916763374373</v>
      </c>
      <c r="AN74" s="14">
        <f t="shared" si="305"/>
        <v>0.31136588513012964</v>
      </c>
      <c r="AO74" s="14">
        <f t="shared" si="305"/>
        <v>0.26639953538323347</v>
      </c>
      <c r="AP74" s="14">
        <f t="shared" ref="AP74:AU74" si="306">SUM(AP71)/AP73</f>
        <v>0.29411060320013821</v>
      </c>
      <c r="AQ74" s="14">
        <f t="shared" si="306"/>
        <v>0.30117638452155637</v>
      </c>
      <c r="AR74" s="14">
        <f t="shared" si="306"/>
        <v>0.26148809098985604</v>
      </c>
      <c r="AS74" s="14">
        <f t="shared" si="306"/>
        <v>0.27288296452369837</v>
      </c>
      <c r="AT74" s="14">
        <f t="shared" si="306"/>
        <v>0.2686385975809385</v>
      </c>
      <c r="AU74" s="14">
        <f t="shared" si="306"/>
        <v>0.26677095205127355</v>
      </c>
      <c r="AV74" s="14">
        <f t="shared" ref="AV74:BJ74" si="307">SUM(AV71)/AV73</f>
        <v>0.25452591955172332</v>
      </c>
      <c r="AW74" s="14">
        <f t="shared" si="307"/>
        <v>0.26089036335066262</v>
      </c>
      <c r="AX74" s="23">
        <f t="shared" si="307"/>
        <v>0.24906992343194892</v>
      </c>
      <c r="AY74" s="14">
        <f t="shared" si="307"/>
        <v>0.26886563011679948</v>
      </c>
      <c r="AZ74" s="14">
        <f t="shared" si="307"/>
        <v>0.29485513918377315</v>
      </c>
      <c r="BA74" s="14">
        <f t="shared" si="307"/>
        <v>0.24356033003030411</v>
      </c>
      <c r="BB74" s="14">
        <f t="shared" si="307"/>
        <v>0.25551891030991131</v>
      </c>
      <c r="BC74" s="14">
        <f t="shared" si="307"/>
        <v>0.23788232648371602</v>
      </c>
      <c r="BD74" s="14">
        <f t="shared" si="307"/>
        <v>0.24696311478239344</v>
      </c>
      <c r="BE74" s="14">
        <f t="shared" si="307"/>
        <v>0.2645453515950848</v>
      </c>
      <c r="BF74" s="14">
        <f t="shared" si="307"/>
        <v>0.25716991656998112</v>
      </c>
      <c r="BG74" s="14">
        <f t="shared" si="307"/>
        <v>0.26565242848210313</v>
      </c>
      <c r="BH74" s="14">
        <f t="shared" si="307"/>
        <v>0.25466656913038554</v>
      </c>
      <c r="BI74" s="14">
        <f t="shared" si="307"/>
        <v>0.27157352089105774</v>
      </c>
      <c r="BJ74" s="23">
        <f t="shared" si="307"/>
        <v>0.2719886638132239</v>
      </c>
      <c r="BK74" s="14">
        <f t="shared" ref="BK74:BP74" si="308">SUM(BK71)/BK73</f>
        <v>0.27964723372433337</v>
      </c>
      <c r="BL74" s="14">
        <f t="shared" si="308"/>
        <v>0.27638434937977097</v>
      </c>
      <c r="BM74" s="14">
        <f t="shared" si="308"/>
        <v>0.26975527120515347</v>
      </c>
      <c r="BN74" s="14">
        <f t="shared" si="308"/>
        <v>0.2730949059611088</v>
      </c>
      <c r="BO74" s="14">
        <f t="shared" si="308"/>
        <v>0.25307641822939719</v>
      </c>
      <c r="BP74" s="14">
        <f t="shared" si="308"/>
        <v>0.2690799532915813</v>
      </c>
      <c r="BQ74" s="14">
        <f t="shared" ref="BQ74:CB74" si="309">SUM(BQ71)/BQ73</f>
        <v>0.26858627766030907</v>
      </c>
      <c r="BR74" s="14">
        <f t="shared" si="309"/>
        <v>0.27198705000666157</v>
      </c>
      <c r="BS74" s="14">
        <f t="shared" si="309"/>
        <v>0.27942518757506429</v>
      </c>
      <c r="BT74" s="14">
        <f t="shared" si="309"/>
        <v>0.27395832475765486</v>
      </c>
      <c r="BU74" s="14">
        <f t="shared" si="309"/>
        <v>0.26746845716450085</v>
      </c>
      <c r="BV74" s="23">
        <f t="shared" si="309"/>
        <v>0.27331395675760367</v>
      </c>
      <c r="BW74" s="14">
        <f t="shared" si="309"/>
        <v>0.27578764256824273</v>
      </c>
      <c r="BX74" s="14">
        <f t="shared" si="309"/>
        <v>0.29624056522870518</v>
      </c>
      <c r="BY74" s="14">
        <f t="shared" si="309"/>
        <v>0.29079570570719976</v>
      </c>
      <c r="BZ74" s="14">
        <f t="shared" si="309"/>
        <v>0.27247270507910254</v>
      </c>
      <c r="CA74" s="14">
        <f t="shared" si="309"/>
        <v>0.26956928239723205</v>
      </c>
      <c r="CB74" s="14">
        <f t="shared" si="309"/>
        <v>0.31684220002629909</v>
      </c>
      <c r="CC74" s="14">
        <f>SUM(CC71)/CC73</f>
        <v>0.27587675260076128</v>
      </c>
      <c r="CD74" s="14">
        <f>SUM(CD71)/CD73</f>
        <v>0.24494195762591106</v>
      </c>
      <c r="CE74" s="14">
        <f>SUM(CE71)/CE73</f>
        <v>0.26401934084271633</v>
      </c>
      <c r="CF74" s="14">
        <f t="shared" ref="CF74:CQ74" si="310">SUM(CF71)/CF73</f>
        <v>0.23633032367161719</v>
      </c>
      <c r="CG74" s="14">
        <f t="shared" si="310"/>
        <v>0.22635575085805015</v>
      </c>
      <c r="CH74" s="14">
        <f t="shared" si="310"/>
        <v>0.21854569234922266</v>
      </c>
      <c r="CI74" s="78">
        <f t="shared" si="310"/>
        <v>0.22871475394218466</v>
      </c>
      <c r="CJ74" s="14">
        <f t="shared" si="310"/>
        <v>0.23922405741499095</v>
      </c>
      <c r="CK74" s="14">
        <f t="shared" si="310"/>
        <v>0.23738639702010042</v>
      </c>
      <c r="CL74" s="14">
        <f t="shared" si="310"/>
        <v>0.23935398670021948</v>
      </c>
      <c r="CM74" s="14">
        <f t="shared" si="310"/>
        <v>0.24647140928523054</v>
      </c>
      <c r="CN74" s="14">
        <f t="shared" si="310"/>
        <v>0.2462869741171835</v>
      </c>
      <c r="CO74" s="14">
        <f t="shared" si="310"/>
        <v>0.22735734592141946</v>
      </c>
      <c r="CP74" s="14">
        <f t="shared" si="310"/>
        <v>0.23967419205860108</v>
      </c>
      <c r="CQ74" s="14">
        <f t="shared" si="310"/>
        <v>0.23868807015851781</v>
      </c>
      <c r="CR74" s="14">
        <f t="shared" ref="CR74:EA74" si="311">SUM(CR71)/CR73</f>
        <v>0.23855211642910235</v>
      </c>
      <c r="CS74" s="14">
        <f t="shared" si="311"/>
        <v>0.22604659740419908</v>
      </c>
      <c r="CT74" s="23">
        <f t="shared" si="311"/>
        <v>0.21562979705749988</v>
      </c>
      <c r="CU74" s="14">
        <f t="shared" si="311"/>
        <v>0.23855511691138687</v>
      </c>
      <c r="CV74" s="14">
        <f t="shared" si="311"/>
        <v>0.22173303943490133</v>
      </c>
      <c r="CW74" s="14">
        <f t="shared" si="311"/>
        <v>0.21646762640245162</v>
      </c>
      <c r="CX74" s="14">
        <f t="shared" si="311"/>
        <v>0.21517950506307745</v>
      </c>
      <c r="CY74" s="14">
        <f t="shared" si="311"/>
        <v>0.20144324861263649</v>
      </c>
      <c r="CZ74" s="14">
        <f t="shared" si="311"/>
        <v>0.21301943609308052</v>
      </c>
      <c r="DA74" s="14">
        <f t="shared" si="311"/>
        <v>0.21837083729107917</v>
      </c>
      <c r="DB74" s="14">
        <f t="shared" si="311"/>
        <v>0.21029816575308144</v>
      </c>
      <c r="DC74" s="14">
        <f t="shared" si="311"/>
        <v>0.21658404403348475</v>
      </c>
      <c r="DD74" s="14">
        <f t="shared" si="311"/>
        <v>0.23309080757140305</v>
      </c>
      <c r="DE74" s="14">
        <f t="shared" si="311"/>
        <v>0.20596210277893851</v>
      </c>
      <c r="DF74" s="23">
        <f t="shared" si="311"/>
        <v>0.19844151311115749</v>
      </c>
      <c r="DG74" s="14">
        <f t="shared" si="311"/>
        <v>0.20695551059184991</v>
      </c>
      <c r="DH74" s="14">
        <f t="shared" si="311"/>
        <v>0.21126716952918903</v>
      </c>
      <c r="DI74" s="14">
        <f t="shared" si="311"/>
        <v>0.21665048004748744</v>
      </c>
      <c r="DJ74" s="14">
        <f t="shared" si="311"/>
        <v>0.19263361307108701</v>
      </c>
      <c r="DK74" s="14">
        <f t="shared" si="311"/>
        <v>0.18928702944293216</v>
      </c>
      <c r="DL74" s="14">
        <f t="shared" si="311"/>
        <v>0.19052224300673681</v>
      </c>
      <c r="DM74" s="14">
        <f t="shared" si="311"/>
        <v>0.19630340841744884</v>
      </c>
      <c r="DN74" s="14">
        <f t="shared" si="311"/>
        <v>0.19958833832368075</v>
      </c>
      <c r="DO74" s="14">
        <f t="shared" si="311"/>
        <v>0.19783438118437607</v>
      </c>
      <c r="DP74" s="14">
        <f t="shared" si="311"/>
        <v>0.18814896844522164</v>
      </c>
      <c r="DQ74" s="14">
        <f t="shared" si="311"/>
        <v>0.18541146035141273</v>
      </c>
      <c r="DR74" s="14">
        <f t="shared" si="311"/>
        <v>0.18603900738367485</v>
      </c>
      <c r="DS74" s="14">
        <f t="shared" si="311"/>
        <v>0.17874852607409719</v>
      </c>
      <c r="DT74" s="14">
        <f t="shared" si="311"/>
        <v>0.16296818853286021</v>
      </c>
      <c r="DU74" s="14">
        <f t="shared" si="311"/>
        <v>0.1662033088613403</v>
      </c>
      <c r="DV74" s="14">
        <f t="shared" si="311"/>
        <v>0.16256997273414944</v>
      </c>
      <c r="DW74" s="14">
        <f t="shared" si="311"/>
        <v>0.16249087281929764</v>
      </c>
      <c r="DX74" s="14">
        <f t="shared" si="311"/>
        <v>0.16419639710614722</v>
      </c>
      <c r="DY74" s="14">
        <f t="shared" si="311"/>
        <v>0.168321691059372</v>
      </c>
      <c r="DZ74" s="14">
        <f t="shared" si="311"/>
        <v>0.16244408050371906</v>
      </c>
      <c r="EA74" s="14">
        <f t="shared" si="311"/>
        <v>0.16477392334764715</v>
      </c>
      <c r="EB74" s="14">
        <f t="shared" ref="EB74:FH74" si="312">SUM(EB71)/EB73</f>
        <v>0.16295772748096424</v>
      </c>
      <c r="EC74" s="14">
        <f t="shared" si="312"/>
        <v>0.16103506964116021</v>
      </c>
      <c r="ED74" s="14">
        <f t="shared" si="312"/>
        <v>0.16126709678093251</v>
      </c>
      <c r="EE74" s="14">
        <f t="shared" si="312"/>
        <v>0.15541818911870883</v>
      </c>
      <c r="EF74" s="14">
        <f t="shared" si="312"/>
        <v>0.14637989076198213</v>
      </c>
      <c r="EG74" s="14">
        <f t="shared" si="312"/>
        <v>0.14439641686049018</v>
      </c>
      <c r="EH74" s="14">
        <f t="shared" si="312"/>
        <v>0.1410574594038865</v>
      </c>
      <c r="EI74" s="14">
        <f t="shared" si="312"/>
        <v>0.14177494735065466</v>
      </c>
      <c r="EJ74" s="14">
        <f t="shared" si="312"/>
        <v>0.13175265230715189</v>
      </c>
      <c r="EK74" s="14">
        <f t="shared" si="312"/>
        <v>0.13594754608884677</v>
      </c>
      <c r="EL74" s="14">
        <f t="shared" si="312"/>
        <v>0.13767531913724829</v>
      </c>
      <c r="EM74" s="14">
        <f t="shared" si="312"/>
        <v>0.14091992003501208</v>
      </c>
      <c r="EN74" s="14">
        <f t="shared" si="312"/>
        <v>0.14503151378725629</v>
      </c>
      <c r="EO74" s="14">
        <f t="shared" si="312"/>
        <v>0.13994451923209253</v>
      </c>
      <c r="EP74" s="14">
        <f t="shared" si="312"/>
        <v>0.13434839143624352</v>
      </c>
      <c r="EQ74" s="14">
        <f t="shared" si="312"/>
        <v>0.13437181557160888</v>
      </c>
      <c r="ER74" s="14">
        <f t="shared" si="312"/>
        <v>0.13885774953692115</v>
      </c>
      <c r="ES74" s="14">
        <f t="shared" si="312"/>
        <v>0.14289857868144062</v>
      </c>
      <c r="ET74" s="14">
        <f t="shared" si="312"/>
        <v>0.13476855486737105</v>
      </c>
      <c r="EU74" s="14">
        <f t="shared" si="312"/>
        <v>0.14358676587971275</v>
      </c>
      <c r="EV74" s="14">
        <f t="shared" si="312"/>
        <v>0.13941803892511689</v>
      </c>
      <c r="EW74" s="14">
        <f t="shared" si="312"/>
        <v>0.13273350017487295</v>
      </c>
      <c r="EX74" s="14">
        <f t="shared" si="312"/>
        <v>0.12929677503429135</v>
      </c>
      <c r="EY74" s="14">
        <f t="shared" si="312"/>
        <v>0.12399426636930823</v>
      </c>
      <c r="EZ74" s="14">
        <f t="shared" si="312"/>
        <v>0.11994387821652441</v>
      </c>
      <c r="FA74" s="14">
        <f t="shared" si="312"/>
        <v>0.12994945172514394</v>
      </c>
      <c r="FB74" s="14">
        <f t="shared" si="312"/>
        <v>0.11255040757886427</v>
      </c>
      <c r="FC74" s="14">
        <f t="shared" si="312"/>
        <v>0.12215657754019592</v>
      </c>
      <c r="FD74" s="14">
        <f t="shared" si="312"/>
        <v>0.13502248930546759</v>
      </c>
      <c r="FE74" s="14">
        <f t="shared" si="312"/>
        <v>0.13206268697568199</v>
      </c>
      <c r="FF74" s="14">
        <f t="shared" si="312"/>
        <v>0.12694719236646337</v>
      </c>
      <c r="FG74" s="14">
        <f t="shared" si="312"/>
        <v>0.12836655517574116</v>
      </c>
      <c r="FH74" s="14">
        <f t="shared" si="312"/>
        <v>0.12664574153915012</v>
      </c>
      <c r="FI74" s="14">
        <f t="shared" ref="FI74:FT74" si="313">SUM(FI71)/FI73</f>
        <v>0.12664440684023762</v>
      </c>
      <c r="FJ74" s="14">
        <f t="shared" si="313"/>
        <v>0.12995420177584036</v>
      </c>
      <c r="FK74" s="14">
        <f t="shared" si="313"/>
        <v>0.13215508555460997</v>
      </c>
      <c r="FL74" s="14">
        <f t="shared" si="313"/>
        <v>0.12582857058969069</v>
      </c>
      <c r="FM74" s="14">
        <f t="shared" si="313"/>
        <v>0.12378957070010048</v>
      </c>
      <c r="FN74" s="14">
        <f t="shared" si="313"/>
        <v>0.12343477194172189</v>
      </c>
      <c r="FO74" s="14">
        <f t="shared" si="313"/>
        <v>0.12347825619025042</v>
      </c>
      <c r="FP74" s="14">
        <f t="shared" si="313"/>
        <v>0.11853210822663796</v>
      </c>
      <c r="FQ74" s="14">
        <f t="shared" si="313"/>
        <v>0.11449248717650479</v>
      </c>
      <c r="FR74" s="14">
        <f t="shared" si="313"/>
        <v>0.11853565730497444</v>
      </c>
      <c r="FS74" s="14">
        <f t="shared" si="313"/>
        <v>0.11893197818559731</v>
      </c>
      <c r="FT74" s="14">
        <f t="shared" si="313"/>
        <v>0.12899262742893483</v>
      </c>
    </row>
    <row r="75" spans="2:176" ht="13.8" thickBot="1" x14ac:dyDescent="0.3">
      <c r="B75" s="117" t="s">
        <v>11</v>
      </c>
      <c r="C75" s="79">
        <f t="shared" ref="C75:Q75" si="314">SUM(C72/C73)</f>
        <v>6.0504918538742604E-2</v>
      </c>
      <c r="D75" s="15">
        <f t="shared" si="314"/>
        <v>0.41944622741680132</v>
      </c>
      <c r="E75" s="15">
        <f t="shared" si="314"/>
        <v>0.59359673883815656</v>
      </c>
      <c r="F75" s="15">
        <f t="shared" si="314"/>
        <v>0.43603767059104837</v>
      </c>
      <c r="G75" s="15">
        <f t="shared" si="314"/>
        <v>0.42695194923891772</v>
      </c>
      <c r="H75" s="15">
        <f t="shared" si="314"/>
        <v>0.54339319713669565</v>
      </c>
      <c r="I75" s="15">
        <f t="shared" si="314"/>
        <v>0.56003466615059938</v>
      </c>
      <c r="J75" s="15">
        <f t="shared" si="314"/>
        <v>0.51914485324352377</v>
      </c>
      <c r="K75" s="15">
        <f t="shared" si="314"/>
        <v>0.46835482951803376</v>
      </c>
      <c r="L75" s="15">
        <f t="shared" si="314"/>
        <v>0.55412232550406559</v>
      </c>
      <c r="M75" s="15">
        <f t="shared" si="314"/>
        <v>0.60821871266133709</v>
      </c>
      <c r="N75" s="15">
        <f t="shared" si="314"/>
        <v>0.54519029816501785</v>
      </c>
      <c r="O75" s="137">
        <f t="shared" si="314"/>
        <v>0.48961671214786273</v>
      </c>
      <c r="P75" s="15">
        <f t="shared" si="314"/>
        <v>0.52597372141658172</v>
      </c>
      <c r="Q75" s="15">
        <f t="shared" si="314"/>
        <v>0.54608856717868415</v>
      </c>
      <c r="R75" s="15">
        <f t="shared" ref="R75:W75" si="315">SUM(R72/R73)</f>
        <v>0.57465808191680123</v>
      </c>
      <c r="S75" s="15">
        <f t="shared" si="315"/>
        <v>0.59578447955492309</v>
      </c>
      <c r="T75" s="15">
        <f t="shared" si="315"/>
        <v>0.58794247785405807</v>
      </c>
      <c r="U75" s="15">
        <f t="shared" si="315"/>
        <v>0.58249133874848336</v>
      </c>
      <c r="V75" s="15">
        <f t="shared" si="315"/>
        <v>0.59743719345969348</v>
      </c>
      <c r="W75" s="15">
        <f t="shared" si="315"/>
        <v>0.59083997538659427</v>
      </c>
      <c r="X75" s="15">
        <f t="shared" ref="X75:AC75" si="316">SUM(X72/X73)</f>
        <v>0.59821610169148931</v>
      </c>
      <c r="Y75" s="15">
        <f t="shared" si="316"/>
        <v>0.60531356674881232</v>
      </c>
      <c r="Z75" s="151">
        <f t="shared" si="316"/>
        <v>0.6340089717910945</v>
      </c>
      <c r="AA75" s="137">
        <f t="shared" si="316"/>
        <v>0.6242429696448798</v>
      </c>
      <c r="AB75" s="15">
        <f t="shared" si="316"/>
        <v>0.65110238524901276</v>
      </c>
      <c r="AC75" s="15">
        <f t="shared" si="316"/>
        <v>0.63904898530982046</v>
      </c>
      <c r="AD75" s="15">
        <f t="shared" ref="AD75:AI75" si="317">SUM(AD72/AD73)</f>
        <v>0.64240591533082536</v>
      </c>
      <c r="AE75" s="15">
        <f t="shared" si="317"/>
        <v>0.65333892734138965</v>
      </c>
      <c r="AF75" s="15">
        <f t="shared" si="317"/>
        <v>0.68436655573144878</v>
      </c>
      <c r="AG75" s="15">
        <f t="shared" si="317"/>
        <v>0.6794656642164979</v>
      </c>
      <c r="AH75" s="15">
        <f t="shared" si="317"/>
        <v>0.69080696681506482</v>
      </c>
      <c r="AI75" s="15">
        <f t="shared" si="317"/>
        <v>0.69105914827046233</v>
      </c>
      <c r="AJ75" s="15">
        <f t="shared" ref="AJ75:AO75" si="318">SUM(AJ72/AJ73)</f>
        <v>0.70434912793384452</v>
      </c>
      <c r="AK75" s="15">
        <f t="shared" si="318"/>
        <v>0.69124207843973273</v>
      </c>
      <c r="AL75" s="151">
        <f t="shared" si="318"/>
        <v>0.71929909935120429</v>
      </c>
      <c r="AM75" s="15">
        <f t="shared" si="318"/>
        <v>0.69717083236625621</v>
      </c>
      <c r="AN75" s="15">
        <f t="shared" si="318"/>
        <v>0.68863411486987036</v>
      </c>
      <c r="AO75" s="15">
        <f t="shared" si="318"/>
        <v>0.73360046461676665</v>
      </c>
      <c r="AP75" s="15">
        <f t="shared" ref="AP75:AU75" si="319">SUM(AP72/AP73)</f>
        <v>0.70588939679986173</v>
      </c>
      <c r="AQ75" s="15">
        <f t="shared" si="319"/>
        <v>0.69882361547844363</v>
      </c>
      <c r="AR75" s="15">
        <f t="shared" si="319"/>
        <v>0.73851190901014385</v>
      </c>
      <c r="AS75" s="15">
        <f t="shared" si="319"/>
        <v>0.72711703547630147</v>
      </c>
      <c r="AT75" s="15">
        <f t="shared" si="319"/>
        <v>0.73136140241906156</v>
      </c>
      <c r="AU75" s="15">
        <f t="shared" si="319"/>
        <v>0.73322904794872645</v>
      </c>
      <c r="AV75" s="15">
        <f>SUM(AV72/AV73)</f>
        <v>0.74547408044827668</v>
      </c>
      <c r="AW75" s="15">
        <f>SUM(AW72/AW73)</f>
        <v>0.73910963664933726</v>
      </c>
      <c r="AX75" s="24">
        <f>SUM(AX72/AX73)</f>
        <v>0.75093007656805122</v>
      </c>
      <c r="AY75" s="15">
        <f t="shared" ref="AY75:BG75" si="320">SUM(AY72/AY73)</f>
        <v>0.73113436988320046</v>
      </c>
      <c r="AZ75" s="15">
        <f t="shared" si="320"/>
        <v>0.70514486081622696</v>
      </c>
      <c r="BA75" s="15">
        <f t="shared" si="320"/>
        <v>0.7564396699696958</v>
      </c>
      <c r="BB75" s="15">
        <f t="shared" si="320"/>
        <v>0.74448108969008875</v>
      </c>
      <c r="BC75" s="15">
        <f t="shared" si="320"/>
        <v>0.7621176735162839</v>
      </c>
      <c r="BD75" s="15">
        <f t="shared" si="320"/>
        <v>0.7530368852176067</v>
      </c>
      <c r="BE75" s="15">
        <f t="shared" si="320"/>
        <v>0.73545464840491515</v>
      </c>
      <c r="BF75" s="15">
        <f t="shared" si="320"/>
        <v>0.74283008343001888</v>
      </c>
      <c r="BG75" s="15">
        <f t="shared" si="320"/>
        <v>0.73434757151789687</v>
      </c>
      <c r="BH75" s="15">
        <f t="shared" ref="BH75:BM75" si="321">SUM(BH72/BH73)</f>
        <v>0.74533343086961457</v>
      </c>
      <c r="BI75" s="15">
        <f t="shared" si="321"/>
        <v>0.72842647910894209</v>
      </c>
      <c r="BJ75" s="24">
        <f t="shared" si="321"/>
        <v>0.72801133618677605</v>
      </c>
      <c r="BK75" s="15">
        <f t="shared" si="321"/>
        <v>0.72035276627566669</v>
      </c>
      <c r="BL75" s="15">
        <f t="shared" si="321"/>
        <v>0.72361565062022903</v>
      </c>
      <c r="BM75" s="15">
        <f t="shared" si="321"/>
        <v>0.73024472879484648</v>
      </c>
      <c r="BN75" s="15">
        <f t="shared" ref="BN75:BS75" si="322">SUM(BN72/BN73)</f>
        <v>0.72690509403889125</v>
      </c>
      <c r="BO75" s="15">
        <f t="shared" si="322"/>
        <v>0.74692358177060281</v>
      </c>
      <c r="BP75" s="15">
        <f t="shared" si="322"/>
        <v>0.73092004670841881</v>
      </c>
      <c r="BQ75" s="15">
        <f t="shared" si="322"/>
        <v>0.73141372233969082</v>
      </c>
      <c r="BR75" s="15">
        <f t="shared" si="322"/>
        <v>0.72801294999333832</v>
      </c>
      <c r="BS75" s="15">
        <f t="shared" si="322"/>
        <v>0.72057481242493571</v>
      </c>
      <c r="BT75" s="15">
        <f>SUM(BT72/BT73)</f>
        <v>0.72604167524234509</v>
      </c>
      <c r="BU75" s="15">
        <f>SUM(BU72/BU73)</f>
        <v>0.73253154283549926</v>
      </c>
      <c r="BV75" s="24">
        <f>SUM(BV72/BV73)</f>
        <v>0.72668604324239638</v>
      </c>
      <c r="BW75" s="15">
        <f t="shared" ref="BW75:CB75" si="323">SUM(BW72/BW73)</f>
        <v>0.72421235743175727</v>
      </c>
      <c r="BX75" s="15">
        <f t="shared" si="323"/>
        <v>0.70375943477129477</v>
      </c>
      <c r="BY75" s="15">
        <f t="shared" si="323"/>
        <v>0.70920429429280019</v>
      </c>
      <c r="BZ75" s="15">
        <f t="shared" si="323"/>
        <v>0.72752729492089752</v>
      </c>
      <c r="CA75" s="15">
        <f t="shared" si="323"/>
        <v>0.73043071760276812</v>
      </c>
      <c r="CB75" s="15">
        <f t="shared" si="323"/>
        <v>0.68315779997370085</v>
      </c>
      <c r="CC75" s="15">
        <f>SUM(CC72/CC73)</f>
        <v>0.72412324739923872</v>
      </c>
      <c r="CD75" s="15">
        <f>SUM(CD72/CD73)</f>
        <v>0.7550580423740888</v>
      </c>
      <c r="CE75" s="15">
        <f>SUM(CE72/CE73)</f>
        <v>0.73598065915728372</v>
      </c>
      <c r="CF75" s="15">
        <f t="shared" ref="CF75:CQ75" si="324">SUM(CF72/CF73)</f>
        <v>0.76366967632838278</v>
      </c>
      <c r="CG75" s="15">
        <f t="shared" si="324"/>
        <v>0.77364424914194985</v>
      </c>
      <c r="CH75" s="15">
        <f t="shared" si="324"/>
        <v>0.78145430765077739</v>
      </c>
      <c r="CI75" s="79">
        <f t="shared" si="324"/>
        <v>0.77128524605781534</v>
      </c>
      <c r="CJ75" s="15">
        <f t="shared" si="324"/>
        <v>0.76077594258500902</v>
      </c>
      <c r="CK75" s="15">
        <f t="shared" si="324"/>
        <v>0.76261360297989955</v>
      </c>
      <c r="CL75" s="15">
        <f t="shared" si="324"/>
        <v>0.76064601329978054</v>
      </c>
      <c r="CM75" s="15">
        <f t="shared" si="324"/>
        <v>0.75352859071476952</v>
      </c>
      <c r="CN75" s="15">
        <f t="shared" si="324"/>
        <v>0.75371302588281641</v>
      </c>
      <c r="CO75" s="15">
        <f t="shared" si="324"/>
        <v>0.77264265407858057</v>
      </c>
      <c r="CP75" s="15">
        <f t="shared" si="324"/>
        <v>0.76032580794139892</v>
      </c>
      <c r="CQ75" s="15">
        <f t="shared" si="324"/>
        <v>0.76131192984148222</v>
      </c>
      <c r="CR75" s="15">
        <f t="shared" ref="CR75:EA75" si="325">SUM(CR72/CR73)</f>
        <v>0.76144788357089765</v>
      </c>
      <c r="CS75" s="15">
        <f t="shared" si="325"/>
        <v>0.77395340259580103</v>
      </c>
      <c r="CT75" s="24">
        <f t="shared" si="325"/>
        <v>0.78437020294250015</v>
      </c>
      <c r="CU75" s="15">
        <f t="shared" si="325"/>
        <v>0.76144488308861313</v>
      </c>
      <c r="CV75" s="15">
        <f t="shared" si="325"/>
        <v>0.77826696056509859</v>
      </c>
      <c r="CW75" s="15">
        <f t="shared" si="325"/>
        <v>0.78353237359754835</v>
      </c>
      <c r="CX75" s="15">
        <f t="shared" si="325"/>
        <v>0.78482049493692263</v>
      </c>
      <c r="CY75" s="15">
        <f t="shared" si="325"/>
        <v>0.79855675138736359</v>
      </c>
      <c r="CZ75" s="15">
        <f t="shared" si="325"/>
        <v>0.78698056390691939</v>
      </c>
      <c r="DA75" s="15">
        <f t="shared" si="325"/>
        <v>0.78162916270892091</v>
      </c>
      <c r="DB75" s="15">
        <f t="shared" si="325"/>
        <v>0.78970183424691864</v>
      </c>
      <c r="DC75" s="15">
        <f t="shared" si="325"/>
        <v>0.78341595596651525</v>
      </c>
      <c r="DD75" s="15">
        <f t="shared" si="325"/>
        <v>0.7669091924285969</v>
      </c>
      <c r="DE75" s="15">
        <f t="shared" si="325"/>
        <v>0.79403789722106144</v>
      </c>
      <c r="DF75" s="24">
        <f t="shared" si="325"/>
        <v>0.80155848688884268</v>
      </c>
      <c r="DG75" s="15">
        <f t="shared" si="325"/>
        <v>0.79304448940815009</v>
      </c>
      <c r="DH75" s="15">
        <f t="shared" si="325"/>
        <v>0.78873283047081089</v>
      </c>
      <c r="DI75" s="15">
        <f t="shared" si="325"/>
        <v>0.78334951995251256</v>
      </c>
      <c r="DJ75" s="15">
        <f t="shared" si="325"/>
        <v>0.80736638692891294</v>
      </c>
      <c r="DK75" s="15">
        <f t="shared" si="325"/>
        <v>0.81071297055706792</v>
      </c>
      <c r="DL75" s="15">
        <f t="shared" si="325"/>
        <v>0.80947775699326319</v>
      </c>
      <c r="DM75" s="15">
        <f t="shared" si="325"/>
        <v>0.80369659158255125</v>
      </c>
      <c r="DN75" s="15">
        <f t="shared" si="325"/>
        <v>0.80041166167631927</v>
      </c>
      <c r="DO75" s="15">
        <f t="shared" si="325"/>
        <v>0.80216561881562387</v>
      </c>
      <c r="DP75" s="15">
        <f t="shared" si="325"/>
        <v>0.81185103155477845</v>
      </c>
      <c r="DQ75" s="15">
        <f t="shared" si="325"/>
        <v>0.81458853964858724</v>
      </c>
      <c r="DR75" s="15">
        <f t="shared" si="325"/>
        <v>0.81396099261632515</v>
      </c>
      <c r="DS75" s="15">
        <f t="shared" si="325"/>
        <v>0.82125147392590292</v>
      </c>
      <c r="DT75" s="15">
        <f t="shared" si="325"/>
        <v>0.83703181146713979</v>
      </c>
      <c r="DU75" s="15">
        <f t="shared" si="325"/>
        <v>0.83379669113865962</v>
      </c>
      <c r="DV75" s="15">
        <f t="shared" si="325"/>
        <v>0.83743002726585059</v>
      </c>
      <c r="DW75" s="15">
        <f t="shared" si="325"/>
        <v>0.83750912718070225</v>
      </c>
      <c r="DX75" s="15">
        <f t="shared" si="325"/>
        <v>0.8358036028938528</v>
      </c>
      <c r="DY75" s="15">
        <f t="shared" si="325"/>
        <v>0.831678308940628</v>
      </c>
      <c r="DZ75" s="15">
        <f t="shared" si="325"/>
        <v>0.83755591949628083</v>
      </c>
      <c r="EA75" s="15">
        <f t="shared" si="325"/>
        <v>0.83522607665235293</v>
      </c>
      <c r="EB75" s="15">
        <f t="shared" ref="EB75:FH75" si="326">SUM(EB72/EB73)</f>
        <v>0.83704227251903585</v>
      </c>
      <c r="EC75" s="15">
        <f t="shared" si="326"/>
        <v>0.83896493035883979</v>
      </c>
      <c r="ED75" s="15">
        <f t="shared" si="326"/>
        <v>0.83873290321906746</v>
      </c>
      <c r="EE75" s="15">
        <f t="shared" si="326"/>
        <v>0.84458181088129103</v>
      </c>
      <c r="EF75" s="15">
        <f t="shared" si="326"/>
        <v>0.8536201092380179</v>
      </c>
      <c r="EG75" s="15">
        <f t="shared" si="326"/>
        <v>0.85560358313950979</v>
      </c>
      <c r="EH75" s="15">
        <f t="shared" si="326"/>
        <v>0.85894254059611341</v>
      </c>
      <c r="EI75" s="15">
        <f t="shared" si="326"/>
        <v>0.85822505264934534</v>
      </c>
      <c r="EJ75" s="15">
        <f t="shared" si="326"/>
        <v>0.86824734769284817</v>
      </c>
      <c r="EK75" s="15">
        <f t="shared" si="326"/>
        <v>0.86405245391115337</v>
      </c>
      <c r="EL75" s="15">
        <f t="shared" si="326"/>
        <v>0.86232468086275182</v>
      </c>
      <c r="EM75" s="15">
        <f t="shared" si="326"/>
        <v>0.85908007996498792</v>
      </c>
      <c r="EN75" s="15">
        <f t="shared" si="326"/>
        <v>0.85496848621274368</v>
      </c>
      <c r="EO75" s="15">
        <f t="shared" si="326"/>
        <v>0.8600554807679075</v>
      </c>
      <c r="EP75" s="15">
        <f t="shared" si="326"/>
        <v>0.86565160856375645</v>
      </c>
      <c r="EQ75" s="15">
        <f t="shared" si="326"/>
        <v>0.86562818442839118</v>
      </c>
      <c r="ER75" s="15">
        <f t="shared" si="326"/>
        <v>0.8611422504630788</v>
      </c>
      <c r="ES75" s="15">
        <f t="shared" si="326"/>
        <v>0.85710142131855938</v>
      </c>
      <c r="ET75" s="15">
        <f t="shared" si="326"/>
        <v>0.86523144513262895</v>
      </c>
      <c r="EU75" s="15">
        <f t="shared" si="326"/>
        <v>0.85641323412028736</v>
      </c>
      <c r="EV75" s="15">
        <f t="shared" si="326"/>
        <v>0.86058196107488316</v>
      </c>
      <c r="EW75" s="15">
        <f t="shared" si="326"/>
        <v>0.86726649982512705</v>
      </c>
      <c r="EX75" s="15">
        <f t="shared" si="326"/>
        <v>0.87070322496570873</v>
      </c>
      <c r="EY75" s="15">
        <f t="shared" si="326"/>
        <v>0.87600573363069179</v>
      </c>
      <c r="EZ75" s="15">
        <f t="shared" si="326"/>
        <v>0.88005612178347559</v>
      </c>
      <c r="FA75" s="15">
        <f t="shared" si="326"/>
        <v>0.87005054827485606</v>
      </c>
      <c r="FB75" s="15">
        <f t="shared" si="326"/>
        <v>0.88744959242113575</v>
      </c>
      <c r="FC75" s="15">
        <f t="shared" si="326"/>
        <v>0.87784342245980407</v>
      </c>
      <c r="FD75" s="15">
        <f t="shared" si="326"/>
        <v>0.86497751069453244</v>
      </c>
      <c r="FE75" s="15">
        <f t="shared" si="326"/>
        <v>0.86793731302431798</v>
      </c>
      <c r="FF75" s="15">
        <f t="shared" si="326"/>
        <v>0.87305280763353665</v>
      </c>
      <c r="FG75" s="15">
        <f t="shared" si="326"/>
        <v>0.87163344482425886</v>
      </c>
      <c r="FH75" s="15">
        <f t="shared" si="326"/>
        <v>0.87335425846084991</v>
      </c>
      <c r="FI75" s="15">
        <f t="shared" ref="FI75:FT75" si="327">SUM(FI72/FI73)</f>
        <v>0.87335559315976241</v>
      </c>
      <c r="FJ75" s="15">
        <f t="shared" si="327"/>
        <v>0.87004579822415962</v>
      </c>
      <c r="FK75" s="15">
        <f t="shared" si="327"/>
        <v>0.86784491444539014</v>
      </c>
      <c r="FL75" s="15">
        <f t="shared" si="327"/>
        <v>0.87417142941030934</v>
      </c>
      <c r="FM75" s="15">
        <f t="shared" si="327"/>
        <v>0.87621042929989945</v>
      </c>
      <c r="FN75" s="15">
        <f t="shared" si="327"/>
        <v>0.87656522805827808</v>
      </c>
      <c r="FO75" s="15">
        <f t="shared" si="327"/>
        <v>0.87652174380974945</v>
      </c>
      <c r="FP75" s="15">
        <f t="shared" si="327"/>
        <v>0.88146789177336204</v>
      </c>
      <c r="FQ75" s="15">
        <f t="shared" si="327"/>
        <v>0.88550751282349527</v>
      </c>
      <c r="FR75" s="15">
        <f t="shared" si="327"/>
        <v>0.8814643426950256</v>
      </c>
      <c r="FS75" s="15">
        <f t="shared" si="327"/>
        <v>0.88106802181440269</v>
      </c>
      <c r="FT75" s="15">
        <f t="shared" si="327"/>
        <v>0.8710073725710652</v>
      </c>
    </row>
    <row r="76" spans="2:176" x14ac:dyDescent="0.25">
      <c r="B76" s="114"/>
      <c r="C76" s="74"/>
      <c r="D76" s="18"/>
      <c r="E76" s="18"/>
      <c r="F76" s="18"/>
      <c r="G76" s="18"/>
      <c r="H76" s="19"/>
      <c r="I76" s="18"/>
      <c r="J76" s="18"/>
      <c r="K76" s="18"/>
      <c r="L76" s="18"/>
      <c r="M76" s="18"/>
      <c r="N76" s="18"/>
      <c r="O76" s="138"/>
      <c r="P76" s="18"/>
      <c r="Q76" s="18"/>
      <c r="U76" s="18"/>
      <c r="V76" s="18"/>
      <c r="W76" s="18"/>
      <c r="X76" s="18"/>
      <c r="Y76" s="18"/>
      <c r="Z76" s="146"/>
      <c r="AA76" s="13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46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20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20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20"/>
      <c r="BW76" s="18"/>
      <c r="BX76" s="18"/>
      <c r="BY76" s="18"/>
      <c r="BZ76" s="18"/>
      <c r="CA76" s="18"/>
      <c r="CB76" s="18"/>
      <c r="CC76" s="69"/>
      <c r="CD76" s="69"/>
      <c r="CE76" s="69"/>
      <c r="CF76" s="69"/>
      <c r="CG76" s="69"/>
      <c r="CH76" s="69"/>
      <c r="CI76" s="88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8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89"/>
      <c r="DG76" s="69"/>
      <c r="DH76" s="69"/>
      <c r="DI76" s="69"/>
      <c r="DJ76" s="69"/>
    </row>
    <row r="77" spans="2:176" x14ac:dyDescent="0.25">
      <c r="B77" s="114" t="s">
        <v>55</v>
      </c>
      <c r="C77" s="81"/>
      <c r="D77" s="18"/>
      <c r="E77" s="18"/>
      <c r="F77" s="18"/>
      <c r="G77" s="18"/>
      <c r="H77" s="19"/>
      <c r="I77" s="18"/>
      <c r="J77" s="18"/>
      <c r="K77" s="18"/>
      <c r="L77" s="18"/>
      <c r="M77" s="18"/>
      <c r="N77" s="18"/>
      <c r="O77" s="161"/>
      <c r="P77" s="18"/>
      <c r="Q77" s="18"/>
      <c r="U77" s="18"/>
      <c r="V77" s="18"/>
      <c r="W77" s="18"/>
      <c r="X77" s="18"/>
      <c r="Y77" s="18"/>
      <c r="Z77" s="146"/>
      <c r="AA77" s="13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46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20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20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20"/>
      <c r="BW77" s="18"/>
      <c r="BX77" s="18"/>
      <c r="BY77" s="18"/>
      <c r="BZ77" s="18"/>
      <c r="CA77" s="18"/>
      <c r="CB77" s="18"/>
      <c r="CC77" s="69"/>
      <c r="CD77" s="69"/>
      <c r="CE77" s="69"/>
      <c r="CF77" s="69"/>
      <c r="CG77" s="69"/>
      <c r="CH77" s="69"/>
      <c r="CI77" s="88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8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89"/>
      <c r="DG77" s="69"/>
      <c r="DH77" s="69"/>
      <c r="DI77" s="69"/>
      <c r="DJ77" s="69"/>
    </row>
    <row r="78" spans="2:176" s="68" customFormat="1" x14ac:dyDescent="0.25">
      <c r="B78" s="115" t="s">
        <v>1</v>
      </c>
      <c r="C78" s="88">
        <f>SUM(Oncor!C78,Centerpoint!C78,'AEP Central'!C78,TNMP!C78,'AEP North'!C78)</f>
        <v>54604.105000000003</v>
      </c>
      <c r="D78" s="69">
        <f>SUM(Oncor!D78,Centerpoint!D78,'AEP Central'!D78,TNMP!D78,'AEP North'!D78)</f>
        <v>83225.013999999996</v>
      </c>
      <c r="E78" s="69">
        <f>SUM(Oncor!E78,Centerpoint!E78,'AEP Central'!E78,TNMP!E78,'AEP North'!E78)</f>
        <v>59940.798000000003</v>
      </c>
      <c r="F78" s="69">
        <f>SUM(Oncor!F78,Centerpoint!F78,'AEP Central'!F78,TNMP!F78,'AEP North'!F78)</f>
        <v>81430.663</v>
      </c>
      <c r="G78" s="69">
        <f>SUM(Oncor!G78,Centerpoint!G78,'AEP Central'!G78,TNMP!G78,'AEP North'!G78)</f>
        <v>76033.297000000006</v>
      </c>
      <c r="H78" s="69">
        <f>SUM(Oncor!H78,Centerpoint!H78,'AEP Central'!H78,TNMP!H78,'AEP North'!H78)</f>
        <v>83423.252999999997</v>
      </c>
      <c r="I78" s="69">
        <f>SUM(Oncor!I78,Centerpoint!I78,'AEP Central'!I78,TNMP!I78,'AEP North'!I78)</f>
        <v>78258.475999999995</v>
      </c>
      <c r="J78" s="69">
        <f>SUM(Oncor!J78,Centerpoint!J78,'AEP Central'!J78,TNMP!J78,'AEP North'!J78)</f>
        <v>75645.315000000002</v>
      </c>
      <c r="K78" s="69">
        <f>SUM(Oncor!K78,Centerpoint!K78,'AEP Central'!K78,TNMP!K78,'AEP North'!K78)</f>
        <v>76562.148000000016</v>
      </c>
      <c r="L78" s="69">
        <f>SUM(Oncor!L78,Centerpoint!L78,'AEP Central'!L78,TNMP!L78,'AEP North'!L78)</f>
        <v>75961.331999999995</v>
      </c>
      <c r="M78" s="69">
        <f>SUM(Oncor!M78,Centerpoint!M78,'AEP Central'!M78,TNMP!M78,'AEP North'!M78)</f>
        <v>75714.051000000007</v>
      </c>
      <c r="N78" s="69">
        <f>SUM(Oncor!N78,Centerpoint!N78,'AEP Central'!N78,TNMP!N78,'AEP North'!N78)</f>
        <v>72828.233999999997</v>
      </c>
      <c r="O78" s="143">
        <f>SUM(Oncor!O78,Centerpoint!O78,'AEP Central'!O78,TNMP!O78,'AEP North'!O78)</f>
        <v>73080</v>
      </c>
      <c r="P78" s="69">
        <f>SUM(Oncor!P78,Centerpoint!P78,'AEP Central'!P78,TNMP!P78,'AEP North'!P78)</f>
        <v>69407</v>
      </c>
      <c r="Q78" s="69">
        <f>SUM(Oncor!Q78,Centerpoint!Q78,'AEP Central'!Q78,TNMP!Q78,'AEP North'!Q78)</f>
        <v>69897</v>
      </c>
      <c r="R78" s="69">
        <f>SUM(Oncor!R78,Centerpoint!R78,'AEP Central'!R78,TNMP!R78,'AEP North'!R78)</f>
        <v>74622.032999999996</v>
      </c>
      <c r="S78" s="69">
        <f>SUM(Oncor!S78,Centerpoint!S78,'AEP Central'!S78,TNMP!S78,'AEP North'!S78)</f>
        <v>72676.483999999997</v>
      </c>
      <c r="T78" s="69">
        <f>SUM(Oncor!T78,Centerpoint!T78,'AEP Central'!T78,TNMP!T78,'AEP North'!T78)</f>
        <v>71754.817999999999</v>
      </c>
      <c r="U78" s="69">
        <f>SUM(Oncor!U78,Centerpoint!U78,'AEP Central'!U78,TNMP!U78,'AEP North'!U78)</f>
        <v>71761.375</v>
      </c>
      <c r="V78" s="69">
        <f>SUM(Oncor!V78,Centerpoint!V78,'AEP Central'!V78,TNMP!V78,'AEP North'!V78)</f>
        <v>71919.864000000001</v>
      </c>
      <c r="W78" s="69">
        <f>SUM(Oncor!W78,Centerpoint!W78,'AEP Central'!W78,TNMP!W78,'AEP North'!W78)</f>
        <v>77560.682000000001</v>
      </c>
      <c r="X78" s="69">
        <f>SUM(Oncor!X78,Centerpoint!X78,'AEP Central'!X78,TNMP!X78,'AEP North'!X78)</f>
        <v>79560.89</v>
      </c>
      <c r="Y78" s="69">
        <f>SUM(Oncor!Y78,Centerpoint!Y78,'AEP Central'!Y78,TNMP!Y78,'AEP North'!Y78)</f>
        <v>73552.87000000001</v>
      </c>
      <c r="Z78" s="157">
        <f>SUM(Oncor!Z78,Centerpoint!Z78,'AEP Central'!Z78,TNMP!Z78,'AEP North'!Z78)</f>
        <v>77630.510000000009</v>
      </c>
      <c r="AA78" s="143">
        <f>SUM(Oncor!AA78,Centerpoint!AA78,'AEP Central'!AA78,TNMP!AA78,'AEP North'!AA78)</f>
        <v>72445.820000000007</v>
      </c>
      <c r="AB78" s="69">
        <f>SUM(Oncor!AB78,Centerpoint!AB78,'AEP Central'!AB78,TNMP!AB78,'AEP North'!AB78)</f>
        <v>77576.100000000006</v>
      </c>
      <c r="AC78" s="69">
        <f>SUM(Oncor!AC78,Centerpoint!AC78,'AEP Central'!AC78,TNMP!AC78,'AEP North'!AC78)</f>
        <v>79651.820000000007</v>
      </c>
      <c r="AD78" s="69">
        <f>SUM(Oncor!AD78,Centerpoint!AD78,'AEP Central'!AD78,TNMP!AD78,'AEP North'!AD78)</f>
        <v>76706.55</v>
      </c>
      <c r="AE78" s="69">
        <f>SUM(Oncor!AE78,Centerpoint!AE78,'AEP Central'!AE78,TNMP!AE78,'AEP North'!AE78)</f>
        <v>73147.340000000011</v>
      </c>
      <c r="AF78" s="69">
        <f>SUM(Oncor!AF78,Centerpoint!AF78,'AEP Central'!AF78,TNMP!AF78,'AEP North'!AF78)</f>
        <v>79912.25</v>
      </c>
      <c r="AG78" s="69">
        <f>SUM(Oncor!AG78,Centerpoint!AG78,'AEP Central'!AG78,TNMP!AG78,'AEP North'!AG78)</f>
        <v>74890.429999999993</v>
      </c>
      <c r="AH78" s="69">
        <f>SUM(Oncor!AH78,Centerpoint!AH78,'AEP Central'!AH78,TNMP!AH78,'AEP North'!AH78)</f>
        <v>75806.94</v>
      </c>
      <c r="AI78" s="69">
        <f>SUM(Oncor!AI78,Centerpoint!AI78,'AEP Central'!AI78,TNMP!AI78,'AEP North'!AI78)</f>
        <v>75037.8</v>
      </c>
      <c r="AJ78" s="69">
        <f>SUM(Oncor!AJ78,Centerpoint!AJ78,'AEP Central'!AJ78,TNMP!AJ78,'AEP North'!AJ78)</f>
        <v>74627.66</v>
      </c>
      <c r="AK78" s="69">
        <f>SUM(Oncor!AK78,Centerpoint!AK78,'AEP Central'!AK78,TNMP!AK78,'AEP North'!AK78)</f>
        <v>73180.561000000002</v>
      </c>
      <c r="AL78" s="157">
        <f>SUM(Oncor!AL78,Centerpoint!AL78,'AEP Central'!AL78,TNMP!AL78,'AEP North'!AL78)</f>
        <v>72963.561000000002</v>
      </c>
      <c r="AM78" s="69">
        <f>SUM(Oncor!AM78,Centerpoint!AM78,'AEP Central'!AM78,TNMP!AM78,'AEP North'!AM78)</f>
        <v>70954.28</v>
      </c>
      <c r="AN78" s="69">
        <f>SUM(Oncor!AN78,Centerpoint!AN78,'AEP Central'!AN78,TNMP!AN78,'AEP North'!AN78)</f>
        <v>63081.36</v>
      </c>
      <c r="AO78" s="69">
        <f>SUM(Oncor!AO78,Centerpoint!AO78,'AEP Central'!AO78,TNMP!AO78,'AEP North'!AO78)</f>
        <v>63862.71</v>
      </c>
      <c r="AP78" s="69">
        <f>SUM(Oncor!AP78,Centerpoint!AP78,'AEP Central'!AP78,TNMP!AP78,'AEP North'!AP78)</f>
        <v>62680.38</v>
      </c>
      <c r="AQ78" s="69">
        <f>SUM(Oncor!AQ78,Centerpoint!AQ78,'AEP Central'!AQ78,TNMP!AQ78,'AEP North'!AQ78)</f>
        <v>61546.91</v>
      </c>
      <c r="AR78" s="69">
        <f>SUM(Oncor!AR78,Centerpoint!AR78,'AEP Central'!AR78,TNMP!AR78,'AEP North'!AR78)</f>
        <v>61953.969999999994</v>
      </c>
      <c r="AS78" s="69">
        <f>SUM(Oncor!AS78,Centerpoint!AS78,'AEP Central'!AS78,TNMP!AS78,'AEP North'!AS78)</f>
        <v>60797.170000000006</v>
      </c>
      <c r="AT78" s="69">
        <f>SUM(Oncor!AT78,Centerpoint!AT78,'AEP Central'!AT78,TNMP!AT78,'AEP North'!AT78)</f>
        <v>60668.11</v>
      </c>
      <c r="AU78" s="69">
        <f>SUM(Oncor!AU78,Centerpoint!AU78,'AEP Central'!AU78,TNMP!AU78,'AEP North'!AU78)</f>
        <v>62032.369999999995</v>
      </c>
      <c r="AV78" s="69">
        <f>SUM(Oncor!AV78,Centerpoint!AV78,'AEP Central'!AV78,TNMP!AV78,'AEP North'!AV78)</f>
        <v>60762.979999999996</v>
      </c>
      <c r="AW78" s="69">
        <f>SUM(Oncor!AW78,Centerpoint!AW78,'AEP Central'!AW78,TNMP!AW78,'AEP North'!AW78)</f>
        <v>59367.38</v>
      </c>
      <c r="AX78" s="89">
        <f>SUM(Oncor!AX78,Centerpoint!AX78,'AEP Central'!AX78,TNMP!AX78,'AEP North'!AX78)</f>
        <v>60045.590000000004</v>
      </c>
      <c r="AY78" s="69">
        <f>SUM(Oncor!AY78,Centerpoint!AY78,'AEP Central'!AY78,TNMP!AY78,'AEP North'!AY78)</f>
        <v>60691.83</v>
      </c>
      <c r="AZ78" s="69">
        <f>SUM(Oncor!AZ78,Centerpoint!AZ78,'AEP Central'!AZ78,TNMP!AZ78,'AEP North'!AZ78)</f>
        <v>59857.21</v>
      </c>
      <c r="BA78" s="69">
        <f>SUM(Oncor!BA78,Centerpoint!BA78,'AEP Central'!BA78,TNMP!BA78,'AEP North'!BA78)</f>
        <v>60652.25</v>
      </c>
      <c r="BB78" s="69">
        <f>SUM(Oncor!BB78,Centerpoint!BB78,'AEP Central'!BB78,TNMP!BB78,'AEP North'!BB78)</f>
        <v>59160.17</v>
      </c>
      <c r="BC78" s="69">
        <f>SUM(Oncor!BC78,Centerpoint!BC78,'AEP Central'!BC78,TNMP!BC78,'AEP North'!BC78)</f>
        <v>59814.39</v>
      </c>
      <c r="BD78" s="69">
        <f>SUM(Oncor!BD78,Centerpoint!BD78,'AEP Central'!BD78,TNMP!BD78,'AEP North'!BD78)</f>
        <v>59234.189999999995</v>
      </c>
      <c r="BE78" s="69">
        <f>SUM(Oncor!BE78,Centerpoint!BE78,'AEP Central'!BE78,TNMP!BE78,'AEP North'!BE78)</f>
        <v>58399.5</v>
      </c>
      <c r="BF78" s="69">
        <f>SUM(Oncor!BF78,Centerpoint!BF78,'AEP Central'!BF78,TNMP!BF78,'AEP North'!BF78)</f>
        <v>56420.829999999994</v>
      </c>
      <c r="BG78" s="69">
        <f>SUM(Oncor!BG78,Centerpoint!BG78,'AEP Central'!BG78,TNMP!BG78,'AEP North'!BG78)</f>
        <v>55299.81</v>
      </c>
      <c r="BH78" s="69">
        <f>SUM(Oncor!BH78,Centerpoint!BH78,'AEP Central'!BH78,TNMP!BH78,'AEP North'!BH78)</f>
        <v>55514.37</v>
      </c>
      <c r="BI78" s="69">
        <f>SUM(Oncor!BI78,Centerpoint!BI78,'AEP Central'!BI78,TNMP!BI78,'AEP North'!BI78)</f>
        <v>53957.42</v>
      </c>
      <c r="BJ78" s="89">
        <f>SUM(Oncor!BJ78,Centerpoint!BJ78,'AEP Central'!BJ78,TNMP!BJ78,'AEP North'!BJ78)</f>
        <v>53562.719999999994</v>
      </c>
      <c r="BK78" s="69">
        <f>SUM(Oncor!BK78,Centerpoint!BK78,'AEP Central'!BK78,TNMP!BK78,'AEP North'!BK78)</f>
        <v>53805.049999999996</v>
      </c>
      <c r="BL78" s="69">
        <f>SUM(Oncor!BL78,Centerpoint!BL78,'AEP Central'!BL78,TNMP!BL78,'AEP North'!BL78)</f>
        <v>50944.47</v>
      </c>
      <c r="BM78" s="69">
        <f>SUM(Oncor!BM78,Centerpoint!BM78,'AEP Central'!BM78,TNMP!BM78,'AEP North'!BM78)</f>
        <v>44172.969999999994</v>
      </c>
      <c r="BN78" s="69">
        <f>SUM(Oncor!BN78,Centerpoint!BN78,'AEP Central'!BN78,TNMP!BN78,'AEP North'!BN78)</f>
        <v>43006.078999999998</v>
      </c>
      <c r="BO78" s="69">
        <f>SUM(Oncor!BO78,Centerpoint!BO78,'AEP Central'!BO78,TNMP!BO78,'AEP North'!BO78)</f>
        <v>43321.619999999995</v>
      </c>
      <c r="BP78" s="69">
        <f>SUM(Oncor!BP78,Centerpoint!BP78,'AEP Central'!BP78,TNMP!BP78,'AEP North'!BP78)</f>
        <v>42715.136999999995</v>
      </c>
      <c r="BQ78" s="69">
        <f>SUM(Oncor!BQ78,Centerpoint!BQ78,'AEP Central'!BQ78,TNMP!BQ78,'AEP North'!BQ78)</f>
        <v>42349.430000000008</v>
      </c>
      <c r="BR78" s="69">
        <f>SUM(Oncor!BR78,Centerpoint!BR78,'AEP Central'!BR78,TNMP!BR78,'AEP North'!BR78)</f>
        <v>42423.27</v>
      </c>
      <c r="BS78" s="69">
        <f>SUM(Oncor!BS78,Centerpoint!BS78,'AEP Central'!BS78,TNMP!BS78,'AEP North'!BS78)</f>
        <v>41068.86</v>
      </c>
      <c r="BT78" s="69">
        <f>SUM(Oncor!BT78,Centerpoint!BT78,'AEP Central'!BT78,TNMP!BT78,'AEP North'!BT78)</f>
        <v>41358.480000000003</v>
      </c>
      <c r="BU78" s="69">
        <f>SUM(Oncor!BU78,Centerpoint!BU78,'AEP Central'!BU78,TNMP!BU78,'AEP North'!BU78)</f>
        <v>41027.380000000005</v>
      </c>
      <c r="BV78" s="89">
        <f>SUM(Oncor!BV78,Centerpoint!BV78,'AEP Central'!BV78,TNMP!BV78,'AEP North'!BV78)</f>
        <v>41081.050000000003</v>
      </c>
      <c r="BW78" s="69">
        <f>SUM(Oncor!BW78,Centerpoint!BW78,'AEP Central'!BW78,TNMP!BW78,'AEP North'!BW78)</f>
        <v>41039.840000000004</v>
      </c>
      <c r="BX78" s="69">
        <f>SUM(Oncor!BX78,Centerpoint!BX78,'AEP Central'!BX78,TNMP!BX78,'AEP North'!BX78)</f>
        <v>39786.980000000003</v>
      </c>
      <c r="BY78" s="69">
        <f>SUM(Oncor!BY78,Centerpoint!BY78,'AEP Central'!BY78,TNMP!BY78,'AEP North'!BY78)</f>
        <v>39303.15</v>
      </c>
      <c r="BZ78" s="69">
        <f>SUM(Oncor!BZ78,Centerpoint!BZ78,'AEP Central'!BZ78,TNMP!BZ78,'AEP North'!BZ78)</f>
        <v>39222.200000000004</v>
      </c>
      <c r="CA78" s="69">
        <f>SUM(Oncor!CA78,Centerpoint!CA78,'AEP Central'!CA78,TNMP!CA78,'AEP North'!CA78)</f>
        <v>39041.35</v>
      </c>
      <c r="CB78" s="69">
        <f>SUM(Oncor!CB78,Centerpoint!CB78,'AEP Central'!CB78,TNMP!CB78,'AEP North'!CB78)</f>
        <v>38940.270000000004</v>
      </c>
      <c r="CC78" s="69">
        <f>SUM(Oncor!CC78,Centerpoint!CC78,'AEP Central'!CC78,TNMP!CC78,'AEP North'!CC78)</f>
        <v>38448.565000000002</v>
      </c>
      <c r="CD78" s="69">
        <f>SUM(Oncor!CD78,Centerpoint!CD78,'AEP Central'!CD78,TNMP!CD78,'AEP North'!CD78)</f>
        <v>38269.665999999997</v>
      </c>
      <c r="CE78" s="69">
        <f>SUM(Oncor!CE78,Centerpoint!CE78,'AEP Central'!CE78,TNMP!CE78,'AEP North'!CE78)</f>
        <v>37639.53</v>
      </c>
      <c r="CF78" s="69">
        <f>SUM(Oncor!CF78,Centerpoint!CF78,'AEP Central'!CF78,TNMP!CF78,'AEP North'!CF78)</f>
        <v>37183.019999999997</v>
      </c>
      <c r="CG78" s="69">
        <f>SUM(Oncor!CG78,Centerpoint!CG78,'AEP Central'!CG78,TNMP!CG78,'AEP North'!CG78)</f>
        <v>36860.439999999995</v>
      </c>
      <c r="CH78" s="69">
        <f>SUM(Oncor!CH78,Centerpoint!CH78,'AEP Central'!CH78,TNMP!CH78,'AEP North'!CH78)</f>
        <v>36985.340000000004</v>
      </c>
      <c r="CI78" s="88">
        <f>SUM(Oncor!CI78,Centerpoint!CI78,'AEP Central'!CI78,TNMP!CI78,'AEP North'!CI78)</f>
        <v>37549.949999999997</v>
      </c>
      <c r="CJ78" s="69">
        <f>SUM(Oncor!CJ78,Centerpoint!CJ78,'AEP Central'!CJ78,TNMP!CJ78,'AEP North'!CJ78)</f>
        <v>36909.65</v>
      </c>
      <c r="CK78" s="69">
        <f>SUM(Oncor!CK78,Centerpoint!CK78,'AEP Central'!CK78,TNMP!CK78,'AEP North'!CK78)</f>
        <v>35373.53</v>
      </c>
      <c r="CL78" s="69">
        <f>SUM(Oncor!CL78,Centerpoint!CL78,'AEP Central'!CL78,TNMP!CL78,'AEP North'!CL78)</f>
        <v>35044.050000000003</v>
      </c>
      <c r="CM78" s="69">
        <f>SUM(Oncor!CM78,Centerpoint!CM78,'AEP Central'!CM78,TNMP!CM78,'AEP North'!CM78)</f>
        <v>34830.57</v>
      </c>
      <c r="CN78" s="69">
        <f>SUM(Oncor!CN78,Centerpoint!CN78,'AEP Central'!CN78,TNMP!CN78,'AEP North'!CN78)</f>
        <v>34504.89</v>
      </c>
      <c r="CO78" s="69">
        <f>SUM(Oncor!CO78,Centerpoint!CO78,'AEP Central'!CO78,TNMP!CO78,'AEP North'!CO78)</f>
        <v>37066.409999999996</v>
      </c>
      <c r="CP78" s="69">
        <f>SUM(Oncor!CP78,Centerpoint!CP78,'AEP Central'!CP78,TNMP!CP78,'AEP North'!CP78)</f>
        <v>37290.75</v>
      </c>
      <c r="CQ78" s="69">
        <f>SUM(Oncor!CQ78,Centerpoint!CQ78,'AEP Central'!CQ78,TNMP!CQ78,'AEP North'!CQ78)</f>
        <v>36056.68</v>
      </c>
      <c r="CR78" s="69">
        <f>SUM(Oncor!CR78,Centerpoint!CR78,'AEP Central'!CR78,TNMP!CR78,'AEP North'!CR78)</f>
        <v>35989.81</v>
      </c>
      <c r="CS78" s="69">
        <f>SUM(Oncor!CS78,Centerpoint!CS78,'AEP Central'!CS78,TNMP!CS78,'AEP North'!CS78)</f>
        <v>35669.410000000003</v>
      </c>
      <c r="CT78" s="89">
        <f>SUM(Oncor!CT78,Centerpoint!CT78,'AEP Central'!CT78,TNMP!CT78,'AEP North'!CT78)</f>
        <v>35732.92</v>
      </c>
      <c r="CU78" s="69">
        <f>SUM(Oncor!CU78,Centerpoint!CU78,'AEP Central'!CU78,TNMP!CU78,'AEP North'!CU78)</f>
        <v>36195.328999999998</v>
      </c>
      <c r="CV78" s="69">
        <f>SUM(Oncor!CV78,Centerpoint!CV78,'AEP Central'!CV78,TNMP!CV78,'AEP North'!CV78)</f>
        <v>35002.618000000002</v>
      </c>
      <c r="CW78" s="69">
        <f>SUM(Oncor!CW78,Centerpoint!CW78,'AEP Central'!CW78,TNMP!CW78,'AEP North'!CW78)</f>
        <v>34735.591</v>
      </c>
      <c r="CX78" s="69">
        <f>SUM(Oncor!CX78,Centerpoint!CX78,'AEP Central'!CX78,TNMP!CX78,'AEP North'!CX78)</f>
        <v>34834.71</v>
      </c>
      <c r="CY78" s="69">
        <f>SUM(Oncor!CY78,Centerpoint!CY78,'AEP Central'!CY78,TNMP!CY78,'AEP North'!CY78)</f>
        <v>34608.89</v>
      </c>
      <c r="CZ78" s="69">
        <f>SUM(Oncor!CZ78,Centerpoint!CZ78,'AEP Central'!CZ78,TNMP!CZ78,'AEP North'!CZ78)</f>
        <v>34578.04</v>
      </c>
      <c r="DA78" s="69">
        <f>SUM(Oncor!DA78,Centerpoint!DA78,'AEP Central'!DA78,TNMP!DA78,'AEP North'!DA78)</f>
        <v>34301.26</v>
      </c>
      <c r="DB78" s="69">
        <f>SUM(Oncor!DB78,Centerpoint!DB78,'AEP Central'!DB78,TNMP!DB78,'AEP North'!DB78)</f>
        <v>33593.020000000004</v>
      </c>
      <c r="DC78" s="69">
        <f>SUM(Oncor!DC78,Centerpoint!DC78,'AEP Central'!DC78,TNMP!DC78,'AEP North'!DC78)</f>
        <v>33683.360000000001</v>
      </c>
      <c r="DD78" s="69">
        <f>SUM(Oncor!DD78,Centerpoint!DD78,'AEP Central'!DD78,TNMP!DD78,'AEP North'!DD78)</f>
        <v>33084.21</v>
      </c>
      <c r="DE78" s="69">
        <f>SUM(Oncor!DE78,Centerpoint!DE78,'AEP Central'!DE78,TNMP!DE78,'AEP North'!DE78)</f>
        <v>32647.920000000002</v>
      </c>
      <c r="DF78" s="89">
        <f>SUM(Oncor!DF78,Centerpoint!DF78,'AEP Central'!DF78,TNMP!DF78,'AEP North'!DF78)</f>
        <v>32669.35</v>
      </c>
      <c r="DG78" s="69">
        <f>SUM(Oncor!DG78,Centerpoint!DG78,'AEP Central'!DG78,TNMP!DG78,'AEP North'!DG78)</f>
        <v>32219</v>
      </c>
      <c r="DH78" s="69">
        <f>SUM(Oncor!DH78,Centerpoint!DH78,'AEP Central'!DH78,TNMP!DH78,'AEP North'!DH78)</f>
        <v>37475.08</v>
      </c>
      <c r="DI78" s="69">
        <f>SUM(Oncor!DI78,Centerpoint!DI78,'AEP Central'!DI78,TNMP!DI78,'AEP North'!DI78)</f>
        <v>38691.32</v>
      </c>
      <c r="DJ78" s="69">
        <f>SUM(Oncor!DJ78,Centerpoint!DJ78,'AEP Central'!DJ78,TNMP!DJ78,'AEP North'!DJ78)</f>
        <v>38510.959999999992</v>
      </c>
      <c r="DK78" s="69">
        <f>SUM(Oncor!DK78,Centerpoint!DK78,'AEP Central'!DK78,TNMP!DK78,'AEP North'!DK78)</f>
        <v>38176.300000000003</v>
      </c>
      <c r="DL78" s="69">
        <f>SUM(Oncor!DL78,Centerpoint!DL78,'AEP Central'!DL78,TNMP!DL78,'AEP North'!DL78)</f>
        <v>38339.53</v>
      </c>
      <c r="DM78" s="69">
        <f>SUM(Oncor!DM78,Centerpoint!DM78,'AEP Central'!DM78,TNMP!DM78,'AEP North'!DM78)</f>
        <v>35148.340000000004</v>
      </c>
      <c r="DN78" s="69">
        <f>SUM(Oncor!DN78,Centerpoint!DN78,'AEP Central'!DN78,TNMP!DN78,'AEP North'!DN78)</f>
        <v>35149.230000000003</v>
      </c>
      <c r="DO78" s="69">
        <f>SUM(Oncor!DO78,Centerpoint!DO78,'AEP Central'!DO78,TNMP!DO78,'AEP North'!DO78)</f>
        <v>34769.71</v>
      </c>
      <c r="DP78" s="69">
        <f>SUM(Oncor!DP78,Centerpoint!DP78,'AEP Central'!DP78,TNMP!DP78,'AEP North'!DP78)</f>
        <v>34644.69</v>
      </c>
      <c r="DQ78" s="69">
        <f>SUM(Oncor!DQ78,Centerpoint!DQ78,'AEP Central'!DQ78,TNMP!DQ78,'AEP North'!DQ78)</f>
        <v>34628.54</v>
      </c>
      <c r="DR78" s="69">
        <f>SUM(Oncor!DR78,Centerpoint!DR78,'AEP Central'!DR78,TNMP!DR78,'AEP North'!DR78)</f>
        <v>34123.920000000006</v>
      </c>
      <c r="DS78" s="69">
        <f>SUM(Oncor!DS78,Centerpoint!DS78,'AEP Central'!DS78,TNMP!DS78,'AEP North'!DS78)</f>
        <v>33911.67</v>
      </c>
      <c r="DT78" s="69">
        <f>SUM(Oncor!DT78,Centerpoint!DT78,'AEP Central'!DT78,TNMP!DT78,'AEP North'!DT78)</f>
        <v>33819.15</v>
      </c>
      <c r="DU78" s="69">
        <f>SUM(Oncor!DU78,Centerpoint!DU78,'AEP Central'!DU78,TNMP!DU78,'AEP North'!DU78)</f>
        <v>33813.409999999996</v>
      </c>
      <c r="DV78" s="69">
        <f>SUM(Oncor!DV78,Centerpoint!DV78,'AEP Central'!DV78,TNMP!DV78,'AEP North'!DV78)</f>
        <v>33581.379999999997</v>
      </c>
      <c r="DW78" s="69">
        <f>SUM(Oncor!DW78,Centerpoint!DW78,'AEP Central'!DW78,TNMP!DW78,'AEP North'!DW78)</f>
        <v>33252.009999999995</v>
      </c>
      <c r="DX78" s="69">
        <f>SUM(Oncor!DX78,Centerpoint!DX78,'AEP Central'!DX78,TNMP!DX78,'AEP North'!DX78)</f>
        <v>32302.850000000002</v>
      </c>
      <c r="DY78" s="69">
        <f>SUM(Oncor!DY78,Centerpoint!DY78,'AEP Central'!DY78,TNMP!DY78,'AEP North'!DY78)</f>
        <v>32195.010000000002</v>
      </c>
      <c r="DZ78" s="69">
        <f>SUM(Oncor!DZ78,Centerpoint!DZ78,'AEP Central'!DZ78,TNMP!DZ78,'AEP North'!DZ78)</f>
        <v>31839.7</v>
      </c>
      <c r="EA78" s="69">
        <f>SUM(Oncor!EA78,Centerpoint!EA78,'AEP Central'!EA78,TNMP!EA78,'AEP North'!EA78)</f>
        <v>31916.840000000004</v>
      </c>
      <c r="EB78" s="69">
        <f>SUM(Oncor!EB78,Centerpoint!EB78,'AEP Central'!EB78,TNMP!EB78,'AEP North'!EB78)</f>
        <v>31745.059999999998</v>
      </c>
      <c r="EC78" s="69">
        <f>SUM(Oncor!EC78,Centerpoint!EC78,'AEP Central'!EC78,TNMP!EC78,'AEP North'!EC78)</f>
        <v>31579.5</v>
      </c>
      <c r="ED78" s="69">
        <f>SUM(Oncor!ED78,Centerpoint!ED78,'AEP Central'!ED78,TNMP!ED78,'AEP North'!ED78)</f>
        <v>31620.87</v>
      </c>
      <c r="EE78" s="69">
        <f>SUM(Oncor!EE78,Centerpoint!EE78,'AEP Central'!EE78,TNMP!EE78,'AEP North'!EE78)</f>
        <v>31518.469999999998</v>
      </c>
      <c r="EF78" s="69">
        <f>SUM(Oncor!EF78,Centerpoint!EF78,'AEP Central'!EF78,TNMP!EF78,'AEP North'!EF78)</f>
        <v>32058.879999999997</v>
      </c>
      <c r="EG78" s="69">
        <f>SUM(Oncor!EG78,Centerpoint!EG78,'AEP Central'!EG78,TNMP!EG78,'AEP North'!EG78)</f>
        <v>32040.67</v>
      </c>
      <c r="EH78" s="69">
        <f>SUM(Oncor!EH78,Centerpoint!EH78,'AEP Central'!EH78,TNMP!EH78,'AEP North'!EH78)</f>
        <v>31978.120000000003</v>
      </c>
      <c r="EI78" s="69">
        <f>SUM(Oncor!EI78,Centerpoint!EI78,'AEP Central'!EI78,TNMP!EI78,'AEP North'!EI78)</f>
        <v>31857.200000000001</v>
      </c>
      <c r="EJ78" s="69">
        <f>SUM(Oncor!EJ78,Centerpoint!EJ78,'AEP Central'!EJ78,TNMP!EJ78,'AEP North'!EJ78)</f>
        <v>31901.18</v>
      </c>
      <c r="EK78" s="69">
        <f>SUM(Oncor!EK78,Centerpoint!EK78,'AEP Central'!EK78,TNMP!EK78,'AEP North'!EK78)</f>
        <v>32164.76</v>
      </c>
      <c r="EL78" s="69">
        <f>SUM(Oncor!EL78,Centerpoint!EL78,'AEP Central'!EL78,TNMP!EL78,'AEP North'!EL78)</f>
        <v>30839.78</v>
      </c>
      <c r="EM78" s="69">
        <f>SUM(Oncor!EM78,Centerpoint!EM78,'AEP Central'!EM78,TNMP!EM78,'AEP North'!EM78)</f>
        <v>30252.93</v>
      </c>
      <c r="EN78" s="69">
        <f>SUM(Oncor!EN78,Centerpoint!EN78,'AEP Central'!EN78,TNMP!EN78,'AEP North'!EN78)</f>
        <v>30797.34</v>
      </c>
      <c r="EO78" s="69">
        <f>SUM(Oncor!EO78,Centerpoint!EO78,'AEP Central'!EO78,TNMP!EO78,'AEP North'!EO78)</f>
        <v>31079.55</v>
      </c>
      <c r="EP78" s="69">
        <f>SUM(Oncor!EP78,Centerpoint!EP78,'AEP Central'!EP78,TNMP!EP78,'AEP North'!EP78)</f>
        <v>31075.9</v>
      </c>
      <c r="EQ78" s="69">
        <f>SUM(Oncor!EQ78,Centerpoint!EQ78,'AEP Central'!EQ78,TNMP!EQ78,'AEP North'!EQ78)</f>
        <v>30881.72</v>
      </c>
      <c r="ER78" s="69">
        <f>SUM(Oncor!ER78,Centerpoint!ER78,'AEP Central'!ER78,TNMP!ER78,'AEP North'!ER78)</f>
        <v>30765.750000000004</v>
      </c>
      <c r="ES78" s="69">
        <f>SUM(Oncor!ES78,Centerpoint!ES78,'AEP Central'!ES78,TNMP!ES78,'AEP North'!ES78)</f>
        <v>30778.539999999997</v>
      </c>
      <c r="ET78" s="69">
        <f>SUM(Oncor!ET78,Centerpoint!ET78,'AEP Central'!ET78,TNMP!ET78,'AEP North'!ET78)</f>
        <v>30791.66</v>
      </c>
      <c r="EU78" s="69">
        <f>SUM(Oncor!EU78,Centerpoint!EU78,'AEP Central'!EU78,TNMP!EU78,'AEP North'!EU78)</f>
        <v>30763.55</v>
      </c>
      <c r="EV78" s="69">
        <f>SUM(Oncor!EV78,Centerpoint!EV78,'AEP Central'!EV78,TNMP!EV78,'AEP North'!EV78)</f>
        <v>30815.4</v>
      </c>
      <c r="EW78" s="69">
        <f>SUM(Oncor!EW78,Centerpoint!EW78,'AEP Central'!EW78,TNMP!EW78,'AEP North'!EW78)</f>
        <v>30783.759999999998</v>
      </c>
      <c r="EX78" s="69">
        <f>SUM(Oncor!EX78,Centerpoint!EX78,'AEP Central'!EX78,TNMP!EX78,'AEP North'!EX78)</f>
        <v>30654.079999999998</v>
      </c>
      <c r="EY78" s="69">
        <f>SUM(Oncor!EY78,Centerpoint!EY78,'AEP Central'!EY78,TNMP!EY78,'AEP North'!EY78)</f>
        <v>30722.81</v>
      </c>
      <c r="EZ78" s="69">
        <f>SUM(Oncor!EZ78,Centerpoint!EZ78,'AEP Central'!EZ78,TNMP!EZ78,'AEP North'!EZ78)</f>
        <v>30565.48</v>
      </c>
      <c r="FA78" s="69">
        <f>SUM(Oncor!FA78,Centerpoint!FA78,'AEP Central'!FA78,TNMP!FA78,'AEP North'!FA78)</f>
        <v>29937.620000000003</v>
      </c>
      <c r="FB78" s="69">
        <f>SUM(Oncor!FB78,Centerpoint!FB78,'AEP Central'!FB78,TNMP!FB78,'AEP North'!FB78)</f>
        <v>31550.749999999996</v>
      </c>
      <c r="FC78" s="69">
        <f>SUM(Oncor!FC78,Centerpoint!FC78,'AEP Central'!FC78,TNMP!FC78,'AEP North'!FC78)</f>
        <v>30718.240000000002</v>
      </c>
      <c r="FD78" s="69">
        <f>SUM(Oncor!FD78,Centerpoint!FD78,'AEP Central'!FD78,TNMP!FD78,'AEP North'!FD78)</f>
        <v>30507.79</v>
      </c>
      <c r="FE78" s="69">
        <f>SUM(Oncor!FE78,Centerpoint!FE78,'AEP Central'!FE78,TNMP!FE78,'AEP North'!FE78)</f>
        <v>30665.64</v>
      </c>
      <c r="FF78" s="69">
        <f>SUM(Oncor!FF78,Centerpoint!FF78,'AEP Central'!FF78,TNMP!FF78,'AEP North'!FF78)</f>
        <v>30327.86</v>
      </c>
      <c r="FG78" s="69">
        <f>SUM(Oncor!FG78,Centerpoint!FG78,'AEP Central'!FG78,TNMP!FG78,'AEP North'!FG78)</f>
        <v>30162.59</v>
      </c>
      <c r="FH78" s="69">
        <f>SUM(Oncor!FH78,Centerpoint!FH78,'AEP Central'!FH78,TNMP!FH78,'AEP North'!FH78)</f>
        <v>29938.22</v>
      </c>
      <c r="FI78" s="69">
        <f>SUM(Oncor!FI78,Centerpoint!FI78,'AEP Central'!FI78,TNMP!FI78,'AEP North'!FI78)</f>
        <v>26960.19</v>
      </c>
      <c r="FJ78" s="69">
        <f>SUM(Oncor!FJ78,Centerpoint!FJ78,'AEP Central'!FJ78,TNMP!FJ78,'AEP North'!FJ78)</f>
        <v>25428.600000000002</v>
      </c>
      <c r="FK78" s="69">
        <f>SUM(Oncor!FK78,Centerpoint!FK78,'AEP Central'!FK78,TNMP!FK78,'AEP North'!FK78)</f>
        <v>33742.490000000005</v>
      </c>
      <c r="FL78" s="69">
        <f>SUM(Oncor!FL78,Centerpoint!FL78,'AEP Central'!FL78,TNMP!FL78,'AEP North'!FL78,'[1]Sharyland Utilities LP '!FL78,'Sharyland Utilities LP McAllen'!FL78)</f>
        <v>34092.479999999996</v>
      </c>
      <c r="FM78" s="69">
        <f>SUM(Oncor!FM78,Centerpoint!FM78,'AEP Central'!FM78,TNMP!FM78,'AEP North'!FM78,'[1]Sharyland Utilities LP '!FM78,'Sharyland Utilities LP McAllen'!FM78)</f>
        <v>27801.07</v>
      </c>
      <c r="FN78" s="69">
        <f>SUM(Oncor!FN78,Centerpoint!FN78,'AEP Central'!FN78,TNMP!FN78,'AEP North'!FN78,'[1]Sharyland Utilities LP '!FN78,'Sharyland Utilities LP McAllen'!FN78)</f>
        <v>27259.989999999998</v>
      </c>
      <c r="FO78" s="69">
        <f>SUM(Oncor!FO78,Centerpoint!FO78,'AEP Central'!FO78,TNMP!FO78,'AEP North'!FO78,'[1]Sharyland Utilities LP '!FO78,'Sharyland Utilities LP McAllen'!FO78)</f>
        <v>27148.930000000004</v>
      </c>
      <c r="FP78" s="69">
        <f>SUM(Oncor!FP78,Centerpoint!FP78,'AEP Central'!FP78,TNMP!FP78,'AEP North'!FP78,'[1]Sharyland Utilities LP '!FP78,'Sharyland Utilities LP McAllen'!FP78)</f>
        <v>26900.780000000002</v>
      </c>
      <c r="FQ78" s="69">
        <f>SUM(Oncor!FQ78,Centerpoint!FQ78,'AEP Central'!FQ78,TNMP!FQ78,'AEP North'!FQ78,'[1]Sharyland Utilities LP '!FQ78,'Sharyland Utilities LP McAllen'!FQ78)</f>
        <v>26578.38</v>
      </c>
      <c r="FR78" s="69">
        <f>SUM(Oncor!FR78,Centerpoint!FR78,'AEP Central'!FR78,TNMP!FR78,'AEP North'!FR78,'[1]Sharyland Utilities LP '!FR78,'Sharyland Utilities LP McAllen'!FR78)</f>
        <v>26285.439999999999</v>
      </c>
      <c r="FS78" s="69">
        <f>SUM(Oncor!FS78,Centerpoint!FS78,'AEP Central'!FS78,TNMP!FS78,'AEP North'!FS78,'[1]Sharyland Utilities LP '!FS78,'Sharyland Utilities LP McAllen'!FS78)</f>
        <v>26031.98</v>
      </c>
      <c r="FT78" s="69">
        <f>SUM(Oncor!FT78,Centerpoint!FT78,'AEP Central'!FT78,TNMP!FT78,'AEP North'!FT78,'[1]Sharyland Utilities LP '!FT78,'Sharyland Utilities LP McAllen'!FT78)</f>
        <v>26037.47</v>
      </c>
    </row>
    <row r="79" spans="2:176" s="68" customFormat="1" ht="13.8" thickBot="1" x14ac:dyDescent="0.3">
      <c r="B79" s="116" t="s">
        <v>8</v>
      </c>
      <c r="C79" s="91">
        <f>SUM(Oncor!C79,Centerpoint!C79,'AEP Central'!C79,TNMP!C79,'AEP North'!C79)</f>
        <v>1691.0509999999997</v>
      </c>
      <c r="D79" s="92">
        <f>SUM(Oncor!D79,Centerpoint!D79,'AEP Central'!D79,TNMP!D79,'AEP North'!D79)</f>
        <v>13679.554000000004</v>
      </c>
      <c r="E79" s="92">
        <f>SUM(Oncor!E79,Centerpoint!E79,'AEP Central'!E79,TNMP!E79,'AEP North'!E79)</f>
        <v>13557.790000000005</v>
      </c>
      <c r="F79" s="92">
        <f>SUM(Oncor!F79,Centerpoint!F79,'AEP Central'!F79,TNMP!F79,'AEP North'!F79)</f>
        <v>19874.804000000004</v>
      </c>
      <c r="G79" s="92">
        <f>SUM(Oncor!G79,Centerpoint!G79,'AEP Central'!G79,TNMP!G79,'AEP North'!G79)</f>
        <v>19431.709000000006</v>
      </c>
      <c r="H79" s="92">
        <f>SUM(Oncor!H79,Centerpoint!H79,'AEP Central'!H79,TNMP!H79,'AEP North'!H79)</f>
        <v>21709.256999999994</v>
      </c>
      <c r="I79" s="92">
        <f>SUM(Oncor!I79,Centerpoint!I79,'AEP Central'!I79,TNMP!I79,'AEP North'!I79)</f>
        <v>20485.708000000006</v>
      </c>
      <c r="J79" s="92">
        <f>SUM(Oncor!J79,Centerpoint!J79,'AEP Central'!J79,TNMP!J79,'AEP North'!J79)</f>
        <v>24397.835999999999</v>
      </c>
      <c r="K79" s="92">
        <f>SUM(Oncor!K79,Centerpoint!K79,'AEP Central'!K79,TNMP!K79,'AEP North'!K79)</f>
        <v>26703.691999999999</v>
      </c>
      <c r="L79" s="92">
        <f>SUM(Oncor!L79,Centerpoint!L79,'AEP Central'!L79,TNMP!L79,'AEP North'!L79)</f>
        <v>24330.620000000014</v>
      </c>
      <c r="M79" s="92">
        <f>SUM(Oncor!M79,Centerpoint!M79,'AEP Central'!M79,TNMP!M79,'AEP North'!M79)</f>
        <v>24584.52900000001</v>
      </c>
      <c r="N79" s="92">
        <f>SUM(Oncor!N79,Centerpoint!N79,'AEP Central'!N79,TNMP!N79,'AEP North'!N79)</f>
        <v>27218.379999999994</v>
      </c>
      <c r="O79" s="144">
        <f>SUM(Oncor!O79,Centerpoint!O79,'AEP Central'!O79,TNMP!O79,'AEP North'!O79)</f>
        <v>26366</v>
      </c>
      <c r="P79" s="92">
        <f>SUM(Oncor!P79,Centerpoint!P79,'AEP Central'!P79,TNMP!P79,'AEP North'!P79)</f>
        <v>25951</v>
      </c>
      <c r="Q79" s="92">
        <f>SUM(Oncor!Q79,Centerpoint!Q79,'AEP Central'!Q79,TNMP!Q79,'AEP North'!Q79)</f>
        <v>27227</v>
      </c>
      <c r="R79" s="92">
        <f>SUM(Oncor!R79,Centerpoint!R79,'AEP Central'!R79,TNMP!R79,'AEP North'!R79)</f>
        <v>28841.487000000005</v>
      </c>
      <c r="S79" s="92">
        <f>SUM(Oncor!S79,Centerpoint!S79,'AEP Central'!S79,TNMP!S79,'AEP North'!S79)</f>
        <v>29437.078999999991</v>
      </c>
      <c r="T79" s="92">
        <f>SUM(Oncor!T79,Centerpoint!T79,'AEP Central'!T79,TNMP!T79,'AEP North'!T79)</f>
        <v>34065.99</v>
      </c>
      <c r="U79" s="92">
        <f>SUM(Oncor!U79,Centerpoint!U79,'AEP Central'!U79,TNMP!U79,'AEP North'!U79)</f>
        <v>24059.579000000002</v>
      </c>
      <c r="V79" s="92">
        <f>SUM(Oncor!V79,Centerpoint!V79,'AEP Central'!V79,TNMP!V79,'AEP North'!V79)</f>
        <v>45278.378000000004</v>
      </c>
      <c r="W79" s="92">
        <f>SUM(Oncor!W79,Centerpoint!W79,'AEP Central'!W79,TNMP!W79,'AEP North'!W79)</f>
        <v>15596.710000000001</v>
      </c>
      <c r="X79" s="92">
        <f>SUM(Oncor!X79,Centerpoint!X79,'AEP Central'!X79,TNMP!X79,'AEP North'!X79)</f>
        <v>24139.129999999997</v>
      </c>
      <c r="Y79" s="92">
        <f>SUM(Oncor!Y79,Centerpoint!Y79,'AEP Central'!Y79,TNMP!Y79,'AEP North'!Y79)</f>
        <v>22105.72</v>
      </c>
      <c r="Z79" s="158">
        <f>SUM(Oncor!Z79,Centerpoint!Z79,'AEP Central'!Z79,TNMP!Z79,'AEP North'!Z79)</f>
        <v>23958.93</v>
      </c>
      <c r="AA79" s="144">
        <f>SUM(Oncor!AA79,Centerpoint!AA79,'AEP Central'!AA79,TNMP!AA79,'AEP North'!AA79)</f>
        <v>22769.62</v>
      </c>
      <c r="AB79" s="92">
        <f>SUM(Oncor!AB79,Centerpoint!AB79,'AEP Central'!AB79,TNMP!AB79,'AEP North'!AB79)</f>
        <v>14859.09</v>
      </c>
      <c r="AC79" s="92">
        <f>SUM(Oncor!AC79,Centerpoint!AC79,'AEP Central'!AC79,TNMP!AC79,'AEP North'!AC79)</f>
        <v>20158.030000000002</v>
      </c>
      <c r="AD79" s="92">
        <f>SUM(Oncor!AD79,Centerpoint!AD79,'AEP Central'!AD79,TNMP!AD79,'AEP North'!AD79)</f>
        <v>17511.89</v>
      </c>
      <c r="AE79" s="92">
        <f>SUM(Oncor!AE79,Centerpoint!AE79,'AEP Central'!AE79,TNMP!AE79,'AEP North'!AE79)</f>
        <v>16884.78</v>
      </c>
      <c r="AF79" s="92">
        <f>SUM(Oncor!AF79,Centerpoint!AF79,'AEP Central'!AF79,TNMP!AF79,'AEP North'!AF79)</f>
        <v>18945.060000000001</v>
      </c>
      <c r="AG79" s="92">
        <f>SUM(Oncor!AG79,Centerpoint!AG79,'AEP Central'!AG79,TNMP!AG79,'AEP North'!AG79)</f>
        <v>18514.34</v>
      </c>
      <c r="AH79" s="92">
        <f>SUM(Oncor!AH79,Centerpoint!AH79,'AEP Central'!AH79,TNMP!AH79,'AEP North'!AH79)</f>
        <v>19281.98</v>
      </c>
      <c r="AI79" s="92">
        <f>SUM(Oncor!AI79,Centerpoint!AI79,'AEP Central'!AI79,TNMP!AI79,'AEP North'!AI79)</f>
        <v>19147.030000000002</v>
      </c>
      <c r="AJ79" s="92">
        <f>SUM(Oncor!AJ79,Centerpoint!AJ79,'AEP Central'!AJ79,TNMP!AJ79,'AEP North'!AJ79)</f>
        <v>19274.050999999999</v>
      </c>
      <c r="AK79" s="92">
        <f>SUM(Oncor!AK79,Centerpoint!AK79,'AEP Central'!AK79,TNMP!AK79,'AEP North'!AK79)</f>
        <v>18974.089</v>
      </c>
      <c r="AL79" s="158">
        <f>SUM(Oncor!AL79,Centerpoint!AL79,'AEP Central'!AL79,TNMP!AL79,'AEP North'!AL79)</f>
        <v>18721.919999999998</v>
      </c>
      <c r="AM79" s="92">
        <f>SUM(Oncor!AM79,Centerpoint!AM79,'AEP Central'!AM79,TNMP!AM79,'AEP North'!AM79)</f>
        <v>23428.639999999999</v>
      </c>
      <c r="AN79" s="92">
        <f>SUM(Oncor!AN79,Centerpoint!AN79,'AEP Central'!AN79,TNMP!AN79,'AEP North'!AN79)</f>
        <v>26631.32</v>
      </c>
      <c r="AO79" s="92">
        <f>SUM(Oncor!AO79,Centerpoint!AO79,'AEP Central'!AO79,TNMP!AO79,'AEP North'!AO79)</f>
        <v>33350.550000000003</v>
      </c>
      <c r="AP79" s="92">
        <f>SUM(Oncor!AP79,Centerpoint!AP79,'AEP Central'!AP79,TNMP!AP79,'AEP North'!AP79)</f>
        <v>28903.86</v>
      </c>
      <c r="AQ79" s="92">
        <f>SUM(Oncor!AQ79,Centerpoint!AQ79,'AEP Central'!AQ79,TNMP!AQ79,'AEP North'!AQ79)</f>
        <v>29963.39</v>
      </c>
      <c r="AR79" s="92">
        <f>SUM(Oncor!AR79,Centerpoint!AR79,'AEP Central'!AR79,TNMP!AR79,'AEP North'!AR79)</f>
        <v>31219.67</v>
      </c>
      <c r="AS79" s="92">
        <f>SUM(Oncor!AS79,Centerpoint!AS79,'AEP Central'!AS79,TNMP!AS79,'AEP North'!AS79)</f>
        <v>30002.27</v>
      </c>
      <c r="AT79" s="92">
        <f>SUM(Oncor!AT79,Centerpoint!AT79,'AEP Central'!AT79,TNMP!AT79,'AEP North'!AT79)</f>
        <v>32898.199999999997</v>
      </c>
      <c r="AU79" s="92">
        <f>SUM(Oncor!AU79,Centerpoint!AU79,'AEP Central'!AU79,TNMP!AU79,'AEP North'!AU79)</f>
        <v>32618.74</v>
      </c>
      <c r="AV79" s="92">
        <f>SUM(Oncor!AV79,Centerpoint!AV79,'AEP Central'!AV79,TNMP!AV79,'AEP North'!AV79)</f>
        <v>32232.3</v>
      </c>
      <c r="AW79" s="92">
        <f>SUM(Oncor!AW79,Centerpoint!AW79,'AEP Central'!AW79,TNMP!AW79,'AEP North'!AW79)</f>
        <v>32118.05</v>
      </c>
      <c r="AX79" s="93">
        <f>SUM(Oncor!AX79,Centerpoint!AX79,'AEP Central'!AX79,TNMP!AX79,'AEP North'!AX79)</f>
        <v>31091.68</v>
      </c>
      <c r="AY79" s="92">
        <f>SUM(Oncor!AY79,Centerpoint!AY79,'AEP Central'!AY79,TNMP!AY79,'AEP North'!AY79)</f>
        <v>33487.69</v>
      </c>
      <c r="AZ79" s="92">
        <f>SUM(Oncor!AZ79,Centerpoint!AZ79,'AEP Central'!AZ79,TNMP!AZ79,'AEP North'!AZ79)</f>
        <v>31380.2</v>
      </c>
      <c r="BA79" s="92">
        <f>SUM(Oncor!BA79,Centerpoint!BA79,'AEP Central'!BA79,TNMP!BA79,'AEP North'!BA79)</f>
        <v>36712.79</v>
      </c>
      <c r="BB79" s="92">
        <f>SUM(Oncor!BB79,Centerpoint!BB79,'AEP Central'!BB79,TNMP!BB79,'AEP North'!BB79)</f>
        <v>32202.720000000001</v>
      </c>
      <c r="BC79" s="92">
        <f>SUM(Oncor!BC79,Centerpoint!BC79,'AEP Central'!BC79,TNMP!BC79,'AEP North'!BC79)</f>
        <v>35352.21</v>
      </c>
      <c r="BD79" s="92">
        <f>SUM(Oncor!BD79,Centerpoint!BD79,'AEP Central'!BD79,TNMP!BD79,'AEP North'!BD79)</f>
        <v>35069.11</v>
      </c>
      <c r="BE79" s="92">
        <f>SUM(Oncor!BE79,Centerpoint!BE79,'AEP Central'!BE79,TNMP!BE79,'AEP North'!BE79)</f>
        <v>33916.009999999995</v>
      </c>
      <c r="BF79" s="92">
        <f>SUM(Oncor!BF79,Centerpoint!BF79,'AEP Central'!BF79,TNMP!BF79,'AEP North'!BF79)</f>
        <v>38771.760000000002</v>
      </c>
      <c r="BG79" s="92">
        <f>SUM(Oncor!BG79,Centerpoint!BG79,'AEP Central'!BG79,TNMP!BG79,'AEP North'!BG79)</f>
        <v>36811.590000000004</v>
      </c>
      <c r="BH79" s="92">
        <f>SUM(Oncor!BH79,Centerpoint!BH79,'AEP Central'!BH79,TNMP!BH79,'AEP North'!BH79)</f>
        <v>38716.79</v>
      </c>
      <c r="BI79" s="92">
        <f>SUM(Oncor!BI79,Centerpoint!BI79,'AEP Central'!BI79,TNMP!BI79,'AEP North'!BI79)</f>
        <v>38272.579999999994</v>
      </c>
      <c r="BJ79" s="93">
        <f>SUM(Oncor!BJ79,Centerpoint!BJ79,'AEP Central'!BJ79,TNMP!BJ79,'AEP North'!BJ79)</f>
        <v>36978.15</v>
      </c>
      <c r="BK79" s="92">
        <f>SUM(Oncor!BK79,Centerpoint!BK79,'AEP Central'!BK79,TNMP!BK79,'AEP North'!BK79)</f>
        <v>41931.79</v>
      </c>
      <c r="BL79" s="92">
        <f>SUM(Oncor!BL79,Centerpoint!BL79,'AEP Central'!BL79,TNMP!BL79,'AEP North'!BL79)</f>
        <v>41475.21</v>
      </c>
      <c r="BM79" s="92">
        <f>SUM(Oncor!BM79,Centerpoint!BM79,'AEP Central'!BM79,TNMP!BM79,'AEP North'!BM79)</f>
        <v>50313.99</v>
      </c>
      <c r="BN79" s="92">
        <f>SUM(Oncor!BN79,Centerpoint!BN79,'AEP Central'!BN79,TNMP!BN79,'AEP North'!BN79)</f>
        <v>48438.695</v>
      </c>
      <c r="BO79" s="92">
        <f>SUM(Oncor!BO79,Centerpoint!BO79,'AEP Central'!BO79,TNMP!BO79,'AEP North'!BO79)</f>
        <v>51705.408000000003</v>
      </c>
      <c r="BP79" s="92">
        <f>SUM(Oncor!BP79,Centerpoint!BP79,'AEP Central'!BP79,TNMP!BP79,'AEP North'!BP79)</f>
        <v>50421.694000000003</v>
      </c>
      <c r="BQ79" s="92">
        <f>SUM(Oncor!BQ79,Centerpoint!BQ79,'AEP Central'!BQ79,TNMP!BQ79,'AEP North'!BQ79)</f>
        <v>50739.63</v>
      </c>
      <c r="BR79" s="92">
        <f>SUM(Oncor!BR79,Centerpoint!BR79,'AEP Central'!BR79,TNMP!BR79,'AEP North'!BR79)</f>
        <v>52513.240000000005</v>
      </c>
      <c r="BS79" s="92">
        <f>SUM(Oncor!BS79,Centerpoint!BS79,'AEP Central'!BS79,TNMP!BS79,'AEP North'!BS79)</f>
        <v>49561.34</v>
      </c>
      <c r="BT79" s="92">
        <f>SUM(Oncor!BT79,Centerpoint!BT79,'AEP Central'!BT79,TNMP!BT79,'AEP North'!BT79)</f>
        <v>51375.95</v>
      </c>
      <c r="BU79" s="92">
        <f>SUM(Oncor!BU79,Centerpoint!BU79,'AEP Central'!BU79,TNMP!BU79,'AEP North'!BU79)</f>
        <v>51743</v>
      </c>
      <c r="BV79" s="93">
        <f>SUM(Oncor!BV79,Centerpoint!BV79,'AEP Central'!BV79,TNMP!BV79,'AEP North'!BV79)</f>
        <v>53467.26</v>
      </c>
      <c r="BW79" s="92">
        <f>SUM(Oncor!BW79,Centerpoint!BW79,'AEP Central'!BW79,TNMP!BW79,'AEP North'!BW79)</f>
        <v>55773.81</v>
      </c>
      <c r="BX79" s="92">
        <f>SUM(Oncor!BX79,Centerpoint!BX79,'AEP Central'!BX79,TNMP!BX79,'AEP North'!BX79)</f>
        <v>53471.97</v>
      </c>
      <c r="BY79" s="92">
        <f>SUM(Oncor!BY79,Centerpoint!BY79,'AEP Central'!BY79,TNMP!BY79,'AEP North'!BY79)</f>
        <v>53428.73</v>
      </c>
      <c r="BZ79" s="92">
        <f>SUM(Oncor!BZ79,Centerpoint!BZ79,'AEP Central'!BZ79,TNMP!BZ79,'AEP North'!BZ79)</f>
        <v>53512.659999999996</v>
      </c>
      <c r="CA79" s="92">
        <f>SUM(Oncor!CA79,Centerpoint!CA79,'AEP Central'!CA79,TNMP!CA79,'AEP North'!CA79)</f>
        <v>53336.959999999999</v>
      </c>
      <c r="CB79" s="92">
        <f>SUM(Oncor!CB79,Centerpoint!CB79,'AEP Central'!CB79,TNMP!CB79,'AEP North'!CB79)</f>
        <v>53842.95</v>
      </c>
      <c r="CC79" s="92">
        <f>SUM(Oncor!CC79,Centerpoint!CC79,'AEP Central'!CC79,TNMP!CC79,'AEP North'!CC79)</f>
        <v>53979.697</v>
      </c>
      <c r="CD79" s="92">
        <f>SUM(Oncor!CD79,Centerpoint!CD79,'AEP Central'!CD79,TNMP!CD79,'AEP North'!CD79)</f>
        <v>54065.929999999993</v>
      </c>
      <c r="CE79" s="92">
        <f>SUM(Oncor!CE79,Centerpoint!CE79,'AEP Central'!CE79,TNMP!CE79,'AEP North'!CE79)</f>
        <v>54260.726999999999</v>
      </c>
      <c r="CF79" s="92">
        <f>SUM(Oncor!CF79,Centerpoint!CF79,'AEP Central'!CF79,TNMP!CF79,'AEP North'!CF79)</f>
        <v>55122.009999999995</v>
      </c>
      <c r="CG79" s="92">
        <f>SUM(Oncor!CG79,Centerpoint!CG79,'AEP Central'!CG79,TNMP!CG79,'AEP North'!CG79)</f>
        <v>55564.25</v>
      </c>
      <c r="CH79" s="92">
        <f>SUM(Oncor!CH79,Centerpoint!CH79,'AEP Central'!CH79,TNMP!CH79,'AEP North'!CH79)</f>
        <v>56443.219999999994</v>
      </c>
      <c r="CI79" s="91">
        <f>SUM(Oncor!CI79,Centerpoint!CI79,'AEP Central'!CI79,TNMP!CI79,'AEP North'!CI79)</f>
        <v>58437.200000000004</v>
      </c>
      <c r="CJ79" s="92">
        <f>SUM(Oncor!CJ79,Centerpoint!CJ79,'AEP Central'!CJ79,TNMP!CJ79,'AEP North'!CJ79)</f>
        <v>56987.22</v>
      </c>
      <c r="CK79" s="92">
        <f>SUM(Oncor!CK79,Centerpoint!CK79,'AEP Central'!CK79,TNMP!CK79,'AEP North'!CK79)</f>
        <v>56941.73</v>
      </c>
      <c r="CL79" s="92">
        <f>SUM(Oncor!CL79,Centerpoint!CL79,'AEP Central'!CL79,TNMP!CL79,'AEP North'!CL79)</f>
        <v>57278.12</v>
      </c>
      <c r="CM79" s="92">
        <f>SUM(Oncor!CM79,Centerpoint!CM79,'AEP Central'!CM79,TNMP!CM79,'AEP North'!CM79)</f>
        <v>56833.090000000004</v>
      </c>
      <c r="CN79" s="92">
        <f>SUM(Oncor!CN79,Centerpoint!CN79,'AEP Central'!CN79,TNMP!CN79,'AEP North'!CN79)</f>
        <v>56996.22</v>
      </c>
      <c r="CO79" s="92">
        <f>SUM(Oncor!CO79,Centerpoint!CO79,'AEP Central'!CO79,TNMP!CO79,'AEP North'!CO79)</f>
        <v>54509.71</v>
      </c>
      <c r="CP79" s="92">
        <f>SUM(Oncor!CP79,Centerpoint!CP79,'AEP Central'!CP79,TNMP!CP79,'AEP North'!CP79)</f>
        <v>54448.08</v>
      </c>
      <c r="CQ79" s="92">
        <f>SUM(Oncor!CQ79,Centerpoint!CQ79,'AEP Central'!CQ79,TNMP!CQ79,'AEP North'!CQ79)</f>
        <v>55009.31</v>
      </c>
      <c r="CR79" s="92">
        <f>SUM(Oncor!CR79,Centerpoint!CR79,'AEP Central'!CR79,TNMP!CR79,'AEP North'!CR79)</f>
        <v>55646.59</v>
      </c>
      <c r="CS79" s="92">
        <f>SUM(Oncor!CS79,Centerpoint!CS79,'AEP Central'!CS79,TNMP!CS79,'AEP North'!CS79)</f>
        <v>55847.549999999996</v>
      </c>
      <c r="CT79" s="93">
        <f>SUM(Oncor!CT79,Centerpoint!CT79,'AEP Central'!CT79,TNMP!CT79,'AEP North'!CT79)</f>
        <v>57312.53</v>
      </c>
      <c r="CU79" s="92">
        <f>SUM(Oncor!CU79,Centerpoint!CU79,'AEP Central'!CU79,TNMP!CU79,'AEP North'!CU79)</f>
        <v>55397.628000000004</v>
      </c>
      <c r="CV79" s="92">
        <f>SUM(Oncor!CV79,Centerpoint!CV79,'AEP Central'!CV79,TNMP!CV79,'AEP North'!CV79)</f>
        <v>56400.932000000001</v>
      </c>
      <c r="CW79" s="92">
        <f>SUM(Oncor!CW79,Centerpoint!CW79,'AEP Central'!CW79,TNMP!CW79,'AEP North'!CW79)</f>
        <v>56380.697999999997</v>
      </c>
      <c r="CX79" s="92">
        <f>SUM(Oncor!CX79,Centerpoint!CX79,'AEP Central'!CX79,TNMP!CX79,'AEP North'!CX79)</f>
        <v>56638.66</v>
      </c>
      <c r="CY79" s="92">
        <f>SUM(Oncor!CY79,Centerpoint!CY79,'AEP Central'!CY79,TNMP!CY79,'AEP North'!CY79)</f>
        <v>56128.189999999995</v>
      </c>
      <c r="CZ79" s="92">
        <f>SUM(Oncor!CZ79,Centerpoint!CZ79,'AEP Central'!CZ79,TNMP!CZ79,'AEP North'!CZ79)</f>
        <v>56222.17</v>
      </c>
      <c r="DA79" s="92">
        <f>SUM(Oncor!DA79,Centerpoint!DA79,'AEP Central'!DA79,TNMP!DA79,'AEP North'!DA79)</f>
        <v>55686.61</v>
      </c>
      <c r="DB79" s="92">
        <f>SUM(Oncor!DB79,Centerpoint!DB79,'AEP Central'!DB79,TNMP!DB79,'AEP North'!DB79)</f>
        <v>56322.78</v>
      </c>
      <c r="DC79" s="92">
        <f>SUM(Oncor!DC79,Centerpoint!DC79,'AEP Central'!DC79,TNMP!DC79,'AEP North'!DC79)</f>
        <v>56958.130000000005</v>
      </c>
      <c r="DD79" s="92">
        <f>SUM(Oncor!DD79,Centerpoint!DD79,'AEP Central'!DD79,TNMP!DD79,'AEP North'!DD79)</f>
        <v>56301.1</v>
      </c>
      <c r="DE79" s="92">
        <f>SUM(Oncor!DE79,Centerpoint!DE79,'AEP Central'!DE79,TNMP!DE79,'AEP North'!DE79)</f>
        <v>57346.999999999993</v>
      </c>
      <c r="DF79" s="93">
        <f>SUM(Oncor!DF79,Centerpoint!DF79,'AEP Central'!DF79,TNMP!DF79,'AEP North'!DF79)</f>
        <v>59789.340000000004</v>
      </c>
      <c r="DG79" s="92">
        <f>SUM(Oncor!DG79,Centerpoint!DG79,'AEP Central'!DG79,TNMP!DG79,'AEP North'!DG79)</f>
        <v>55466.47</v>
      </c>
      <c r="DH79" s="92">
        <f>SUM(Oncor!DH79,Centerpoint!DH79,'AEP Central'!DH79,TNMP!DH79,'AEP North'!DH79)</f>
        <v>43851.469999999994</v>
      </c>
      <c r="DI79" s="92">
        <f>SUM(Oncor!DI79,Centerpoint!DI79,'AEP Central'!DI79,TNMP!DI79,'AEP North'!DI79)</f>
        <v>49969.87</v>
      </c>
      <c r="DJ79" s="92">
        <f>SUM(Oncor!DJ79,Centerpoint!DJ79,'AEP Central'!DJ79,TNMP!DJ79,'AEP North'!DJ79)</f>
        <v>48485.57</v>
      </c>
      <c r="DK79" s="92">
        <f>SUM(Oncor!DK79,Centerpoint!DK79,'AEP Central'!DK79,TNMP!DK79,'AEP North'!DK79)</f>
        <v>48746.86</v>
      </c>
      <c r="DL79" s="92">
        <f>SUM(Oncor!DL79,Centerpoint!DL79,'AEP Central'!DL79,TNMP!DL79,'AEP North'!DL79)</f>
        <v>50821.9</v>
      </c>
      <c r="DM79" s="92">
        <f>SUM(Oncor!DM79,Centerpoint!DM79,'AEP Central'!DM79,TNMP!DM79,'AEP North'!DM79)</f>
        <v>52228.979999999996</v>
      </c>
      <c r="DN79" s="92">
        <f>SUM(Oncor!DN79,Centerpoint!DN79,'AEP Central'!DN79,TNMP!DN79,'AEP North'!DN79)</f>
        <v>53910.240000000005</v>
      </c>
      <c r="DO79" s="92">
        <f>SUM(Oncor!DO79,Centerpoint!DO79,'AEP Central'!DO79,TNMP!DO79,'AEP North'!DO79)</f>
        <v>53549.539999999994</v>
      </c>
      <c r="DP79" s="92">
        <f>SUM(Oncor!DP79,Centerpoint!DP79,'AEP Central'!DP79,TNMP!DP79,'AEP North'!DP79)</f>
        <v>53521.8</v>
      </c>
      <c r="DQ79" s="92">
        <f>SUM(Oncor!DQ79,Centerpoint!DQ79,'AEP Central'!DQ79,TNMP!DQ79,'AEP North'!DQ79)</f>
        <v>54807.439999999995</v>
      </c>
      <c r="DR79" s="92">
        <f>SUM(Oncor!DR79,Centerpoint!DR79,'AEP Central'!DR79,TNMP!DR79,'AEP North'!DR79)</f>
        <v>53014.740000000005</v>
      </c>
      <c r="DS79" s="92">
        <f>SUM(Oncor!DS79,Centerpoint!DS79,'AEP Central'!DS79,TNMP!DS79,'AEP North'!DS79)</f>
        <v>54158.16</v>
      </c>
      <c r="DT79" s="92">
        <f>SUM(Oncor!DT79,Centerpoint!DT79,'AEP Central'!DT79,TNMP!DT79,'AEP North'!DT79)</f>
        <v>54512.960000000006</v>
      </c>
      <c r="DU79" s="92">
        <f>SUM(Oncor!DU79,Centerpoint!DU79,'AEP Central'!DU79,TNMP!DU79,'AEP North'!DU79)</f>
        <v>55468.3</v>
      </c>
      <c r="DV79" s="92">
        <f>SUM(Oncor!DV79,Centerpoint!DV79,'AEP Central'!DV79,TNMP!DV79,'AEP North'!DV79)</f>
        <v>56690.990000000005</v>
      </c>
      <c r="DW79" s="92">
        <f>SUM(Oncor!DW79,Centerpoint!DW79,'AEP Central'!DW79,TNMP!DW79,'AEP North'!DW79)</f>
        <v>56067.18</v>
      </c>
      <c r="DX79" s="92">
        <f>SUM(Oncor!DX79,Centerpoint!DX79,'AEP Central'!DX79,TNMP!DX79,'AEP North'!DX79)</f>
        <v>54468.710000000006</v>
      </c>
      <c r="DY79" s="92">
        <f>SUM(Oncor!DY79,Centerpoint!DY79,'AEP Central'!DY79,TNMP!DY79,'AEP North'!DY79)</f>
        <v>56924.359999999993</v>
      </c>
      <c r="DZ79" s="92">
        <f>SUM(Oncor!DZ79,Centerpoint!DZ79,'AEP Central'!DZ79,TNMP!DZ79,'AEP North'!DZ79)</f>
        <v>57145.279999999999</v>
      </c>
      <c r="EA79" s="92">
        <f>SUM(Oncor!EA79,Centerpoint!EA79,'AEP Central'!EA79,TNMP!EA79,'AEP North'!EA79)</f>
        <v>57380.68</v>
      </c>
      <c r="EB79" s="92">
        <f>SUM(Oncor!EB79,Centerpoint!EB79,'AEP Central'!EB79,TNMP!EB79,'AEP North'!EB79)</f>
        <v>57465.67</v>
      </c>
      <c r="EC79" s="92">
        <f>SUM(Oncor!EC79,Centerpoint!EC79,'AEP Central'!EC79,TNMP!EC79,'AEP North'!EC79)</f>
        <v>57483.83</v>
      </c>
      <c r="ED79" s="92">
        <f>SUM(Oncor!ED79,Centerpoint!ED79,'AEP Central'!ED79,TNMP!ED79,'AEP North'!ED79)</f>
        <v>58386.239999999998</v>
      </c>
      <c r="EE79" s="92">
        <f>SUM(Oncor!EE79,Centerpoint!EE79,'AEP Central'!EE79,TNMP!EE79,'AEP North'!EE79)</f>
        <v>58232.68</v>
      </c>
      <c r="EF79" s="92">
        <f>SUM(Oncor!EF79,Centerpoint!EF79,'AEP Central'!EF79,TNMP!EF79,'AEP North'!EF79)</f>
        <v>57026.259999999995</v>
      </c>
      <c r="EG79" s="92">
        <f>SUM(Oncor!EG79,Centerpoint!EG79,'AEP Central'!EG79,TNMP!EG79,'AEP North'!EG79)</f>
        <v>57182.01</v>
      </c>
      <c r="EH79" s="92">
        <f>SUM(Oncor!EH79,Centerpoint!EH79,'AEP Central'!EH79,TNMP!EH79,'AEP North'!EH79)</f>
        <v>57405.64</v>
      </c>
      <c r="EI79" s="92">
        <f>SUM(Oncor!EI79,Centerpoint!EI79,'AEP Central'!EI79,TNMP!EI79,'AEP North'!EI79)</f>
        <v>56750.68</v>
      </c>
      <c r="EJ79" s="92">
        <f>SUM(Oncor!EJ79,Centerpoint!EJ79,'AEP Central'!EJ79,TNMP!EJ79,'AEP North'!EJ79)</f>
        <v>56932.17</v>
      </c>
      <c r="EK79" s="92">
        <f>SUM(Oncor!EK79,Centerpoint!EK79,'AEP Central'!EK79,TNMP!EK79,'AEP North'!EK79)</f>
        <v>56856.35</v>
      </c>
      <c r="EL79" s="92">
        <f>SUM(Oncor!EL79,Centerpoint!EL79,'AEP Central'!EL79,TNMP!EL79,'AEP North'!EL79)</f>
        <v>56919.55</v>
      </c>
      <c r="EM79" s="92">
        <f>SUM(Oncor!EM79,Centerpoint!EM79,'AEP Central'!EM79,TNMP!EM79,'AEP North'!EM79)</f>
        <v>57237.15</v>
      </c>
      <c r="EN79" s="92">
        <f>SUM(Oncor!EN79,Centerpoint!EN79,'AEP Central'!EN79,TNMP!EN79,'AEP North'!EN79)</f>
        <v>57509.24</v>
      </c>
      <c r="EO79" s="92">
        <f>SUM(Oncor!EO79,Centerpoint!EO79,'AEP Central'!EO79,TNMP!EO79,'AEP North'!EO79)</f>
        <v>57353.840000000004</v>
      </c>
      <c r="EP79" s="92">
        <f>SUM(Oncor!EP79,Centerpoint!EP79,'AEP Central'!EP79,TNMP!EP79,'AEP North'!EP79)</f>
        <v>57837.34</v>
      </c>
      <c r="EQ79" s="92">
        <f>SUM(Oncor!EQ79,Centerpoint!EQ79,'AEP Central'!EQ79,TNMP!EQ79,'AEP North'!EQ79)</f>
        <v>56043.83</v>
      </c>
      <c r="ER79" s="92">
        <f>SUM(Oncor!ER79,Centerpoint!ER79,'AEP Central'!ER79,TNMP!ER79,'AEP North'!ER79)</f>
        <v>56415.22</v>
      </c>
      <c r="ES79" s="92">
        <f>SUM(Oncor!ES79,Centerpoint!ES79,'AEP Central'!ES79,TNMP!ES79,'AEP North'!ES79)</f>
        <v>56113.33</v>
      </c>
      <c r="ET79" s="92">
        <f>SUM(Oncor!ET79,Centerpoint!ET79,'AEP Central'!ET79,TNMP!ET79,'AEP North'!ET79)</f>
        <v>57636.700000000004</v>
      </c>
      <c r="EU79" s="92">
        <f>SUM(Oncor!EU79,Centerpoint!EU79,'AEP Central'!EU79,TNMP!EU79,'AEP North'!EU79)</f>
        <v>57526.97</v>
      </c>
      <c r="EV79" s="92">
        <f>SUM(Oncor!EV79,Centerpoint!EV79,'AEP Central'!EV79,TNMP!EV79,'AEP North'!EV79)</f>
        <v>57215.880000000005</v>
      </c>
      <c r="EW79" s="92">
        <f>SUM(Oncor!EW79,Centerpoint!EW79,'AEP Central'!EW79,TNMP!EW79,'AEP North'!EW79)</f>
        <v>57224.490000000005</v>
      </c>
      <c r="EX79" s="92">
        <f>SUM(Oncor!EX79,Centerpoint!EX79,'AEP Central'!EX79,TNMP!EX79,'AEP North'!EX79)</f>
        <v>57313.929999999993</v>
      </c>
      <c r="EY79" s="92">
        <f>SUM(Oncor!EY79,Centerpoint!EY79,'AEP Central'!EY79,TNMP!EY79,'AEP North'!EY79)</f>
        <v>57423.68</v>
      </c>
      <c r="EZ79" s="92">
        <f>SUM(Oncor!EZ79,Centerpoint!EZ79,'AEP Central'!EZ79,TNMP!EZ79,'AEP North'!EZ79)</f>
        <v>58165.51</v>
      </c>
      <c r="FA79" s="92">
        <f>SUM(Oncor!FA79,Centerpoint!FA79,'AEP Central'!FA79,TNMP!FA79,'AEP North'!FA79)</f>
        <v>57398.32</v>
      </c>
      <c r="FB79" s="92">
        <f>SUM(Oncor!FB79,Centerpoint!FB79,'AEP Central'!FB79,TNMP!FB79,'AEP North'!FB79)</f>
        <v>57902.95</v>
      </c>
      <c r="FC79" s="92">
        <f>SUM(Oncor!FC79,Centerpoint!FC79,'AEP Central'!FC79,TNMP!FC79,'AEP North'!FC79)</f>
        <v>58432.27</v>
      </c>
      <c r="FD79" s="92">
        <f>SUM(Oncor!FD79,Centerpoint!FD79,'AEP Central'!FD79,TNMP!FD79,'AEP North'!FD79)</f>
        <v>57799.819999999992</v>
      </c>
      <c r="FE79" s="92">
        <f>SUM(Oncor!FE79,Centerpoint!FE79,'AEP Central'!FE79,TNMP!FE79,'AEP North'!FE79)</f>
        <v>57938.57</v>
      </c>
      <c r="FF79" s="92">
        <f>SUM(Oncor!FF79,Centerpoint!FF79,'AEP Central'!FF79,TNMP!FF79,'AEP North'!FF79)</f>
        <v>57765.270000000004</v>
      </c>
      <c r="FG79" s="92">
        <f>SUM(Oncor!FG79,Centerpoint!FG79,'AEP Central'!FG79,TNMP!FG79,'AEP North'!FG79)</f>
        <v>57702.25</v>
      </c>
      <c r="FH79" s="92">
        <f>SUM(Oncor!FH79,Centerpoint!FH79,'AEP Central'!FH79,TNMP!FH79,'AEP North'!FH79)</f>
        <v>57727.89</v>
      </c>
      <c r="FI79" s="92">
        <f>SUM(Oncor!FI79,Centerpoint!FI79,'AEP Central'!FI79,TNMP!FI79,'AEP North'!FI79)</f>
        <v>58336.33</v>
      </c>
      <c r="FJ79" s="92">
        <f>SUM(Oncor!FJ79,Centerpoint!FJ79,'AEP Central'!FJ79,TNMP!FJ79,'AEP North'!FJ79)</f>
        <v>58296.13</v>
      </c>
      <c r="FK79" s="92">
        <f>SUM(Oncor!FK79,Centerpoint!FK79,'AEP Central'!FK79,TNMP!FK79,'AEP North'!FK79)</f>
        <v>58459.37</v>
      </c>
      <c r="FL79" s="92">
        <f>SUM(Oncor!FL79,Centerpoint!FL79,'AEP Central'!FL79,TNMP!FL79,'AEP North'!FL79,'[1]Sharyland Utilities LP '!FL79,'Sharyland Utilities LP McAllen'!FL79)</f>
        <v>58793.46</v>
      </c>
      <c r="FM79" s="92">
        <f>SUM(Oncor!FM79,Centerpoint!FM79,'AEP Central'!FM79,TNMP!FM79,'AEP North'!FM79,'[1]Sharyland Utilities LP '!FM79,'Sharyland Utilities LP McAllen'!FM79)</f>
        <v>58979.06</v>
      </c>
      <c r="FN79" s="92">
        <f>SUM(Oncor!FN79,Centerpoint!FN79,'AEP Central'!FN79,TNMP!FN79,'AEP North'!FN79,'[1]Sharyland Utilities LP '!FN79,'Sharyland Utilities LP McAllen'!FN79)</f>
        <v>59274.18</v>
      </c>
      <c r="FO79" s="92">
        <f>SUM(Oncor!FO79,Centerpoint!FO79,'AEP Central'!FO79,TNMP!FO79,'AEP North'!FO79,'[1]Sharyland Utilities LP '!FO79,'Sharyland Utilities LP McAllen'!FO79)</f>
        <v>59419.351999999999</v>
      </c>
      <c r="FP79" s="92">
        <f>SUM(Oncor!FP79,Centerpoint!FP79,'AEP Central'!FP79,TNMP!FP79,'AEP North'!FP79,'[1]Sharyland Utilities LP '!FP79,'Sharyland Utilities LP McAllen'!FP79)</f>
        <v>59035.052000000003</v>
      </c>
      <c r="FQ79" s="92">
        <f>SUM(Oncor!FQ79,Centerpoint!FQ79,'AEP Central'!FQ79,TNMP!FQ79,'AEP North'!FQ79,'[1]Sharyland Utilities LP '!FQ79,'Sharyland Utilities LP McAllen'!FQ79)</f>
        <v>59087.701999999997</v>
      </c>
      <c r="FR79" s="92">
        <f>SUM(Oncor!FR79,Centerpoint!FR79,'AEP Central'!FR79,TNMP!FR79,'AEP North'!FR79,'[1]Sharyland Utilities LP '!FR79,'Sharyland Utilities LP McAllen'!FR79)</f>
        <v>59125.669999999991</v>
      </c>
      <c r="FS79" s="92">
        <f>SUM(Oncor!FS79,Centerpoint!FS79,'AEP Central'!FS79,TNMP!FS79,'AEP North'!FS79,'[1]Sharyland Utilities LP '!FS79,'Sharyland Utilities LP McAllen'!FS79)</f>
        <v>58999.37</v>
      </c>
      <c r="FT79" s="92">
        <f>SUM(Oncor!FT79,Centerpoint!FT79,'AEP Central'!FT79,TNMP!FT79,'AEP North'!FT79,'[1]Sharyland Utilities LP '!FT79,'Sharyland Utilities LP McAllen'!FT79)</f>
        <v>58793.03</v>
      </c>
    </row>
    <row r="80" spans="2:176" s="68" customFormat="1" ht="13.8" thickTop="1" x14ac:dyDescent="0.25">
      <c r="B80" s="115" t="s">
        <v>9</v>
      </c>
      <c r="C80" s="87">
        <f t="shared" ref="C80:Q80" si="328">SUM(C78:C79)</f>
        <v>56295.156000000003</v>
      </c>
      <c r="D80" s="94">
        <f t="shared" si="328"/>
        <v>96904.567999999999</v>
      </c>
      <c r="E80" s="94">
        <f t="shared" si="328"/>
        <v>73498.588000000003</v>
      </c>
      <c r="F80" s="94">
        <f t="shared" si="328"/>
        <v>101305.467</v>
      </c>
      <c r="G80" s="94">
        <f t="shared" si="328"/>
        <v>95465.006000000008</v>
      </c>
      <c r="H80" s="94">
        <f t="shared" si="328"/>
        <v>105132.51</v>
      </c>
      <c r="I80" s="94">
        <f t="shared" si="328"/>
        <v>98744.184000000008</v>
      </c>
      <c r="J80" s="94">
        <f t="shared" si="328"/>
        <v>100043.151</v>
      </c>
      <c r="K80" s="94">
        <f t="shared" si="328"/>
        <v>103265.84000000001</v>
      </c>
      <c r="L80" s="94">
        <f t="shared" si="328"/>
        <v>100291.952</v>
      </c>
      <c r="M80" s="94">
        <f t="shared" si="328"/>
        <v>100298.58000000002</v>
      </c>
      <c r="N80" s="95">
        <f t="shared" si="328"/>
        <v>100046.61399999999</v>
      </c>
      <c r="O80" s="145">
        <f t="shared" si="328"/>
        <v>99446</v>
      </c>
      <c r="P80" s="94">
        <f t="shared" si="328"/>
        <v>95358</v>
      </c>
      <c r="Q80" s="94">
        <f t="shared" si="328"/>
        <v>97124</v>
      </c>
      <c r="R80" s="94">
        <f t="shared" ref="R80:W80" si="329">SUM(R78:R79)</f>
        <v>103463.52</v>
      </c>
      <c r="S80" s="94">
        <f t="shared" si="329"/>
        <v>102113.56299999999</v>
      </c>
      <c r="T80" s="94">
        <f t="shared" si="329"/>
        <v>105820.80799999999</v>
      </c>
      <c r="U80" s="94">
        <f t="shared" si="329"/>
        <v>95820.953999999998</v>
      </c>
      <c r="V80" s="94">
        <f t="shared" si="329"/>
        <v>117198.242</v>
      </c>
      <c r="W80" s="94">
        <f t="shared" si="329"/>
        <v>93157.392000000007</v>
      </c>
      <c r="X80" s="94">
        <f t="shared" ref="X80:AC80" si="330">SUM(X78:X79)</f>
        <v>103700.01999999999</v>
      </c>
      <c r="Y80" s="94">
        <f t="shared" si="330"/>
        <v>95658.590000000011</v>
      </c>
      <c r="Z80" s="159">
        <f t="shared" si="330"/>
        <v>101589.44</v>
      </c>
      <c r="AA80" s="145">
        <f t="shared" si="330"/>
        <v>95215.44</v>
      </c>
      <c r="AB80" s="94">
        <f t="shared" si="330"/>
        <v>92435.19</v>
      </c>
      <c r="AC80" s="94">
        <f t="shared" si="330"/>
        <v>99809.85</v>
      </c>
      <c r="AD80" s="94">
        <f t="shared" ref="AD80:AI80" si="331">SUM(AD78:AD79)</f>
        <v>94218.44</v>
      </c>
      <c r="AE80" s="94">
        <f t="shared" si="331"/>
        <v>90032.12000000001</v>
      </c>
      <c r="AF80" s="94">
        <f t="shared" si="331"/>
        <v>98857.31</v>
      </c>
      <c r="AG80" s="94">
        <f t="shared" si="331"/>
        <v>93404.76999999999</v>
      </c>
      <c r="AH80" s="94">
        <f t="shared" si="331"/>
        <v>95088.92</v>
      </c>
      <c r="AI80" s="94">
        <f t="shared" si="331"/>
        <v>94184.83</v>
      </c>
      <c r="AJ80" s="94">
        <f t="shared" ref="AJ80:AO80" si="332">SUM(AJ78:AJ79)</f>
        <v>93901.71100000001</v>
      </c>
      <c r="AK80" s="94">
        <f t="shared" si="332"/>
        <v>92154.65</v>
      </c>
      <c r="AL80" s="159">
        <f t="shared" si="332"/>
        <v>91685.481</v>
      </c>
      <c r="AM80" s="94">
        <f t="shared" si="332"/>
        <v>94382.92</v>
      </c>
      <c r="AN80" s="94">
        <f t="shared" si="332"/>
        <v>89712.68</v>
      </c>
      <c r="AO80" s="94">
        <f t="shared" si="332"/>
        <v>97213.260000000009</v>
      </c>
      <c r="AP80" s="94">
        <f t="shared" ref="AP80:AU80" si="333">SUM(AP78:AP79)</f>
        <v>91584.239999999991</v>
      </c>
      <c r="AQ80" s="94">
        <f t="shared" si="333"/>
        <v>91510.3</v>
      </c>
      <c r="AR80" s="94">
        <f t="shared" si="333"/>
        <v>93173.639999999985</v>
      </c>
      <c r="AS80" s="94">
        <f t="shared" si="333"/>
        <v>90799.44</v>
      </c>
      <c r="AT80" s="94">
        <f t="shared" si="333"/>
        <v>93566.31</v>
      </c>
      <c r="AU80" s="94">
        <f t="shared" si="333"/>
        <v>94651.11</v>
      </c>
      <c r="AV80" s="94">
        <f t="shared" ref="AV80:BJ80" si="334">SUM(AV78:AV79)</f>
        <v>92995.28</v>
      </c>
      <c r="AW80" s="94">
        <f t="shared" si="334"/>
        <v>91485.43</v>
      </c>
      <c r="AX80" s="96">
        <f t="shared" si="334"/>
        <v>91137.27</v>
      </c>
      <c r="AY80" s="94">
        <f t="shared" si="334"/>
        <v>94179.520000000004</v>
      </c>
      <c r="AZ80" s="94">
        <f t="shared" si="334"/>
        <v>91237.41</v>
      </c>
      <c r="BA80" s="94">
        <f t="shared" si="334"/>
        <v>97365.040000000008</v>
      </c>
      <c r="BB80" s="94">
        <f t="shared" si="334"/>
        <v>91362.89</v>
      </c>
      <c r="BC80" s="94">
        <f t="shared" si="334"/>
        <v>95166.6</v>
      </c>
      <c r="BD80" s="94">
        <f t="shared" si="334"/>
        <v>94303.299999999988</v>
      </c>
      <c r="BE80" s="94">
        <f t="shared" si="334"/>
        <v>92315.51</v>
      </c>
      <c r="BF80" s="94">
        <f t="shared" si="334"/>
        <v>95192.59</v>
      </c>
      <c r="BG80" s="94">
        <f t="shared" si="334"/>
        <v>92111.4</v>
      </c>
      <c r="BH80" s="94">
        <f t="shared" si="334"/>
        <v>94231.16</v>
      </c>
      <c r="BI80" s="94">
        <f t="shared" si="334"/>
        <v>92230</v>
      </c>
      <c r="BJ80" s="96">
        <f t="shared" si="334"/>
        <v>90540.87</v>
      </c>
      <c r="BK80" s="94">
        <f t="shared" ref="BK80:BP80" si="335">SUM(BK78:BK79)</f>
        <v>95736.84</v>
      </c>
      <c r="BL80" s="94">
        <f t="shared" si="335"/>
        <v>92419.68</v>
      </c>
      <c r="BM80" s="94">
        <f t="shared" si="335"/>
        <v>94486.959999999992</v>
      </c>
      <c r="BN80" s="94">
        <f t="shared" si="335"/>
        <v>91444.774000000005</v>
      </c>
      <c r="BO80" s="94">
        <f t="shared" si="335"/>
        <v>95027.027999999991</v>
      </c>
      <c r="BP80" s="94">
        <f t="shared" si="335"/>
        <v>93136.831000000006</v>
      </c>
      <c r="BQ80" s="94">
        <f t="shared" ref="BQ80:CB80" si="336">SUM(BQ78:BQ79)</f>
        <v>93089.06</v>
      </c>
      <c r="BR80" s="94">
        <f t="shared" si="336"/>
        <v>94936.510000000009</v>
      </c>
      <c r="BS80" s="94">
        <f t="shared" si="336"/>
        <v>90630.2</v>
      </c>
      <c r="BT80" s="94">
        <f t="shared" si="336"/>
        <v>92734.43</v>
      </c>
      <c r="BU80" s="94">
        <f t="shared" si="336"/>
        <v>92770.38</v>
      </c>
      <c r="BV80" s="96">
        <f t="shared" si="336"/>
        <v>94548.31</v>
      </c>
      <c r="BW80" s="94">
        <f t="shared" si="336"/>
        <v>96813.65</v>
      </c>
      <c r="BX80" s="94">
        <f t="shared" si="336"/>
        <v>93258.950000000012</v>
      </c>
      <c r="BY80" s="94">
        <f t="shared" si="336"/>
        <v>92731.88</v>
      </c>
      <c r="BZ80" s="94">
        <f t="shared" si="336"/>
        <v>92734.86</v>
      </c>
      <c r="CA80" s="94">
        <f t="shared" si="336"/>
        <v>92378.31</v>
      </c>
      <c r="CB80" s="94">
        <f t="shared" si="336"/>
        <v>92783.22</v>
      </c>
      <c r="CC80" s="94">
        <f>SUM(CC78:CC79)</f>
        <v>92428.262000000002</v>
      </c>
      <c r="CD80" s="94">
        <f>SUM(CD78:CD79)</f>
        <v>92335.59599999999</v>
      </c>
      <c r="CE80" s="94">
        <f>SUM(CE78:CE79)</f>
        <v>91900.256999999998</v>
      </c>
      <c r="CF80" s="94">
        <f t="shared" ref="CF80:CQ80" si="337">SUM(CF78:CF79)</f>
        <v>92305.03</v>
      </c>
      <c r="CG80" s="94">
        <f t="shared" si="337"/>
        <v>92424.69</v>
      </c>
      <c r="CH80" s="94">
        <f t="shared" si="337"/>
        <v>93428.56</v>
      </c>
      <c r="CI80" s="87">
        <f t="shared" si="337"/>
        <v>95987.15</v>
      </c>
      <c r="CJ80" s="94">
        <f t="shared" si="337"/>
        <v>93896.87</v>
      </c>
      <c r="CK80" s="94">
        <f t="shared" si="337"/>
        <v>92315.260000000009</v>
      </c>
      <c r="CL80" s="94">
        <f t="shared" si="337"/>
        <v>92322.170000000013</v>
      </c>
      <c r="CM80" s="94">
        <f t="shared" si="337"/>
        <v>91663.66</v>
      </c>
      <c r="CN80" s="94">
        <f t="shared" si="337"/>
        <v>91501.11</v>
      </c>
      <c r="CO80" s="94">
        <f t="shared" si="337"/>
        <v>91576.12</v>
      </c>
      <c r="CP80" s="94">
        <f t="shared" si="337"/>
        <v>91738.83</v>
      </c>
      <c r="CQ80" s="94">
        <f t="shared" si="337"/>
        <v>91065.989999999991</v>
      </c>
      <c r="CR80" s="94">
        <f t="shared" ref="CR80:EA80" si="338">SUM(CR78:CR79)</f>
        <v>91636.4</v>
      </c>
      <c r="CS80" s="94">
        <f t="shared" si="338"/>
        <v>91516.959999999992</v>
      </c>
      <c r="CT80" s="96">
        <f t="shared" si="338"/>
        <v>93045.45</v>
      </c>
      <c r="CU80" s="94">
        <f t="shared" si="338"/>
        <v>91592.956999999995</v>
      </c>
      <c r="CV80" s="94">
        <f t="shared" si="338"/>
        <v>91403.55</v>
      </c>
      <c r="CW80" s="94">
        <f t="shared" si="338"/>
        <v>91116.28899999999</v>
      </c>
      <c r="CX80" s="94">
        <f t="shared" si="338"/>
        <v>91473.37</v>
      </c>
      <c r="CY80" s="94">
        <f t="shared" si="338"/>
        <v>90737.079999999987</v>
      </c>
      <c r="CZ80" s="94">
        <f t="shared" si="338"/>
        <v>90800.209999999992</v>
      </c>
      <c r="DA80" s="94">
        <f t="shared" si="338"/>
        <v>89987.87</v>
      </c>
      <c r="DB80" s="94">
        <f t="shared" si="338"/>
        <v>89915.8</v>
      </c>
      <c r="DC80" s="94">
        <f t="shared" si="338"/>
        <v>90641.49</v>
      </c>
      <c r="DD80" s="94">
        <f t="shared" si="338"/>
        <v>89385.31</v>
      </c>
      <c r="DE80" s="94">
        <f t="shared" si="338"/>
        <v>89994.92</v>
      </c>
      <c r="DF80" s="96">
        <f t="shared" si="338"/>
        <v>92458.69</v>
      </c>
      <c r="DG80" s="94">
        <f t="shared" si="338"/>
        <v>87685.47</v>
      </c>
      <c r="DH80" s="94">
        <f t="shared" si="338"/>
        <v>81326.549999999988</v>
      </c>
      <c r="DI80" s="94">
        <f t="shared" si="338"/>
        <v>88661.19</v>
      </c>
      <c r="DJ80" s="94">
        <f t="shared" si="338"/>
        <v>86996.53</v>
      </c>
      <c r="DK80" s="94">
        <f t="shared" si="338"/>
        <v>86923.16</v>
      </c>
      <c r="DL80" s="94">
        <f t="shared" si="338"/>
        <v>89161.43</v>
      </c>
      <c r="DM80" s="94">
        <f t="shared" si="338"/>
        <v>87377.32</v>
      </c>
      <c r="DN80" s="94">
        <f t="shared" si="338"/>
        <v>89059.47</v>
      </c>
      <c r="DO80" s="94">
        <f t="shared" si="338"/>
        <v>88319.25</v>
      </c>
      <c r="DP80" s="94">
        <f t="shared" si="338"/>
        <v>88166.49</v>
      </c>
      <c r="DQ80" s="94">
        <f t="shared" si="338"/>
        <v>89435.98</v>
      </c>
      <c r="DR80" s="94">
        <f t="shared" si="338"/>
        <v>87138.66</v>
      </c>
      <c r="DS80" s="94">
        <f t="shared" si="338"/>
        <v>88069.83</v>
      </c>
      <c r="DT80" s="94">
        <f t="shared" si="338"/>
        <v>88332.110000000015</v>
      </c>
      <c r="DU80" s="94">
        <f t="shared" si="338"/>
        <v>89281.709999999992</v>
      </c>
      <c r="DV80" s="94">
        <f t="shared" si="338"/>
        <v>90272.37</v>
      </c>
      <c r="DW80" s="94">
        <f t="shared" si="338"/>
        <v>89319.19</v>
      </c>
      <c r="DX80" s="94">
        <f t="shared" si="338"/>
        <v>86771.560000000012</v>
      </c>
      <c r="DY80" s="94">
        <f t="shared" si="338"/>
        <v>89119.37</v>
      </c>
      <c r="DZ80" s="94">
        <f t="shared" si="338"/>
        <v>88984.98</v>
      </c>
      <c r="EA80" s="94">
        <f t="shared" si="338"/>
        <v>89297.52</v>
      </c>
      <c r="EB80" s="94">
        <f t="shared" ref="EB80:FH80" si="339">SUM(EB78:EB79)</f>
        <v>89210.73</v>
      </c>
      <c r="EC80" s="94">
        <f t="shared" si="339"/>
        <v>89063.33</v>
      </c>
      <c r="ED80" s="94">
        <f t="shared" si="339"/>
        <v>90007.11</v>
      </c>
      <c r="EE80" s="94">
        <f t="shared" si="339"/>
        <v>89751.15</v>
      </c>
      <c r="EF80" s="94">
        <f t="shared" si="339"/>
        <v>89085.139999999985</v>
      </c>
      <c r="EG80" s="94">
        <f t="shared" si="339"/>
        <v>89222.68</v>
      </c>
      <c r="EH80" s="94">
        <f t="shared" si="339"/>
        <v>89383.760000000009</v>
      </c>
      <c r="EI80" s="94">
        <f t="shared" si="339"/>
        <v>88607.88</v>
      </c>
      <c r="EJ80" s="94">
        <f t="shared" si="339"/>
        <v>88833.35</v>
      </c>
      <c r="EK80" s="94">
        <f t="shared" si="339"/>
        <v>89021.11</v>
      </c>
      <c r="EL80" s="94">
        <f t="shared" si="339"/>
        <v>87759.33</v>
      </c>
      <c r="EM80" s="94">
        <f t="shared" si="339"/>
        <v>87490.08</v>
      </c>
      <c r="EN80" s="94">
        <f t="shared" si="339"/>
        <v>88306.58</v>
      </c>
      <c r="EO80" s="94">
        <f t="shared" si="339"/>
        <v>88433.39</v>
      </c>
      <c r="EP80" s="94">
        <f t="shared" si="339"/>
        <v>88913.239999999991</v>
      </c>
      <c r="EQ80" s="94">
        <f t="shared" si="339"/>
        <v>86925.55</v>
      </c>
      <c r="ER80" s="94">
        <f t="shared" si="339"/>
        <v>87180.97</v>
      </c>
      <c r="ES80" s="94">
        <f t="shared" si="339"/>
        <v>86891.87</v>
      </c>
      <c r="ET80" s="94">
        <f t="shared" si="339"/>
        <v>88428.36</v>
      </c>
      <c r="EU80" s="94">
        <f t="shared" si="339"/>
        <v>88290.52</v>
      </c>
      <c r="EV80" s="94">
        <f t="shared" si="339"/>
        <v>88031.28</v>
      </c>
      <c r="EW80" s="94">
        <f t="shared" si="339"/>
        <v>88008.25</v>
      </c>
      <c r="EX80" s="94">
        <f t="shared" si="339"/>
        <v>87968.01</v>
      </c>
      <c r="EY80" s="94">
        <f t="shared" si="339"/>
        <v>88146.49</v>
      </c>
      <c r="EZ80" s="94">
        <f t="shared" si="339"/>
        <v>88730.99</v>
      </c>
      <c r="FA80" s="94">
        <f t="shared" si="339"/>
        <v>87335.94</v>
      </c>
      <c r="FB80" s="94">
        <f t="shared" si="339"/>
        <v>89453.7</v>
      </c>
      <c r="FC80" s="94">
        <f t="shared" si="339"/>
        <v>89150.51</v>
      </c>
      <c r="FD80" s="94">
        <f t="shared" si="339"/>
        <v>88307.609999999986</v>
      </c>
      <c r="FE80" s="94">
        <f t="shared" si="339"/>
        <v>88604.209999999992</v>
      </c>
      <c r="FF80" s="94">
        <f t="shared" si="339"/>
        <v>88093.13</v>
      </c>
      <c r="FG80" s="94">
        <f t="shared" si="339"/>
        <v>87864.84</v>
      </c>
      <c r="FH80" s="94">
        <f t="shared" si="339"/>
        <v>87666.11</v>
      </c>
      <c r="FI80" s="94">
        <f t="shared" ref="FI80:FT80" si="340">SUM(FI78:FI79)</f>
        <v>85296.52</v>
      </c>
      <c r="FJ80" s="94">
        <f t="shared" si="340"/>
        <v>83724.73</v>
      </c>
      <c r="FK80" s="94">
        <f t="shared" si="340"/>
        <v>92201.860000000015</v>
      </c>
      <c r="FL80" s="94">
        <f t="shared" si="340"/>
        <v>92885.94</v>
      </c>
      <c r="FM80" s="94">
        <f t="shared" si="340"/>
        <v>86780.13</v>
      </c>
      <c r="FN80" s="94">
        <f t="shared" si="340"/>
        <v>86534.17</v>
      </c>
      <c r="FO80" s="94">
        <f t="shared" si="340"/>
        <v>86568.282000000007</v>
      </c>
      <c r="FP80" s="94">
        <f t="shared" si="340"/>
        <v>85935.832000000009</v>
      </c>
      <c r="FQ80" s="94">
        <f t="shared" si="340"/>
        <v>85666.081999999995</v>
      </c>
      <c r="FR80" s="94">
        <f t="shared" si="340"/>
        <v>85411.109999999986</v>
      </c>
      <c r="FS80" s="94">
        <f t="shared" si="340"/>
        <v>85031.35</v>
      </c>
      <c r="FT80" s="94">
        <f t="shared" si="340"/>
        <v>84830.5</v>
      </c>
    </row>
    <row r="81" spans="2:176" x14ac:dyDescent="0.25">
      <c r="B81" s="114" t="s">
        <v>10</v>
      </c>
      <c r="C81" s="78">
        <f t="shared" ref="C81:Q81" si="341">SUM(C78)/C80</f>
        <v>0.96996098563080635</v>
      </c>
      <c r="D81" s="14">
        <f t="shared" si="341"/>
        <v>0.85883478681830561</v>
      </c>
      <c r="E81" s="14">
        <f t="shared" si="341"/>
        <v>0.81553672840626545</v>
      </c>
      <c r="F81" s="14">
        <f t="shared" si="341"/>
        <v>0.80381311504146169</v>
      </c>
      <c r="G81" s="14">
        <f t="shared" si="341"/>
        <v>0.79645202138257865</v>
      </c>
      <c r="H81" s="14">
        <f t="shared" si="341"/>
        <v>0.79350576715042764</v>
      </c>
      <c r="I81" s="14">
        <f t="shared" si="341"/>
        <v>0.79253757365598354</v>
      </c>
      <c r="J81" s="14">
        <f t="shared" si="341"/>
        <v>0.7561268736927329</v>
      </c>
      <c r="K81" s="14">
        <f t="shared" si="341"/>
        <v>0.74140827208687798</v>
      </c>
      <c r="L81" s="14">
        <f t="shared" si="341"/>
        <v>0.75740206951002398</v>
      </c>
      <c r="M81" s="14">
        <f t="shared" si="341"/>
        <v>0.7548865696802487</v>
      </c>
      <c r="N81" s="14">
        <f t="shared" si="341"/>
        <v>0.7279430166422225</v>
      </c>
      <c r="O81" s="136">
        <f t="shared" si="341"/>
        <v>0.7348711863725037</v>
      </c>
      <c r="P81" s="14">
        <f t="shared" si="341"/>
        <v>0.7278571278760041</v>
      </c>
      <c r="Q81" s="14">
        <f t="shared" si="341"/>
        <v>0.71966764136567685</v>
      </c>
      <c r="R81" s="14">
        <f t="shared" ref="R81:W81" si="342">SUM(R78)/R80</f>
        <v>0.72124003706813755</v>
      </c>
      <c r="S81" s="14">
        <f t="shared" si="342"/>
        <v>0.71172214409950618</v>
      </c>
      <c r="T81" s="14">
        <f t="shared" si="342"/>
        <v>0.67807853064210211</v>
      </c>
      <c r="U81" s="14">
        <f t="shared" si="342"/>
        <v>0.74891108890441649</v>
      </c>
      <c r="V81" s="14">
        <f t="shared" si="342"/>
        <v>0.61365992162237382</v>
      </c>
      <c r="W81" s="14">
        <f t="shared" si="342"/>
        <v>0.83257678574771599</v>
      </c>
      <c r="X81" s="14">
        <f t="shared" ref="X81:AC81" si="343">SUM(X78)/X80</f>
        <v>0.76722154923403107</v>
      </c>
      <c r="Y81" s="14">
        <f t="shared" si="343"/>
        <v>0.76891024632497718</v>
      </c>
      <c r="Z81" s="150">
        <f t="shared" si="343"/>
        <v>0.76415924726034523</v>
      </c>
      <c r="AA81" s="136">
        <f t="shared" si="343"/>
        <v>0.76086210387727038</v>
      </c>
      <c r="AB81" s="14">
        <f t="shared" si="343"/>
        <v>0.83924855890922068</v>
      </c>
      <c r="AC81" s="14">
        <f t="shared" si="343"/>
        <v>0.79803566481664889</v>
      </c>
      <c r="AD81" s="14">
        <f t="shared" ref="AD81:AI81" si="344">SUM(AD78)/AD80</f>
        <v>0.81413521599381189</v>
      </c>
      <c r="AE81" s="14">
        <f t="shared" si="344"/>
        <v>0.81245826489479533</v>
      </c>
      <c r="AF81" s="14">
        <f t="shared" si="344"/>
        <v>0.80835954366955765</v>
      </c>
      <c r="AG81" s="14">
        <f t="shared" si="344"/>
        <v>0.80178378470392897</v>
      </c>
      <c r="AH81" s="14">
        <f t="shared" si="344"/>
        <v>0.79722159006538307</v>
      </c>
      <c r="AI81" s="14">
        <f t="shared" si="344"/>
        <v>0.79670791994846735</v>
      </c>
      <c r="AJ81" s="14">
        <f t="shared" ref="AJ81:AO81" si="345">SUM(AJ78)/AJ80</f>
        <v>0.79474228110710354</v>
      </c>
      <c r="AK81" s="14">
        <f t="shared" si="345"/>
        <v>0.79410600550270671</v>
      </c>
      <c r="AL81" s="150">
        <f t="shared" si="345"/>
        <v>0.79580278364902723</v>
      </c>
      <c r="AM81" s="14">
        <f t="shared" si="345"/>
        <v>0.75177034149822874</v>
      </c>
      <c r="AN81" s="14">
        <f t="shared" si="345"/>
        <v>0.70314876336321697</v>
      </c>
      <c r="AO81" s="14">
        <f t="shared" si="345"/>
        <v>0.6569341466380203</v>
      </c>
      <c r="AP81" s="14">
        <f t="shared" ref="AP81:AU81" si="346">SUM(AP78)/AP80</f>
        <v>0.68440137735488116</v>
      </c>
      <c r="AQ81" s="14">
        <f t="shared" si="346"/>
        <v>0.6725681152831976</v>
      </c>
      <c r="AR81" s="14">
        <f t="shared" si="346"/>
        <v>0.66493023134010865</v>
      </c>
      <c r="AS81" s="14">
        <f t="shared" si="346"/>
        <v>0.66957648637480593</v>
      </c>
      <c r="AT81" s="14">
        <f t="shared" si="346"/>
        <v>0.64839694971405848</v>
      </c>
      <c r="AU81" s="14">
        <f t="shared" si="346"/>
        <v>0.65537921319676018</v>
      </c>
      <c r="AV81" s="14">
        <f t="shared" ref="AV81:BJ81" si="347">SUM(AV78)/AV80</f>
        <v>0.65339853807634107</v>
      </c>
      <c r="AW81" s="14">
        <f t="shared" si="347"/>
        <v>0.64892715703473225</v>
      </c>
      <c r="AX81" s="23">
        <f t="shared" si="347"/>
        <v>0.65884780178295888</v>
      </c>
      <c r="AY81" s="14">
        <f t="shared" si="347"/>
        <v>0.64442704740903334</v>
      </c>
      <c r="AZ81" s="14">
        <f t="shared" si="347"/>
        <v>0.65605994295541703</v>
      </c>
      <c r="BA81" s="14">
        <f t="shared" si="347"/>
        <v>0.62293663105361019</v>
      </c>
      <c r="BB81" s="14">
        <f t="shared" si="347"/>
        <v>0.64752953852488682</v>
      </c>
      <c r="BC81" s="14">
        <f t="shared" si="347"/>
        <v>0.62852292716142</v>
      </c>
      <c r="BD81" s="14">
        <f t="shared" si="347"/>
        <v>0.62812425440042929</v>
      </c>
      <c r="BE81" s="14">
        <f t="shared" si="347"/>
        <v>0.63260767340179347</v>
      </c>
      <c r="BF81" s="14">
        <f t="shared" si="347"/>
        <v>0.592701910936555</v>
      </c>
      <c r="BG81" s="14">
        <f t="shared" si="347"/>
        <v>0.60035793615122557</v>
      </c>
      <c r="BH81" s="14">
        <f t="shared" si="347"/>
        <v>0.5891296467113426</v>
      </c>
      <c r="BI81" s="14">
        <f t="shared" si="347"/>
        <v>0.58503111785753004</v>
      </c>
      <c r="BJ81" s="23">
        <f t="shared" si="347"/>
        <v>0.59158609807924312</v>
      </c>
      <c r="BK81" s="14">
        <f t="shared" ref="BK81:BP81" si="348">SUM(BK78)/BK80</f>
        <v>0.56200988041802924</v>
      </c>
      <c r="BL81" s="14">
        <f t="shared" si="348"/>
        <v>0.55122967316052174</v>
      </c>
      <c r="BM81" s="14">
        <f t="shared" si="348"/>
        <v>0.46750334649352671</v>
      </c>
      <c r="BN81" s="14">
        <f t="shared" si="348"/>
        <v>0.47029564532577878</v>
      </c>
      <c r="BO81" s="14">
        <f t="shared" si="348"/>
        <v>0.4558873502810169</v>
      </c>
      <c r="BP81" s="14">
        <f t="shared" si="348"/>
        <v>0.45862776885762835</v>
      </c>
      <c r="BQ81" s="14">
        <f t="shared" ref="BQ81:CB81" si="349">SUM(BQ78)/BQ80</f>
        <v>0.45493455407112293</v>
      </c>
      <c r="BR81" s="14">
        <f t="shared" si="349"/>
        <v>0.44685938002144793</v>
      </c>
      <c r="BS81" s="14">
        <f t="shared" si="349"/>
        <v>0.4531476262879261</v>
      </c>
      <c r="BT81" s="14">
        <f t="shared" si="349"/>
        <v>0.44598839934639167</v>
      </c>
      <c r="BU81" s="14">
        <f t="shared" si="349"/>
        <v>0.44224654464064933</v>
      </c>
      <c r="BV81" s="23">
        <f t="shared" si="349"/>
        <v>0.43449798309456833</v>
      </c>
      <c r="BW81" s="14">
        <f t="shared" si="349"/>
        <v>0.42390551332379273</v>
      </c>
      <c r="BX81" s="14">
        <f t="shared" si="349"/>
        <v>0.42662907956823443</v>
      </c>
      <c r="BY81" s="14">
        <f t="shared" si="349"/>
        <v>0.42383644114623792</v>
      </c>
      <c r="BZ81" s="14">
        <f t="shared" si="349"/>
        <v>0.4229499025501306</v>
      </c>
      <c r="CA81" s="14">
        <f t="shared" si="349"/>
        <v>0.42262463991817995</v>
      </c>
      <c r="CB81" s="14">
        <f t="shared" si="349"/>
        <v>0.41969086651659648</v>
      </c>
      <c r="CC81" s="14">
        <f>SUM(CC78)/CC80</f>
        <v>0.4159827759176084</v>
      </c>
      <c r="CD81" s="14">
        <f>SUM(CD78)/CD80</f>
        <v>0.4144627603854964</v>
      </c>
      <c r="CE81" s="14">
        <f>SUM(CE78)/CE80</f>
        <v>0.40956936605737676</v>
      </c>
      <c r="CF81" s="14">
        <f t="shared" ref="CF81:CQ81" si="350">SUM(CF78)/CF80</f>
        <v>0.40282766822133093</v>
      </c>
      <c r="CG81" s="14">
        <f t="shared" si="350"/>
        <v>0.39881594409459198</v>
      </c>
      <c r="CH81" s="14">
        <f t="shared" si="350"/>
        <v>0.39586760194099113</v>
      </c>
      <c r="CI81" s="78">
        <f t="shared" si="350"/>
        <v>0.39119767593891475</v>
      </c>
      <c r="CJ81" s="14">
        <f t="shared" si="350"/>
        <v>0.39308711781340533</v>
      </c>
      <c r="CK81" s="14">
        <f t="shared" si="350"/>
        <v>0.38318182714320465</v>
      </c>
      <c r="CL81" s="14">
        <f t="shared" si="350"/>
        <v>0.37958434035941746</v>
      </c>
      <c r="CM81" s="14">
        <f t="shared" si="350"/>
        <v>0.37998231796548382</v>
      </c>
      <c r="CN81" s="14">
        <f t="shared" si="350"/>
        <v>0.37709804831875809</v>
      </c>
      <c r="CO81" s="14">
        <f t="shared" si="350"/>
        <v>0.40476065157597851</v>
      </c>
      <c r="CP81" s="14">
        <f t="shared" si="350"/>
        <v>0.40648817954185812</v>
      </c>
      <c r="CQ81" s="14">
        <f t="shared" si="350"/>
        <v>0.39594013088750263</v>
      </c>
      <c r="CR81" s="14">
        <f t="shared" ref="CR81:EA81" si="351">SUM(CR78)/CR80</f>
        <v>0.39274578660881482</v>
      </c>
      <c r="CS81" s="14">
        <f t="shared" si="351"/>
        <v>0.3897573739337496</v>
      </c>
      <c r="CT81" s="23">
        <f t="shared" si="351"/>
        <v>0.38403726350939243</v>
      </c>
      <c r="CU81" s="14">
        <f t="shared" si="351"/>
        <v>0.39517589764025196</v>
      </c>
      <c r="CV81" s="14">
        <f t="shared" si="351"/>
        <v>0.38294593590730341</v>
      </c>
      <c r="CW81" s="14">
        <f t="shared" si="351"/>
        <v>0.38122262639559434</v>
      </c>
      <c r="CX81" s="14">
        <f t="shared" si="351"/>
        <v>0.38081804573287287</v>
      </c>
      <c r="CY81" s="14">
        <f t="shared" si="351"/>
        <v>0.38141948142920185</v>
      </c>
      <c r="CZ81" s="14">
        <f t="shared" si="351"/>
        <v>0.38081453776373431</v>
      </c>
      <c r="DA81" s="14">
        <f t="shared" si="351"/>
        <v>0.38117648523073172</v>
      </c>
      <c r="DB81" s="14">
        <f t="shared" si="351"/>
        <v>0.37360530629766964</v>
      </c>
      <c r="DC81" s="14">
        <f t="shared" si="351"/>
        <v>0.37161083737701134</v>
      </c>
      <c r="DD81" s="14">
        <f t="shared" si="351"/>
        <v>0.37013028203403892</v>
      </c>
      <c r="DE81" s="14">
        <f t="shared" si="351"/>
        <v>0.36277514330808897</v>
      </c>
      <c r="DF81" s="23">
        <f t="shared" si="351"/>
        <v>0.35333996187919164</v>
      </c>
      <c r="DG81" s="14">
        <f t="shared" si="351"/>
        <v>0.36743829964075003</v>
      </c>
      <c r="DH81" s="14">
        <f t="shared" si="351"/>
        <v>0.46079761160408267</v>
      </c>
      <c r="DI81" s="14">
        <f t="shared" si="351"/>
        <v>0.43639522546449017</v>
      </c>
      <c r="DJ81" s="14">
        <f t="shared" si="351"/>
        <v>0.44267236865654286</v>
      </c>
      <c r="DK81" s="14">
        <f t="shared" si="351"/>
        <v>0.43919595191891325</v>
      </c>
      <c r="DL81" s="14">
        <f t="shared" si="351"/>
        <v>0.43000129091693573</v>
      </c>
      <c r="DM81" s="14">
        <f t="shared" si="351"/>
        <v>0.40225930481731415</v>
      </c>
      <c r="DN81" s="14">
        <f t="shared" si="351"/>
        <v>0.39467144819074268</v>
      </c>
      <c r="DO81" s="14">
        <f t="shared" si="351"/>
        <v>0.39368212479159415</v>
      </c>
      <c r="DP81" s="14">
        <f t="shared" si="351"/>
        <v>0.39294623161248676</v>
      </c>
      <c r="DQ81" s="14">
        <f t="shared" si="351"/>
        <v>0.38718801985509638</v>
      </c>
      <c r="DR81" s="14">
        <f t="shared" si="351"/>
        <v>0.39160482844239292</v>
      </c>
      <c r="DS81" s="14">
        <f t="shared" si="351"/>
        <v>0.38505433699599506</v>
      </c>
      <c r="DT81" s="14">
        <f t="shared" si="351"/>
        <v>0.38286360418651832</v>
      </c>
      <c r="DU81" s="14">
        <f t="shared" si="351"/>
        <v>0.37872717715644111</v>
      </c>
      <c r="DV81" s="14">
        <f t="shared" si="351"/>
        <v>0.37200064648795639</v>
      </c>
      <c r="DW81" s="14">
        <f t="shared" si="351"/>
        <v>0.37228293270460688</v>
      </c>
      <c r="DX81" s="14">
        <f t="shared" si="351"/>
        <v>0.37227462546484119</v>
      </c>
      <c r="DY81" s="14">
        <f t="shared" si="351"/>
        <v>0.36125715430887811</v>
      </c>
      <c r="DZ81" s="14">
        <f t="shared" si="351"/>
        <v>0.35780982363540459</v>
      </c>
      <c r="EA81" s="14">
        <f t="shared" si="351"/>
        <v>0.35742134831963979</v>
      </c>
      <c r="EB81" s="14">
        <f t="shared" ref="EB81:FH81" si="352">SUM(EB78)/EB80</f>
        <v>0.35584351792659918</v>
      </c>
      <c r="EC81" s="14">
        <f t="shared" si="352"/>
        <v>0.35457353772871503</v>
      </c>
      <c r="ED81" s="14">
        <f t="shared" si="352"/>
        <v>0.35131524609555842</v>
      </c>
      <c r="EE81" s="14">
        <f t="shared" si="352"/>
        <v>0.35117622448291747</v>
      </c>
      <c r="EF81" s="14">
        <f t="shared" si="352"/>
        <v>0.35986787470951948</v>
      </c>
      <c r="EG81" s="14">
        <f t="shared" si="352"/>
        <v>0.35910902922889115</v>
      </c>
      <c r="EH81" s="14">
        <f t="shared" si="352"/>
        <v>0.35776208116552716</v>
      </c>
      <c r="EI81" s="14">
        <f t="shared" si="352"/>
        <v>0.35953010048316242</v>
      </c>
      <c r="EJ81" s="14">
        <f t="shared" si="352"/>
        <v>0.35911265307454915</v>
      </c>
      <c r="EK81" s="14">
        <f t="shared" si="352"/>
        <v>0.36131609682242782</v>
      </c>
      <c r="EL81" s="14">
        <f t="shared" si="352"/>
        <v>0.35141312040554545</v>
      </c>
      <c r="EM81" s="14">
        <f t="shared" si="352"/>
        <v>0.34578697379177159</v>
      </c>
      <c r="EN81" s="14">
        <f t="shared" si="352"/>
        <v>0.34875475870541017</v>
      </c>
      <c r="EO81" s="14">
        <f t="shared" si="352"/>
        <v>0.35144587355522616</v>
      </c>
      <c r="EP81" s="14">
        <f t="shared" si="352"/>
        <v>0.3495081272485403</v>
      </c>
      <c r="EQ81" s="14">
        <f t="shared" si="352"/>
        <v>0.35526631698045052</v>
      </c>
      <c r="ER81" s="14">
        <f t="shared" si="352"/>
        <v>0.35289524766700808</v>
      </c>
      <c r="ES81" s="14">
        <f t="shared" si="352"/>
        <v>0.3542165682474091</v>
      </c>
      <c r="ET81" s="14">
        <f t="shared" si="352"/>
        <v>0.34821023481607033</v>
      </c>
      <c r="EU81" s="14">
        <f t="shared" si="352"/>
        <v>0.34843548322062207</v>
      </c>
      <c r="EV81" s="14">
        <f t="shared" si="352"/>
        <v>0.35005057293271213</v>
      </c>
      <c r="EW81" s="14">
        <f t="shared" si="352"/>
        <v>0.3497826624208526</v>
      </c>
      <c r="EX81" s="14">
        <f t="shared" si="352"/>
        <v>0.3484684943992708</v>
      </c>
      <c r="EY81" s="14">
        <f t="shared" si="352"/>
        <v>0.34854263624110271</v>
      </c>
      <c r="EZ81" s="14">
        <f t="shared" si="352"/>
        <v>0.34447355991407286</v>
      </c>
      <c r="FA81" s="14">
        <f t="shared" si="352"/>
        <v>0.34278694429807477</v>
      </c>
      <c r="FB81" s="14">
        <f t="shared" si="352"/>
        <v>0.35270480706779034</v>
      </c>
      <c r="FC81" s="14">
        <f t="shared" si="352"/>
        <v>0.34456606025024428</v>
      </c>
      <c r="FD81" s="14">
        <f t="shared" si="352"/>
        <v>0.34547181154602652</v>
      </c>
      <c r="FE81" s="14">
        <f t="shared" si="352"/>
        <v>0.3460968728235374</v>
      </c>
      <c r="FF81" s="14">
        <f t="shared" si="352"/>
        <v>0.34427043289300763</v>
      </c>
      <c r="FG81" s="14">
        <f t="shared" si="352"/>
        <v>0.34328395749653673</v>
      </c>
      <c r="FH81" s="14">
        <f t="shared" si="352"/>
        <v>0.34150277684272751</v>
      </c>
      <c r="FI81" s="14">
        <f t="shared" ref="FI81:FT81" si="353">SUM(FI78)/FI80</f>
        <v>0.31607608376050977</v>
      </c>
      <c r="FJ81" s="14">
        <f t="shared" si="353"/>
        <v>0.30371671547940499</v>
      </c>
      <c r="FK81" s="14">
        <f t="shared" si="353"/>
        <v>0.36596322460306113</v>
      </c>
      <c r="FL81" s="14">
        <f t="shared" si="353"/>
        <v>0.36703595829465679</v>
      </c>
      <c r="FM81" s="14">
        <f t="shared" si="353"/>
        <v>0.32036216124589811</v>
      </c>
      <c r="FN81" s="14">
        <f t="shared" si="353"/>
        <v>0.31501995107828501</v>
      </c>
      <c r="FO81" s="14">
        <f t="shared" si="353"/>
        <v>0.31361290039231693</v>
      </c>
      <c r="FP81" s="14">
        <f t="shared" si="353"/>
        <v>0.31303333398808542</v>
      </c>
      <c r="FQ81" s="14">
        <f t="shared" si="353"/>
        <v>0.3102555804991759</v>
      </c>
      <c r="FR81" s="14">
        <f t="shared" si="353"/>
        <v>0.30775200088138421</v>
      </c>
      <c r="FS81" s="14">
        <f t="shared" si="353"/>
        <v>0.30614567450710822</v>
      </c>
      <c r="FT81" s="14">
        <f t="shared" si="353"/>
        <v>0.30693524145207207</v>
      </c>
    </row>
    <row r="82" spans="2:176" ht="13.8" thickBot="1" x14ac:dyDescent="0.3">
      <c r="B82" s="117" t="s">
        <v>11</v>
      </c>
      <c r="C82" s="79">
        <f t="shared" ref="C82:Q82" si="354">SUM(C79/C80)</f>
        <v>3.0039014369193678E-2</v>
      </c>
      <c r="D82" s="15">
        <f t="shared" si="354"/>
        <v>0.14116521318169442</v>
      </c>
      <c r="E82" s="15">
        <f t="shared" si="354"/>
        <v>0.18446327159373463</v>
      </c>
      <c r="F82" s="15">
        <f t="shared" si="354"/>
        <v>0.19618688495853834</v>
      </c>
      <c r="G82" s="15">
        <f t="shared" si="354"/>
        <v>0.20354797861742138</v>
      </c>
      <c r="H82" s="15">
        <f t="shared" si="354"/>
        <v>0.20649423284957236</v>
      </c>
      <c r="I82" s="15">
        <f t="shared" si="354"/>
        <v>0.2074624263440164</v>
      </c>
      <c r="J82" s="15">
        <f t="shared" si="354"/>
        <v>0.24387312630726715</v>
      </c>
      <c r="K82" s="15">
        <f t="shared" si="354"/>
        <v>0.25859172791312207</v>
      </c>
      <c r="L82" s="15">
        <f t="shared" si="354"/>
        <v>0.24259793048997602</v>
      </c>
      <c r="M82" s="15">
        <f t="shared" si="354"/>
        <v>0.24511343031975133</v>
      </c>
      <c r="N82" s="15">
        <f t="shared" si="354"/>
        <v>0.27205698335777756</v>
      </c>
      <c r="O82" s="137">
        <f t="shared" si="354"/>
        <v>0.26512881362749635</v>
      </c>
      <c r="P82" s="15">
        <f t="shared" si="354"/>
        <v>0.2721428721239959</v>
      </c>
      <c r="Q82" s="15">
        <f t="shared" si="354"/>
        <v>0.28033235863432315</v>
      </c>
      <c r="R82" s="15">
        <f t="shared" ref="R82:W82" si="355">SUM(R79/R80)</f>
        <v>0.27875996293186239</v>
      </c>
      <c r="S82" s="15">
        <f t="shared" si="355"/>
        <v>0.28827785590049376</v>
      </c>
      <c r="T82" s="15">
        <f t="shared" si="355"/>
        <v>0.32192146935789795</v>
      </c>
      <c r="U82" s="15">
        <f t="shared" si="355"/>
        <v>0.25108891109558357</v>
      </c>
      <c r="V82" s="15">
        <f t="shared" si="355"/>
        <v>0.38634007837762624</v>
      </c>
      <c r="W82" s="15">
        <f t="shared" si="355"/>
        <v>0.16742321425228393</v>
      </c>
      <c r="X82" s="15">
        <f t="shared" ref="X82:AC82" si="356">SUM(X79/X80)</f>
        <v>0.23277845076596898</v>
      </c>
      <c r="Y82" s="15">
        <f t="shared" si="356"/>
        <v>0.2310897536750228</v>
      </c>
      <c r="Z82" s="151">
        <f t="shared" si="356"/>
        <v>0.23584075273965482</v>
      </c>
      <c r="AA82" s="137">
        <f t="shared" si="356"/>
        <v>0.23913789612272965</v>
      </c>
      <c r="AB82" s="15">
        <f t="shared" si="356"/>
        <v>0.16075144109077938</v>
      </c>
      <c r="AC82" s="15">
        <f t="shared" si="356"/>
        <v>0.20196433518335116</v>
      </c>
      <c r="AD82" s="15">
        <f t="shared" ref="AD82:AI82" si="357">SUM(AD79/AD80)</f>
        <v>0.18586478400618817</v>
      </c>
      <c r="AE82" s="15">
        <f t="shared" si="357"/>
        <v>0.18754173510520464</v>
      </c>
      <c r="AF82" s="15">
        <f t="shared" si="357"/>
        <v>0.19164045633044235</v>
      </c>
      <c r="AG82" s="15">
        <f t="shared" si="357"/>
        <v>0.19821621529607109</v>
      </c>
      <c r="AH82" s="15">
        <f t="shared" si="357"/>
        <v>0.20277840993461699</v>
      </c>
      <c r="AI82" s="15">
        <f t="shared" si="357"/>
        <v>0.20329208005153274</v>
      </c>
      <c r="AJ82" s="15">
        <f t="shared" ref="AJ82:AO82" si="358">SUM(AJ79/AJ80)</f>
        <v>0.2052577188928964</v>
      </c>
      <c r="AK82" s="15">
        <f t="shared" si="358"/>
        <v>0.20589399449729343</v>
      </c>
      <c r="AL82" s="151">
        <f t="shared" si="358"/>
        <v>0.20419721635097271</v>
      </c>
      <c r="AM82" s="15">
        <f t="shared" si="358"/>
        <v>0.24822965850177128</v>
      </c>
      <c r="AN82" s="15">
        <f t="shared" si="358"/>
        <v>0.29685123663678314</v>
      </c>
      <c r="AO82" s="15">
        <f t="shared" si="358"/>
        <v>0.34306585336197964</v>
      </c>
      <c r="AP82" s="15">
        <f t="shared" ref="AP82:AU82" si="359">SUM(AP79/AP80)</f>
        <v>0.3155986226451189</v>
      </c>
      <c r="AQ82" s="15">
        <f t="shared" si="359"/>
        <v>0.32743188471680235</v>
      </c>
      <c r="AR82" s="15">
        <f t="shared" si="359"/>
        <v>0.33506976865989141</v>
      </c>
      <c r="AS82" s="15">
        <f t="shared" si="359"/>
        <v>0.33042351362519418</v>
      </c>
      <c r="AT82" s="15">
        <f t="shared" si="359"/>
        <v>0.35160305028594158</v>
      </c>
      <c r="AU82" s="15">
        <f t="shared" si="359"/>
        <v>0.34462078680323982</v>
      </c>
      <c r="AV82" s="15">
        <f>SUM(AV79/AV80)</f>
        <v>0.34660146192365893</v>
      </c>
      <c r="AW82" s="15">
        <f>SUM(AW79/AW80)</f>
        <v>0.35107284296526781</v>
      </c>
      <c r="AX82" s="24">
        <f>SUM(AX79/AX80)</f>
        <v>0.34115219821704118</v>
      </c>
      <c r="AY82" s="15">
        <f t="shared" ref="AY82:BG82" si="360">SUM(AY79/AY80)</f>
        <v>0.35557295259096672</v>
      </c>
      <c r="AZ82" s="15">
        <f t="shared" si="360"/>
        <v>0.34394005704458291</v>
      </c>
      <c r="BA82" s="15">
        <f t="shared" si="360"/>
        <v>0.37706336894638975</v>
      </c>
      <c r="BB82" s="15">
        <f t="shared" si="360"/>
        <v>0.35247046147511318</v>
      </c>
      <c r="BC82" s="15">
        <f t="shared" si="360"/>
        <v>0.37147707283857989</v>
      </c>
      <c r="BD82" s="15">
        <f t="shared" si="360"/>
        <v>0.37187574559957082</v>
      </c>
      <c r="BE82" s="15">
        <f t="shared" si="360"/>
        <v>0.36739232659820648</v>
      </c>
      <c r="BF82" s="15">
        <f t="shared" si="360"/>
        <v>0.407298089063445</v>
      </c>
      <c r="BG82" s="15">
        <f t="shared" si="360"/>
        <v>0.39964206384877449</v>
      </c>
      <c r="BH82" s="15">
        <f t="shared" ref="BH82:BM82" si="361">SUM(BH79/BH80)</f>
        <v>0.4108703532886574</v>
      </c>
      <c r="BI82" s="15">
        <f t="shared" si="361"/>
        <v>0.41496888214246985</v>
      </c>
      <c r="BJ82" s="24">
        <f t="shared" si="361"/>
        <v>0.40841390192075694</v>
      </c>
      <c r="BK82" s="15">
        <f t="shared" si="361"/>
        <v>0.43799011958197076</v>
      </c>
      <c r="BL82" s="15">
        <f t="shared" si="361"/>
        <v>0.44877032683947837</v>
      </c>
      <c r="BM82" s="15">
        <f t="shared" si="361"/>
        <v>0.53249665350647335</v>
      </c>
      <c r="BN82" s="15">
        <f t="shared" ref="BN82:BS82" si="362">SUM(BN79/BN80)</f>
        <v>0.52970435467422117</v>
      </c>
      <c r="BO82" s="15">
        <f t="shared" si="362"/>
        <v>0.54411264971898321</v>
      </c>
      <c r="BP82" s="15">
        <f t="shared" si="362"/>
        <v>0.54137223114237154</v>
      </c>
      <c r="BQ82" s="15">
        <f t="shared" si="362"/>
        <v>0.54506544592887718</v>
      </c>
      <c r="BR82" s="15">
        <f t="shared" si="362"/>
        <v>0.55314061997855202</v>
      </c>
      <c r="BS82" s="15">
        <f t="shared" si="362"/>
        <v>0.54685237371207385</v>
      </c>
      <c r="BT82" s="15">
        <f>SUM(BT79/BT80)</f>
        <v>0.55401160065360844</v>
      </c>
      <c r="BU82" s="15">
        <f>SUM(BU79/BU80)</f>
        <v>0.55775345535935061</v>
      </c>
      <c r="BV82" s="24">
        <f>SUM(BV79/BV80)</f>
        <v>0.56550201690543178</v>
      </c>
      <c r="BW82" s="15">
        <f t="shared" ref="BW82:CB82" si="363">SUM(BW79/BW80)</f>
        <v>0.57609448667620733</v>
      </c>
      <c r="BX82" s="15">
        <f t="shared" si="363"/>
        <v>0.57337092043176552</v>
      </c>
      <c r="BY82" s="15">
        <f t="shared" si="363"/>
        <v>0.57616355885376203</v>
      </c>
      <c r="BZ82" s="15">
        <f t="shared" si="363"/>
        <v>0.57705009744986935</v>
      </c>
      <c r="CA82" s="15">
        <f t="shared" si="363"/>
        <v>0.57737536008182011</v>
      </c>
      <c r="CB82" s="15">
        <f t="shared" si="363"/>
        <v>0.58030913348340352</v>
      </c>
      <c r="CC82" s="15">
        <f>SUM(CC79/CC80)</f>
        <v>0.58401722408239154</v>
      </c>
      <c r="CD82" s="15">
        <f>SUM(CD79/CD80)</f>
        <v>0.58553723961450355</v>
      </c>
      <c r="CE82" s="15">
        <f>SUM(CE79/CE80)</f>
        <v>0.5904306339426233</v>
      </c>
      <c r="CF82" s="15">
        <f t="shared" ref="CF82:CQ82" si="364">SUM(CF79/CF80)</f>
        <v>0.59717233177866902</v>
      </c>
      <c r="CG82" s="15">
        <f t="shared" si="364"/>
        <v>0.60118405590540791</v>
      </c>
      <c r="CH82" s="15">
        <f t="shared" si="364"/>
        <v>0.60413239805900887</v>
      </c>
      <c r="CI82" s="79">
        <f t="shared" si="364"/>
        <v>0.60880232406108536</v>
      </c>
      <c r="CJ82" s="15">
        <f t="shared" si="364"/>
        <v>0.60691288218659478</v>
      </c>
      <c r="CK82" s="15">
        <f t="shared" si="364"/>
        <v>0.6168181728567953</v>
      </c>
      <c r="CL82" s="15">
        <f t="shared" si="364"/>
        <v>0.62041565964058243</v>
      </c>
      <c r="CM82" s="15">
        <f t="shared" si="364"/>
        <v>0.62001768203451624</v>
      </c>
      <c r="CN82" s="15">
        <f t="shared" si="364"/>
        <v>0.62290195168124196</v>
      </c>
      <c r="CO82" s="15">
        <f t="shared" si="364"/>
        <v>0.59523934842402149</v>
      </c>
      <c r="CP82" s="15">
        <f t="shared" si="364"/>
        <v>0.59351182045814188</v>
      </c>
      <c r="CQ82" s="15">
        <f t="shared" si="364"/>
        <v>0.60405986911249743</v>
      </c>
      <c r="CR82" s="15">
        <f t="shared" ref="CR82:EA82" si="365">SUM(CR79/CR80)</f>
        <v>0.60725421339118513</v>
      </c>
      <c r="CS82" s="15">
        <f t="shared" si="365"/>
        <v>0.61024262606625046</v>
      </c>
      <c r="CT82" s="24">
        <f t="shared" si="365"/>
        <v>0.61596273649060751</v>
      </c>
      <c r="CU82" s="15">
        <f t="shared" si="365"/>
        <v>0.60482410235974815</v>
      </c>
      <c r="CV82" s="15">
        <f t="shared" si="365"/>
        <v>0.61705406409269659</v>
      </c>
      <c r="CW82" s="15">
        <f t="shared" si="365"/>
        <v>0.61877737360440577</v>
      </c>
      <c r="CX82" s="15">
        <f t="shared" si="365"/>
        <v>0.61918195426712719</v>
      </c>
      <c r="CY82" s="15">
        <f t="shared" si="365"/>
        <v>0.61858051857079821</v>
      </c>
      <c r="CZ82" s="15">
        <f t="shared" si="365"/>
        <v>0.6191854622362658</v>
      </c>
      <c r="DA82" s="15">
        <f t="shared" si="365"/>
        <v>0.61882351476926833</v>
      </c>
      <c r="DB82" s="15">
        <f t="shared" si="365"/>
        <v>0.62639469370233036</v>
      </c>
      <c r="DC82" s="15">
        <f t="shared" si="365"/>
        <v>0.62838916262298872</v>
      </c>
      <c r="DD82" s="15">
        <f t="shared" si="365"/>
        <v>0.62986971796596103</v>
      </c>
      <c r="DE82" s="15">
        <f t="shared" si="365"/>
        <v>0.63722485669191098</v>
      </c>
      <c r="DF82" s="24">
        <f t="shared" si="365"/>
        <v>0.6466600381208083</v>
      </c>
      <c r="DG82" s="15">
        <f t="shared" si="365"/>
        <v>0.63256170035924997</v>
      </c>
      <c r="DH82" s="15">
        <f t="shared" si="365"/>
        <v>0.5392023883959175</v>
      </c>
      <c r="DI82" s="15">
        <f t="shared" si="365"/>
        <v>0.56360477453550983</v>
      </c>
      <c r="DJ82" s="15">
        <f t="shared" si="365"/>
        <v>0.55732763134345709</v>
      </c>
      <c r="DK82" s="15">
        <f t="shared" si="365"/>
        <v>0.56080404808108675</v>
      </c>
      <c r="DL82" s="15">
        <f t="shared" si="365"/>
        <v>0.56999870908306438</v>
      </c>
      <c r="DM82" s="15">
        <f t="shared" si="365"/>
        <v>0.5977406951826858</v>
      </c>
      <c r="DN82" s="15">
        <f t="shared" si="365"/>
        <v>0.60532855180925738</v>
      </c>
      <c r="DO82" s="15">
        <f t="shared" si="365"/>
        <v>0.60631787520840574</v>
      </c>
      <c r="DP82" s="15">
        <f t="shared" si="365"/>
        <v>0.60705376838751324</v>
      </c>
      <c r="DQ82" s="15">
        <f t="shared" si="365"/>
        <v>0.61281198014490368</v>
      </c>
      <c r="DR82" s="15">
        <f t="shared" si="365"/>
        <v>0.60839517155760714</v>
      </c>
      <c r="DS82" s="15">
        <f t="shared" si="365"/>
        <v>0.61494566300400488</v>
      </c>
      <c r="DT82" s="15">
        <f t="shared" si="365"/>
        <v>0.61713639581348156</v>
      </c>
      <c r="DU82" s="15">
        <f t="shared" si="365"/>
        <v>0.621272822843559</v>
      </c>
      <c r="DV82" s="15">
        <f t="shared" si="365"/>
        <v>0.62799935351204372</v>
      </c>
      <c r="DW82" s="15">
        <f t="shared" si="365"/>
        <v>0.62771706729539301</v>
      </c>
      <c r="DX82" s="15">
        <f t="shared" si="365"/>
        <v>0.62772537453515875</v>
      </c>
      <c r="DY82" s="15">
        <f t="shared" si="365"/>
        <v>0.63874284569112183</v>
      </c>
      <c r="DZ82" s="15">
        <f t="shared" si="365"/>
        <v>0.64219017636459552</v>
      </c>
      <c r="EA82" s="15">
        <f t="shared" si="365"/>
        <v>0.64257865168036021</v>
      </c>
      <c r="EB82" s="15">
        <f t="shared" ref="EB82:FH82" si="366">SUM(EB79/EB80)</f>
        <v>0.64415648207340082</v>
      </c>
      <c r="EC82" s="15">
        <f t="shared" si="366"/>
        <v>0.64542646227128497</v>
      </c>
      <c r="ED82" s="15">
        <f t="shared" si="366"/>
        <v>0.64868475390444147</v>
      </c>
      <c r="EE82" s="15">
        <f t="shared" si="366"/>
        <v>0.64882377551708259</v>
      </c>
      <c r="EF82" s="15">
        <f t="shared" si="366"/>
        <v>0.64013212529048058</v>
      </c>
      <c r="EG82" s="15">
        <f t="shared" si="366"/>
        <v>0.6408909707711089</v>
      </c>
      <c r="EH82" s="15">
        <f t="shared" si="366"/>
        <v>0.64223791883447279</v>
      </c>
      <c r="EI82" s="15">
        <f t="shared" si="366"/>
        <v>0.64046989951683753</v>
      </c>
      <c r="EJ82" s="15">
        <f t="shared" si="366"/>
        <v>0.6408873469254508</v>
      </c>
      <c r="EK82" s="15">
        <f t="shared" si="366"/>
        <v>0.63868390317757218</v>
      </c>
      <c r="EL82" s="15">
        <f t="shared" si="366"/>
        <v>0.64858687959445449</v>
      </c>
      <c r="EM82" s="15">
        <f t="shared" si="366"/>
        <v>0.65421302620822841</v>
      </c>
      <c r="EN82" s="15">
        <f t="shared" si="366"/>
        <v>0.65124524129458983</v>
      </c>
      <c r="EO82" s="15">
        <f t="shared" si="366"/>
        <v>0.64855412644477395</v>
      </c>
      <c r="EP82" s="15">
        <f t="shared" si="366"/>
        <v>0.65049187275145981</v>
      </c>
      <c r="EQ82" s="15">
        <f t="shared" si="366"/>
        <v>0.64473368301954948</v>
      </c>
      <c r="ER82" s="15">
        <f t="shared" si="366"/>
        <v>0.64710475233299192</v>
      </c>
      <c r="ES82" s="15">
        <f t="shared" si="366"/>
        <v>0.6457834317525909</v>
      </c>
      <c r="ET82" s="15">
        <f t="shared" si="366"/>
        <v>0.65178976518392973</v>
      </c>
      <c r="EU82" s="15">
        <f t="shared" si="366"/>
        <v>0.65156451677937788</v>
      </c>
      <c r="EV82" s="15">
        <f t="shared" si="366"/>
        <v>0.64994942706728798</v>
      </c>
      <c r="EW82" s="15">
        <f t="shared" si="366"/>
        <v>0.65021733757914746</v>
      </c>
      <c r="EX82" s="15">
        <f t="shared" si="366"/>
        <v>0.65153150560072914</v>
      </c>
      <c r="EY82" s="15">
        <f t="shared" si="366"/>
        <v>0.65145736375889718</v>
      </c>
      <c r="EZ82" s="15">
        <f t="shared" si="366"/>
        <v>0.65552644008592709</v>
      </c>
      <c r="FA82" s="15">
        <f t="shared" si="366"/>
        <v>0.65721305570192523</v>
      </c>
      <c r="FB82" s="15">
        <f t="shared" si="366"/>
        <v>0.64729519293220961</v>
      </c>
      <c r="FC82" s="15">
        <f t="shared" si="366"/>
        <v>0.65543393974975583</v>
      </c>
      <c r="FD82" s="15">
        <f t="shared" si="366"/>
        <v>0.65452818845397354</v>
      </c>
      <c r="FE82" s="15">
        <f t="shared" si="366"/>
        <v>0.65390312717646271</v>
      </c>
      <c r="FF82" s="15">
        <f t="shared" si="366"/>
        <v>0.65572956710699237</v>
      </c>
      <c r="FG82" s="15">
        <f t="shared" si="366"/>
        <v>0.65671604250346327</v>
      </c>
      <c r="FH82" s="15">
        <f t="shared" si="366"/>
        <v>0.65849722315727255</v>
      </c>
      <c r="FI82" s="15">
        <f t="shared" ref="FI82:FT82" si="367">SUM(FI79/FI80)</f>
        <v>0.68392391623949023</v>
      </c>
      <c r="FJ82" s="15">
        <f t="shared" si="367"/>
        <v>0.69628328452059507</v>
      </c>
      <c r="FK82" s="15">
        <f t="shared" si="367"/>
        <v>0.63403677539693881</v>
      </c>
      <c r="FL82" s="15">
        <f t="shared" si="367"/>
        <v>0.63296404170534315</v>
      </c>
      <c r="FM82" s="15">
        <f t="shared" si="367"/>
        <v>0.67963783875410178</v>
      </c>
      <c r="FN82" s="15">
        <f t="shared" si="367"/>
        <v>0.68498004892171493</v>
      </c>
      <c r="FO82" s="15">
        <f t="shared" si="367"/>
        <v>0.68638709960768307</v>
      </c>
      <c r="FP82" s="15">
        <f t="shared" si="367"/>
        <v>0.68696666601191447</v>
      </c>
      <c r="FQ82" s="15">
        <f t="shared" si="367"/>
        <v>0.6897444195008241</v>
      </c>
      <c r="FR82" s="15">
        <f t="shared" si="367"/>
        <v>0.69224799911861579</v>
      </c>
      <c r="FS82" s="15">
        <f t="shared" si="367"/>
        <v>0.69385432549289172</v>
      </c>
      <c r="FT82" s="15">
        <f t="shared" si="367"/>
        <v>0.69306475854792793</v>
      </c>
    </row>
    <row r="83" spans="2:176" x14ac:dyDescent="0.25">
      <c r="B83" s="298"/>
      <c r="C83" s="74"/>
      <c r="D83" s="18"/>
      <c r="E83" s="18"/>
      <c r="F83" s="18"/>
      <c r="G83" s="18"/>
      <c r="H83" s="19"/>
      <c r="I83" s="18"/>
      <c r="J83" s="18"/>
      <c r="K83" s="18"/>
      <c r="L83" s="18"/>
      <c r="M83" s="18"/>
      <c r="N83" s="18"/>
      <c r="O83" s="138"/>
      <c r="P83" s="18"/>
      <c r="Q83" s="18"/>
      <c r="U83" s="18"/>
      <c r="V83" s="18"/>
      <c r="W83" s="18"/>
      <c r="X83" s="18"/>
      <c r="Y83" s="18"/>
      <c r="Z83" s="146"/>
      <c r="AA83" s="13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46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20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20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20"/>
      <c r="BW83" s="18"/>
      <c r="BX83" s="18"/>
      <c r="BY83" s="18"/>
      <c r="BZ83" s="18"/>
      <c r="CA83" s="18"/>
      <c r="CB83" s="18"/>
      <c r="CC83" s="69"/>
      <c r="CD83" s="69"/>
      <c r="CE83" s="69"/>
      <c r="CF83" s="69"/>
      <c r="CG83" s="69"/>
      <c r="CH83" s="69"/>
      <c r="CI83" s="88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8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G83" s="69"/>
      <c r="DH83" s="69"/>
      <c r="DI83" s="69"/>
      <c r="DJ83" s="69"/>
    </row>
    <row r="84" spans="2:176" x14ac:dyDescent="0.25">
      <c r="B84" s="114" t="s">
        <v>56</v>
      </c>
      <c r="C84" s="74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18"/>
      <c r="O84" s="138"/>
      <c r="P84" s="18"/>
      <c r="Q84" s="18"/>
      <c r="U84" s="18"/>
      <c r="V84" s="18"/>
      <c r="W84" s="18"/>
      <c r="X84" s="18"/>
      <c r="Y84" s="18"/>
      <c r="Z84" s="146"/>
      <c r="AA84" s="13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46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20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20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20"/>
      <c r="BW84" s="18"/>
      <c r="BX84" s="18"/>
      <c r="BY84" s="18"/>
      <c r="BZ84" s="18"/>
      <c r="CA84" s="18"/>
      <c r="CB84" s="18"/>
      <c r="CC84" s="69"/>
      <c r="CD84" s="69"/>
      <c r="CE84" s="69"/>
      <c r="CF84" s="69"/>
      <c r="CG84" s="69"/>
      <c r="CH84" s="69"/>
      <c r="CI84" s="88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G84" s="69"/>
      <c r="DH84" s="69"/>
      <c r="DI84" s="69"/>
      <c r="DJ84" s="69"/>
    </row>
    <row r="85" spans="2:176" s="68" customFormat="1" x14ac:dyDescent="0.25">
      <c r="B85" s="87" t="s">
        <v>1</v>
      </c>
      <c r="C85" s="88">
        <f>SUM(Oncor!C85,Centerpoint!C85,'AEP Central'!C85,TNMP!C85,'AEP North'!C85)</f>
        <v>9169824.7623999994</v>
      </c>
      <c r="D85" s="69">
        <f>SUM(Oncor!D85,Centerpoint!D85,'AEP Central'!D85,TNMP!D85,'AEP North'!D85)</f>
        <v>9153578.1784000006</v>
      </c>
      <c r="E85" s="69">
        <f>SUM(Oncor!E85,Centerpoint!E85,'AEP Central'!E85,TNMP!E85,'AEP North'!E85)</f>
        <v>10561647.13043</v>
      </c>
      <c r="F85" s="69">
        <f>SUM(Oncor!F85,Centerpoint!F85,'AEP Central'!F85,TNMP!F85,'AEP North'!F85)</f>
        <v>10695782.01189</v>
      </c>
      <c r="G85" s="69">
        <f>SUM(Oncor!G85,Centerpoint!G85,'AEP Central'!G85,TNMP!G85,'AEP North'!G85)</f>
        <v>12063278.394089999</v>
      </c>
      <c r="H85" s="69">
        <f>SUM(Oncor!H85,Centerpoint!H85,'AEP Central'!H85,TNMP!H85,'AEP North'!H85)</f>
        <v>13517037.929180002</v>
      </c>
      <c r="I85" s="69">
        <f>SUM(Oncor!I85,Centerpoint!I85,'AEP Central'!I85,TNMP!I85,'AEP North'!I85)</f>
        <v>16028805.152889999</v>
      </c>
      <c r="J85" s="69">
        <f>SUM(Oncor!J85,Centerpoint!J85,'AEP Central'!J85,TNMP!J85,'AEP North'!J85)</f>
        <v>14965454.835999999</v>
      </c>
      <c r="K85" s="69">
        <f>SUM(Oncor!K85,Centerpoint!K85,'AEP Central'!K85,TNMP!K85,'AEP North'!K85)</f>
        <v>17690060.697000001</v>
      </c>
      <c r="L85" s="69">
        <f t="shared" ref="L85:N86" si="368">SUM(L51,L61,L71,L78)</f>
        <v>13143331.835999999</v>
      </c>
      <c r="M85" s="69">
        <f t="shared" si="368"/>
        <v>10292354.808000002</v>
      </c>
      <c r="N85" s="69">
        <f t="shared" si="368"/>
        <v>10408330.215999998</v>
      </c>
      <c r="O85" s="143">
        <f>SUM(Oncor!O85,Centerpoint!O85,'AEP Central'!O85,TNMP!O85,'AEP North'!O85)</f>
        <v>11531263</v>
      </c>
      <c r="P85" s="69">
        <f>SUM(Oncor!P85,Centerpoint!P85,'AEP Central'!P85,TNMP!P85,'AEP North'!P85)</f>
        <v>11128649</v>
      </c>
      <c r="Q85" s="69">
        <f>SUM(Oncor!Q85,Centerpoint!Q85,'AEP Central'!Q85,TNMP!Q85,'AEP North'!Q85)</f>
        <v>9901080</v>
      </c>
      <c r="R85" s="69">
        <f>SUM(Oncor!R85,Centerpoint!R85,'AEP Central'!R85,TNMP!R85,'AEP North'!R85)</f>
        <v>9064977.852</v>
      </c>
      <c r="S85" s="69">
        <f>SUM(Oncor!S85,Centerpoint!S85,'AEP Central'!S85,TNMP!S85,'AEP North'!S85)</f>
        <v>10594882.695000002</v>
      </c>
      <c r="T85" s="69">
        <f>SUM(Oncor!T85,Centerpoint!T85,'AEP Central'!T85,TNMP!T85,'AEP North'!T85)</f>
        <v>12712874.435999999</v>
      </c>
      <c r="U85" s="69">
        <f>SUM(Oncor!U85,Centerpoint!U85,'AEP Central'!U85,TNMP!U85,'AEP North'!U85)</f>
        <v>13839478.525</v>
      </c>
      <c r="V85" s="69">
        <f>SUM(Oncor!V85,Centerpoint!V85,'AEP Central'!V85,TNMP!V85,'AEP North'!V85)</f>
        <v>14633313.514000002</v>
      </c>
      <c r="W85" s="69">
        <f>SUM(Oncor!W85,Centerpoint!W85,'AEP Central'!W85,TNMP!W85,'AEP North'!W85)</f>
        <v>13597471.741</v>
      </c>
      <c r="X85" s="132">
        <f>SUM(Oncor!X85,Centerpoint!X85,'AEP Central'!X85,TNMP!X85,'AEP North'!X85)</f>
        <v>10937645.57</v>
      </c>
      <c r="Y85" s="69">
        <f>SUM(Oncor!Y85,Centerpoint!Y85,'AEP Central'!Y85,TNMP!Y85,'AEP North'!Y85)</f>
        <v>9231428.8499999996</v>
      </c>
      <c r="Z85" s="157">
        <f>SUM(Oncor!Z85,Centerpoint!Z85,'AEP Central'!Z85,TNMP!Z85,'AEP North'!Z85)</f>
        <v>9088002.2199999988</v>
      </c>
      <c r="AA85" s="143">
        <f>SUM(Oncor!AA85,Centerpoint!AA85,'AEP Central'!AA85,TNMP!AA85,'AEP North'!AA85)</f>
        <v>9825092.3300000001</v>
      </c>
      <c r="AB85" s="69">
        <f>SUM(Oncor!AB85,Centerpoint!AB85,'AEP Central'!AB85,TNMP!AB85,'AEP North'!AB85)</f>
        <v>9439260.7300000004</v>
      </c>
      <c r="AC85" s="69">
        <f>SUM(Oncor!AC85,Centerpoint!AC85,'AEP Central'!AC85,TNMP!AC85,'AEP North'!AC85)</f>
        <v>8780204.7699999996</v>
      </c>
      <c r="AD85" s="69">
        <f>SUM(Oncor!AD85,Centerpoint!AD85,'AEP Central'!AD85,TNMP!AD85,'AEP North'!AD85)</f>
        <v>8383976.7500000009</v>
      </c>
      <c r="AE85" s="69">
        <f>SUM(Oncor!AE85,Centerpoint!AE85,'AEP Central'!AE85,TNMP!AE85,'AEP North'!AE85)</f>
        <v>8775793.9199999999</v>
      </c>
      <c r="AF85" s="132">
        <f>SUM(Oncor!AF85,Centerpoint!AF85,'AEP Central'!AF85,TNMP!AF85,'AEP North'!AF85)</f>
        <v>10929247.469999999</v>
      </c>
      <c r="AG85" s="132">
        <f>SUM(Oncor!AG85,Centerpoint!AG85,'AEP Central'!AG85,TNMP!AG85,'AEP North'!AG85)</f>
        <v>11810712.98</v>
      </c>
      <c r="AH85" s="132">
        <f>SUM(Oncor!AH85,Centerpoint!AH85,'AEP Central'!AH85,TNMP!AH85,'AEP North'!AH85)</f>
        <v>12124729.9</v>
      </c>
      <c r="AI85" s="132">
        <f>SUM(Oncor!AI85,Centerpoint!AI85,'AEP Central'!AI85,TNMP!AI85,'AEP North'!AI85)</f>
        <v>11368509.539999999</v>
      </c>
      <c r="AJ85" s="132">
        <f>SUM(Oncor!AJ85,Centerpoint!AJ85,'AEP Central'!AJ85,TNMP!AJ85,'AEP North'!AJ85)</f>
        <v>9997503.7449999992</v>
      </c>
      <c r="AK85" s="132">
        <f>SUM(Oncor!AK85,Centerpoint!AK85,'AEP Central'!AK85,TNMP!AK85,'AEP North'!AK85)</f>
        <v>8397639.6220000014</v>
      </c>
      <c r="AL85" s="160">
        <f>SUM(Oncor!AL85,Centerpoint!AL85,'AEP Central'!AL85,TNMP!AL85,'AEP North'!AL85)</f>
        <v>7878616.6729999995</v>
      </c>
      <c r="AM85" s="132">
        <f>SUM(Oncor!AM85,Centerpoint!AM85,'AEP Central'!AM85,TNMP!AM85,'AEP North'!AM85)</f>
        <v>8853439.1099999994</v>
      </c>
      <c r="AN85" s="132">
        <f>SUM(Oncor!AN85,Centerpoint!AN85,'AEP Central'!AN85,TNMP!AN85,'AEP North'!AN85)</f>
        <v>7924283.5</v>
      </c>
      <c r="AO85" s="132">
        <f>SUM(Oncor!AO85,Centerpoint!AO85,'AEP Central'!AO85,TNMP!AO85,'AEP North'!AO85)</f>
        <v>7188567.2199999997</v>
      </c>
      <c r="AP85" s="132">
        <f>SUM(Oncor!AP85,Centerpoint!AP85,'AEP Central'!AP85,TNMP!AP85,'AEP North'!AP85)</f>
        <v>6987864.9400000004</v>
      </c>
      <c r="AQ85" s="132">
        <f>SUM(Oncor!AQ85,Centerpoint!AQ85,'AEP Central'!AQ85,TNMP!AQ85,'AEP North'!AQ85)</f>
        <v>7162928.3399999999</v>
      </c>
      <c r="AR85" s="132">
        <f>SUM(Oncor!AR85,Centerpoint!AR85,'AEP Central'!AR85,TNMP!AR85,'AEP North'!AR85)</f>
        <v>9421770.8300000019</v>
      </c>
      <c r="AS85" s="132">
        <f>SUM(Oncor!AS85,Centerpoint!AS85,'AEP Central'!AS85,TNMP!AS85,'AEP North'!AS85)</f>
        <v>11004806.800000001</v>
      </c>
      <c r="AT85" s="132">
        <f>SUM(Oncor!AT85,Centerpoint!AT85,'AEP Central'!AT85,TNMP!AT85,'AEP North'!AT85)</f>
        <v>10605769.43</v>
      </c>
      <c r="AU85" s="132">
        <f>SUM(Oncor!AU85,Centerpoint!AU85,'AEP Central'!AU85,TNMP!AU85,'AEP North'!AU85)</f>
        <v>10856106.23</v>
      </c>
      <c r="AV85" s="132">
        <f>SUM(Oncor!AV85,Centerpoint!AV85,'AEP Central'!AV85,TNMP!AV85,'AEP North'!AV85)</f>
        <v>9209917.9900000002</v>
      </c>
      <c r="AW85" s="132">
        <f>SUM(Oncor!AW85,Centerpoint!AW85,'AEP Central'!AW85,TNMP!AW85,'AEP North'!AW85)</f>
        <v>6801365.8200000003</v>
      </c>
      <c r="AX85" s="124">
        <f>SUM(Oncor!AX85,Centerpoint!AX85,'AEP Central'!AX85,TNMP!AX85,'AEP North'!AX85)</f>
        <v>7012905.7700000005</v>
      </c>
      <c r="AY85" s="132">
        <f>SUM(Oncor!AY85,Centerpoint!AY85,'AEP Central'!AY85,TNMP!AY85,'AEP North'!AY85)</f>
        <v>7233760.46</v>
      </c>
      <c r="AZ85" s="132">
        <f>SUM(Oncor!AZ85,Centerpoint!AZ85,'AEP Central'!AZ85,TNMP!AZ85,'AEP North'!AZ85)</f>
        <v>6433436.4900000002</v>
      </c>
      <c r="BA85" s="132">
        <f>SUM(Oncor!BA85,Centerpoint!BA85,'AEP Central'!BA85,TNMP!BA85,'AEP North'!BA85)</f>
        <v>6559692.8000000007</v>
      </c>
      <c r="BB85" s="132">
        <f>SUM(Oncor!BB85,Centerpoint!BB85,'AEP Central'!BB85,TNMP!BB85,'AEP North'!BB85)</f>
        <v>6595781.8300000001</v>
      </c>
      <c r="BC85" s="132">
        <f>SUM(Oncor!BC85,Centerpoint!BC85,'AEP Central'!BC85,TNMP!BC85,'AEP North'!BC85)</f>
        <v>7292227.25</v>
      </c>
      <c r="BD85" s="132">
        <f>SUM(Oncor!BD85,Centerpoint!BD85,'AEP Central'!BD85,TNMP!BD85,'AEP North'!BD85)</f>
        <v>8835973.0199999977</v>
      </c>
      <c r="BE85" s="132">
        <f>SUM(Oncor!BE85,Centerpoint!BE85,'AEP Central'!BE85,TNMP!BE85,'AEP North'!BE85)</f>
        <v>9572711.3500000015</v>
      </c>
      <c r="BF85" s="132">
        <f>SUM(Oncor!BF85,Centerpoint!BF85,'AEP Central'!BF85,TNMP!BF85,'AEP North'!BF85)</f>
        <v>10238226.149999999</v>
      </c>
      <c r="BG85" s="132">
        <f>SUM(Oncor!BG85,Centerpoint!BG85,'AEP Central'!BG85,TNMP!BG85,'AEP North'!BG85)</f>
        <v>9826965.0599999987</v>
      </c>
      <c r="BH85" s="132">
        <f>SUM(Oncor!BH85,Centerpoint!BH85,'AEP Central'!BH85,TNMP!BH85,'AEP North'!BH85)</f>
        <v>7730372.3200000003</v>
      </c>
      <c r="BI85" s="132">
        <f>SUM(Oncor!BI85,Centerpoint!BI85,'AEP Central'!BI85,TNMP!BI85,'AEP North'!BI85)</f>
        <v>6156742.5000000009</v>
      </c>
      <c r="BJ85" s="124">
        <f>SUM(Oncor!BJ85,Centerpoint!BJ85,'AEP Central'!BJ85,TNMP!BJ85,'AEP North'!BJ85)</f>
        <v>6264091.5099999998</v>
      </c>
      <c r="BK85" s="132">
        <f>SUM(Oncor!BK85,Centerpoint!BK85,'AEP Central'!BK85,TNMP!BK85,'AEP North'!BK85)</f>
        <v>7003183.0199999996</v>
      </c>
      <c r="BL85" s="132">
        <f>SUM(Oncor!BL85,Centerpoint!BL85,'AEP Central'!BL85,TNMP!BL85,'AEP North'!BL85)</f>
        <v>7100979.6600000001</v>
      </c>
      <c r="BM85" s="132">
        <f>SUM(Oncor!BM85,Centerpoint!BM85,'AEP Central'!BM85,TNMP!BM85,'AEP North'!BM85)</f>
        <v>6018599.7599999998</v>
      </c>
      <c r="BN85" s="132">
        <f>SUM(Oncor!BN85,Centerpoint!BN85,'AEP Central'!BN85,TNMP!BN85,'AEP North'!BN85)</f>
        <v>5733980.3509999998</v>
      </c>
      <c r="BO85" s="132">
        <f>SUM(Oncor!BO85,Centerpoint!BO85,'AEP Central'!BO85,TNMP!BO85,'AEP North'!BO85)</f>
        <v>5970757.6310000001</v>
      </c>
      <c r="BP85" s="132">
        <f>SUM(Oncor!BP85,Centerpoint!BP85,'AEP Central'!BP85,TNMP!BP85,'AEP North'!BP85)</f>
        <v>7203756.9440000001</v>
      </c>
      <c r="BQ85" s="132">
        <f>SUM(Oncor!BQ85,Centerpoint!BQ85,'AEP Central'!BQ85,TNMP!BQ85,'AEP North'!BQ85)</f>
        <v>8140594.3499999996</v>
      </c>
      <c r="BR85" s="132">
        <f>SUM(Oncor!BR85,Centerpoint!BR85,'AEP Central'!BR85,TNMP!BR85,'AEP North'!BR85)</f>
        <v>8442679.6799999997</v>
      </c>
      <c r="BS85" s="132">
        <f>SUM(Oncor!BS85,Centerpoint!BS85,'AEP Central'!BS85,TNMP!BS85,'AEP North'!BS85)</f>
        <v>8869873.4199999981</v>
      </c>
      <c r="BT85" s="132">
        <f>SUM(Oncor!BT85,Centerpoint!BT85,'AEP Central'!BT85,TNMP!BT85,'AEP North'!BT85)</f>
        <v>7867771.959999999</v>
      </c>
      <c r="BU85" s="132">
        <f>SUM(Oncor!BU85,Centerpoint!BU85,'AEP Central'!BU85,TNMP!BU85,'AEP North'!BU85)</f>
        <v>6170536.3999999985</v>
      </c>
      <c r="BV85" s="124">
        <f>SUM(Oncor!BV85,Centerpoint!BV85,'AEP Central'!BV85,TNMP!BV85,'AEP North'!BV85)</f>
        <v>6244772.3399999989</v>
      </c>
      <c r="BW85" s="132">
        <f>SUM(Oncor!BW85,Centerpoint!BW85,'AEP Central'!BW85,TNMP!BW85,'AEP North'!BW85)</f>
        <v>6865059.4800000004</v>
      </c>
      <c r="BX85" s="132">
        <f>SUM(Oncor!BX85,Centerpoint!BX85,'AEP Central'!BX85,TNMP!BX85,'AEP North'!BX85)</f>
        <v>6464964.1899999995</v>
      </c>
      <c r="BY85" s="132">
        <f>SUM(Oncor!BY85,Centerpoint!BY85,'AEP Central'!BY85,TNMP!BY85,'AEP North'!BY85)</f>
        <v>5813231.4699999997</v>
      </c>
      <c r="BZ85" s="132">
        <f>SUM(Oncor!BZ85,Centerpoint!BZ85,'AEP Central'!BZ85,TNMP!BZ85,'AEP North'!BZ85)</f>
        <v>5640708.3999999994</v>
      </c>
      <c r="CA85" s="132">
        <f>SUM(Oncor!CA85,Centerpoint!CA85,'AEP Central'!CA85,TNMP!CA85,'AEP North'!CA85)</f>
        <v>5741647.6699999999</v>
      </c>
      <c r="CB85" s="132">
        <f>SUM(Oncor!CB85,Centerpoint!CB85,'AEP Central'!CB85,TNMP!CB85,'AEP North'!CB85)</f>
        <v>8044744.9670000011</v>
      </c>
      <c r="CC85" s="69">
        <f>SUM(Oncor!CC85,Centerpoint!CC85,'AEP Central'!CC85,TNMP!CC85,'AEP North'!CC85)</f>
        <v>8572907.2139999997</v>
      </c>
      <c r="CD85" s="69">
        <f>SUM(Oncor!CD85,Centerpoint!CD85,'AEP Central'!CD85,TNMP!CD85,'AEP North'!CD85)</f>
        <v>8772151.7630000003</v>
      </c>
      <c r="CE85" s="69">
        <f>SUM(Oncor!CE85,Centerpoint!CE85,'AEP Central'!CE85,TNMP!CE85,'AEP North'!CE85)</f>
        <v>8095036.2919999994</v>
      </c>
      <c r="CF85" s="69">
        <f>SUM(Oncor!CF85,Centerpoint!CF85,'AEP Central'!CF85,TNMP!CF85,'AEP North'!CF85)</f>
        <v>5454443.919999999</v>
      </c>
      <c r="CG85" s="69">
        <f>SUM(Oncor!CG85,Centerpoint!CG85,'AEP Central'!CG85,TNMP!CG85,'AEP North'!CG85)</f>
        <v>5749660.6100000003</v>
      </c>
      <c r="CH85" s="69">
        <f>SUM(Oncor!CH85,Centerpoint!CH85,'AEP Central'!CH85,TNMP!CH85,'AEP North'!CH85)</f>
        <v>5539687.9100000001</v>
      </c>
      <c r="CI85" s="88">
        <f>SUM(Oncor!CI85,Centerpoint!CI85,'AEP Central'!CI85,TNMP!CI85,'AEP North'!CI85)</f>
        <v>6417161.9100000001</v>
      </c>
      <c r="CJ85" s="69">
        <f>SUM(Oncor!CJ85,Centerpoint!CJ85,'AEP Central'!CJ85,TNMP!CJ85,'AEP North'!CJ85)</f>
        <v>5544699.2199999997</v>
      </c>
      <c r="CK85" s="69">
        <f>SUM(Oncor!CK85,Centerpoint!CK85,'AEP Central'!CK85,TNMP!CK85,'AEP North'!CK85)</f>
        <v>4988015.7399999993</v>
      </c>
      <c r="CL85" s="69">
        <f>SUM(Oncor!CL85,Centerpoint!CL85,'AEP Central'!CL85,TNMP!CL85,'AEP North'!CL85)</f>
        <v>5039119.46</v>
      </c>
      <c r="CM85" s="69">
        <f>SUM(Oncor!CM85,Centerpoint!CM85,'AEP Central'!CM85,TNMP!CM85,'AEP North'!CM85)</f>
        <v>5343176.12</v>
      </c>
      <c r="CN85" s="69">
        <f>SUM(Oncor!CN85,Centerpoint!CN85,'AEP Central'!CN85,TNMP!CN85,'AEP North'!CN85)</f>
        <v>6605000.0200000005</v>
      </c>
      <c r="CO85" s="69">
        <f>SUM(Oncor!CO85,Centerpoint!CO85,'AEP Central'!CO85,TNMP!CO85,'AEP North'!CO85)</f>
        <v>8243724.3799999999</v>
      </c>
      <c r="CP85" s="69">
        <f>SUM(Oncor!CP85,Centerpoint!CP85,'AEP Central'!CP85,TNMP!CP85,'AEP North'!CP85)</f>
        <v>8118315.0700000003</v>
      </c>
      <c r="CQ85" s="69">
        <f>SUM(Oncor!CQ85,Centerpoint!CQ85,'AEP Central'!CQ85,TNMP!CQ85,'AEP North'!CQ85)</f>
        <v>7541618.1299999999</v>
      </c>
      <c r="CR85" s="69">
        <f>SUM(Oncor!CR85,Centerpoint!CR85,'AEP Central'!CR85,TNMP!CR85,'AEP North'!CR85)</f>
        <v>5768464.4100000001</v>
      </c>
      <c r="CS85" s="69">
        <f>SUM(Oncor!CS85,Centerpoint!CS85,'AEP Central'!CS85,TNMP!CS85,'AEP North'!CS85)</f>
        <v>4765942.53</v>
      </c>
      <c r="CT85" s="89">
        <f>SUM(Oncor!CT85,Centerpoint!CT85,'AEP Central'!CT85,TNMP!CT85,'AEP North'!CT85)</f>
        <v>5179371.1700000009</v>
      </c>
      <c r="CU85" s="69">
        <f>SUM(Oncor!CU85,Centerpoint!CU85,'AEP Central'!CU85,TNMP!CU85,'AEP North'!CU85)</f>
        <v>6469781.0880000005</v>
      </c>
      <c r="CV85" s="69">
        <f>SUM(Oncor!CV85,Centerpoint!CV85,'AEP Central'!CV85,TNMP!CV85,'AEP North'!CV85)</f>
        <v>5555763.8669999996</v>
      </c>
      <c r="CW85" s="69">
        <f>SUM(Oncor!CW85,Centerpoint!CW85,'AEP Central'!CW85,TNMP!CW85,'AEP North'!CW85)</f>
        <v>5187644.1579999998</v>
      </c>
      <c r="CX85" s="69">
        <f>SUM(Oncor!CX85,Centerpoint!CX85,'AEP Central'!CX85,TNMP!CX85,'AEP North'!CX85)</f>
        <v>4570856.17</v>
      </c>
      <c r="CY85" s="69">
        <f>SUM(Oncor!CY85,Centerpoint!CY85,'AEP Central'!CY85,TNMP!CY85,'AEP North'!CY85)</f>
        <v>4608924.7700000005</v>
      </c>
      <c r="CZ85" s="69">
        <f>SUM(Oncor!CZ85,Centerpoint!CZ85,'AEP Central'!CZ85,TNMP!CZ85,'AEP North'!CZ85)</f>
        <v>6424869.9499999993</v>
      </c>
      <c r="DA85" s="69">
        <f>SUM(Oncor!DA85,Centerpoint!DA85,'AEP Central'!DA85,TNMP!DA85,'AEP North'!DA85)</f>
        <v>7253327</v>
      </c>
      <c r="DB85" s="69">
        <f>SUM(Oncor!DB85,Centerpoint!DB85,'AEP Central'!DB85,TNMP!DB85,'AEP North'!DB85)</f>
        <v>7379770.2599999998</v>
      </c>
      <c r="DC85" s="69">
        <f>SUM(Oncor!DC85,Centerpoint!DC85,'AEP Central'!DC85,TNMP!DC85,'AEP North'!DC85)</f>
        <v>7405321.0199999986</v>
      </c>
      <c r="DD85" s="69">
        <f>SUM(Oncor!DD85,Centerpoint!DD85,'AEP Central'!DD85,TNMP!DD85,'AEP North'!DD85)</f>
        <v>5741108.5199999996</v>
      </c>
      <c r="DE85" s="69">
        <f>SUM(Oncor!DE85,Centerpoint!DE85,'AEP Central'!DE85,TNMP!DE85,'AEP North'!DE85)</f>
        <v>4510085.0300000012</v>
      </c>
      <c r="DF85" s="89">
        <f>SUM(Oncor!DF85,Centerpoint!DF85,'AEP Central'!DF85,TNMP!DF85,'AEP North'!DF85)</f>
        <v>4749356.29</v>
      </c>
      <c r="DG85" s="69">
        <f>SUM(Oncor!DG85,Centerpoint!DG85,'AEP Central'!DG85,TNMP!DG85,'AEP North'!DG85)</f>
        <v>5419798.3699999992</v>
      </c>
      <c r="DH85" s="69">
        <f>SUM(Oncor!DH85,Centerpoint!DH85,'AEP Central'!DH85,TNMP!DH85,'AEP North'!DH85)</f>
        <v>5602014.1399999997</v>
      </c>
      <c r="DI85" s="69">
        <f>SUM(Oncor!DI85,Centerpoint!DI85,'AEP Central'!DI85,TNMP!DI85,'AEP North'!DI85)</f>
        <v>4314155.42</v>
      </c>
      <c r="DJ85" s="69">
        <f>SUM(Oncor!DJ85,Centerpoint!DJ85,'AEP Central'!DJ85,TNMP!DJ85,'AEP North'!DJ85)</f>
        <v>4066037.79</v>
      </c>
      <c r="DK85" s="69">
        <f>SUM(Oncor!DK85,Centerpoint!DK85,'AEP Central'!DK85,TNMP!DK85,'AEP North'!DK85)</f>
        <v>4708862.1400000006</v>
      </c>
      <c r="DL85" s="69">
        <f>SUM(Oncor!DL85,Centerpoint!DL85,'AEP Central'!DL85,TNMP!DL85,'AEP North'!DL85)</f>
        <v>5998753.9900000002</v>
      </c>
      <c r="DM85" s="69">
        <f>SUM(Oncor!DM85,Centerpoint!DM85,'AEP Central'!DM85,TNMP!DM85,'AEP North'!DM85)</f>
        <v>7249851.8800000008</v>
      </c>
      <c r="DN85" s="69">
        <f>SUM(Oncor!DN85,Centerpoint!DN85,'AEP Central'!DN85,TNMP!DN85,'AEP North'!DN85)</f>
        <v>7498917.5149999997</v>
      </c>
      <c r="DO85" s="69">
        <f>SUM(Oncor!DO85,Centerpoint!DO85,'AEP Central'!DO85,TNMP!DO85,'AEP North'!DO85)</f>
        <v>7126136.75</v>
      </c>
      <c r="DP85" s="69">
        <f>SUM(Oncor!DP85,Centerpoint!DP85,'AEP Central'!DP85,TNMP!DP85,'AEP North'!DP85)</f>
        <v>5381211.9199999999</v>
      </c>
      <c r="DQ85" s="69">
        <f>SUM(Oncor!DQ85,Centerpoint!DQ85,'AEP Central'!DQ85,TNMP!DQ85,'AEP North'!DQ85)</f>
        <v>4172859.6</v>
      </c>
      <c r="DR85" s="69">
        <f>SUM(Oncor!DR85,Centerpoint!DR85,'AEP Central'!DR85,TNMP!DR85,'AEP North'!DR85)</f>
        <v>4456802.1099999994</v>
      </c>
      <c r="DS85" s="69">
        <f>SUM(Oncor!DS85,Centerpoint!DS85,'AEP Central'!DS85,TNMP!DS85,'AEP North'!DS85)</f>
        <v>4777948.1899999995</v>
      </c>
      <c r="DT85" s="69">
        <f>SUM(Oncor!DT85,Centerpoint!DT85,'AEP Central'!DT85,TNMP!DT85,'AEP North'!DT85)</f>
        <v>4153671.2800000003</v>
      </c>
      <c r="DU85" s="69">
        <f>SUM(Oncor!DU85,Centerpoint!DU85,'AEP Central'!DU85,TNMP!DU85,'AEP North'!DU85)</f>
        <v>3836268.0900000003</v>
      </c>
      <c r="DV85" s="69">
        <f>SUM(Oncor!DV85,Centerpoint!DV85,'AEP Central'!DV85,TNMP!DV85,'AEP North'!DV85)</f>
        <v>4058034.48</v>
      </c>
      <c r="DW85" s="69">
        <f>SUM(Oncor!DW85,Centerpoint!DW85,'AEP Central'!DW85,TNMP!DW85,'AEP North'!DW85)</f>
        <v>4444951.6400000006</v>
      </c>
      <c r="DX85" s="69">
        <f>SUM(Oncor!DX85,Centerpoint!DX85,'AEP Central'!DX85,TNMP!DX85,'AEP North'!DX85)</f>
        <v>5466374.0800000001</v>
      </c>
      <c r="DY85" s="69">
        <f>SUM(Oncor!DY85,Centerpoint!DY85,'AEP Central'!DY85,TNMP!DY85,'AEP North'!DY85)</f>
        <v>6217641.3000000007</v>
      </c>
      <c r="DZ85" s="69">
        <f>SUM(Oncor!DZ85,Centerpoint!DZ85,'AEP Central'!DZ85,TNMP!DZ85,'AEP North'!DZ85)</f>
        <v>6378301.4400000004</v>
      </c>
      <c r="EA85" s="69">
        <f>SUM(Oncor!EA85,Centerpoint!EA85,'AEP Central'!EA85,TNMP!EA85,'AEP North'!EA85)</f>
        <v>6213333.7199999997</v>
      </c>
      <c r="EB85" s="69">
        <f>SUM(Oncor!EB85,Centerpoint!EB85,'AEP Central'!EB85,TNMP!EB85,'AEP North'!EB85)</f>
        <v>4918023.3800000008</v>
      </c>
      <c r="EC85" s="69">
        <f>SUM(Oncor!EC85,Centerpoint!EC85,'AEP Central'!EC85,TNMP!EC85,'AEP North'!EC85)</f>
        <v>4138778.25</v>
      </c>
      <c r="ED85" s="69">
        <f>SUM(Oncor!ED85,Centerpoint!ED85,'AEP Central'!ED85,TNMP!ED85,'AEP North'!ED85)</f>
        <v>4035204.91</v>
      </c>
      <c r="EE85" s="69">
        <f>SUM(Oncor!EE85,Centerpoint!EE85,'AEP Central'!EE85,TNMP!EE85,'AEP North'!EE85)</f>
        <v>4681778.67</v>
      </c>
      <c r="EF85" s="69">
        <f>SUM(Oncor!EF85,Centerpoint!EF85,'AEP Central'!EF85,TNMP!EF85,'AEP North'!EF85)</f>
        <v>4027942.7</v>
      </c>
      <c r="EG85" s="69">
        <f>SUM(Oncor!EG85,Centerpoint!EG85,'AEP Central'!EG85,TNMP!EG85,'AEP North'!EG85)</f>
        <v>3663340.02</v>
      </c>
      <c r="EH85" s="69">
        <f>SUM(Oncor!EH85,Centerpoint!EH85,'AEP Central'!EH85,TNMP!EH85,'AEP North'!EH85)</f>
        <v>3725186.93</v>
      </c>
      <c r="EI85" s="69">
        <f>SUM(Oncor!EI85,Centerpoint!EI85,'AEP Central'!EI85,TNMP!EI85,'AEP North'!EI85)</f>
        <v>3785354.9599999995</v>
      </c>
      <c r="EJ85" s="69">
        <f>SUM(Oncor!EJ85,Centerpoint!EJ85,'AEP Central'!EJ85,TNMP!EJ85,'AEP North'!EJ85)</f>
        <v>4831102.88</v>
      </c>
      <c r="EK85" s="69">
        <f>SUM(Oncor!EK85,Centerpoint!EK85,'AEP Central'!EK85,TNMP!EK85,'AEP North'!EK85)</f>
        <v>5746685.4700000007</v>
      </c>
      <c r="EL85" s="69">
        <f>SUM(Oncor!EL85,Centerpoint!EL85,'AEP Central'!EL85,TNMP!EL85,'AEP North'!EL85)</f>
        <v>5868978.8999999994</v>
      </c>
      <c r="EM85" s="69">
        <f>SUM(Oncor!EM85,Centerpoint!EM85,'AEP Central'!EM85,TNMP!EM85,'AEP North'!EM85)</f>
        <v>5967717.0699999994</v>
      </c>
      <c r="EN85" s="69">
        <f>SUM(Oncor!EN85,Centerpoint!EN85,'AEP Central'!EN85,TNMP!EN85,'AEP North'!EN85)</f>
        <v>4908809.43</v>
      </c>
      <c r="EO85" s="69">
        <f>SUM(Oncor!EO85,Centerpoint!EO85,'AEP Central'!EO85,TNMP!EO85,'AEP North'!EO85)</f>
        <v>3732795.82</v>
      </c>
      <c r="EP85" s="69">
        <f>SUM(Oncor!EP85,Centerpoint!EP85,'AEP Central'!EP85,TNMP!EP85,'AEP North'!EP85)</f>
        <v>4290134.6900000004</v>
      </c>
      <c r="EQ85" s="69">
        <f>SUM(Oncor!EQ85,Centerpoint!EQ85,'AEP Central'!EQ85,TNMP!EQ85,'AEP North'!EQ85)</f>
        <v>4782428.32</v>
      </c>
      <c r="ER85" s="69">
        <f>SUM(Oncor!ER85,Centerpoint!ER85,'AEP Central'!ER85,TNMP!ER85,'AEP North'!ER85)</f>
        <v>4362370.03</v>
      </c>
      <c r="ES85" s="69">
        <f>SUM(Oncor!ES85,Centerpoint!ES85,'AEP Central'!ES85,TNMP!ES85,'AEP North'!ES85)</f>
        <v>3906203.01</v>
      </c>
      <c r="ET85" s="69">
        <f>SUM(Oncor!ET85,Centerpoint!ET85,'AEP Central'!ET85,TNMP!ET85,'AEP North'!ET85)</f>
        <v>3510541.0500000003</v>
      </c>
      <c r="EU85" s="69">
        <f>SUM(Oncor!EU85,Centerpoint!EU85,'AEP Central'!EU85,TNMP!EU85,'AEP North'!EU85)</f>
        <v>3793747.7700000005</v>
      </c>
      <c r="EV85" s="69">
        <f>SUM(Oncor!EV85,Centerpoint!EV85,'AEP Central'!EV85,TNMP!EV85,'AEP North'!EV85)</f>
        <v>4634133.8600000003</v>
      </c>
      <c r="EW85" s="69">
        <f>SUM(Oncor!EW85,Centerpoint!EW85,'AEP Central'!EW85,TNMP!EW85,'AEP North'!EW85)</f>
        <v>5299194.2799999984</v>
      </c>
      <c r="EX85" s="69">
        <f>SUM(Oncor!EX85,Centerpoint!EX85,'AEP Central'!EX85,TNMP!EX85,'AEP North'!EX85)</f>
        <v>5481766.7199999997</v>
      </c>
      <c r="EY85" s="69">
        <f>SUM(Oncor!EY85,Centerpoint!EY85,'AEP Central'!EY85,TNMP!EY85,'AEP North'!EY85)</f>
        <v>5687966.7200000007</v>
      </c>
      <c r="EZ85" s="69">
        <f>SUM(Oncor!EZ85,Centerpoint!EZ85,'AEP Central'!EZ85,TNMP!EZ85,'AEP North'!EZ85)</f>
        <v>4496564.26</v>
      </c>
      <c r="FA85" s="69">
        <f>SUM(Oncor!FA85,Centerpoint!FA85,'AEP Central'!FA85,TNMP!FA85,'AEP North'!FA85)</f>
        <v>3784481.1199999996</v>
      </c>
      <c r="FB85" s="69">
        <f>SUM(Oncor!FB85,Centerpoint!FB85,'AEP Central'!FB85,TNMP!FB85,'AEP North'!FB85)</f>
        <v>3720392.92</v>
      </c>
      <c r="FC85" s="69">
        <f>SUM(Oncor!FC85,Centerpoint!FC85,'AEP Central'!FC85,TNMP!FC85,'AEP North'!FC85)</f>
        <v>4316594.0900000008</v>
      </c>
      <c r="FD85" s="69">
        <f>SUM(Oncor!FD85,Centerpoint!FD85,'AEP Central'!FD85,TNMP!FD85,'AEP North'!FD85)</f>
        <v>4127011.77</v>
      </c>
      <c r="FE85" s="69">
        <f>SUM(Oncor!FE85,Centerpoint!FE85,'AEP Central'!FE85,TNMP!FE85,'AEP North'!FE85)</f>
        <v>4033457.38</v>
      </c>
      <c r="FF85" s="69">
        <f>SUM(Oncor!FF85,Centerpoint!FF85,'AEP Central'!FF85,TNMP!FF85,'AEP North'!FF85)</f>
        <v>3505405.63</v>
      </c>
      <c r="FG85" s="69">
        <f>SUM(Oncor!FG85,Centerpoint!FG85,'AEP Central'!FG85,TNMP!FG85,'AEP North'!FG85)</f>
        <v>3599787.1799999997</v>
      </c>
      <c r="FH85" s="69">
        <f>SUM(Oncor!FH85,Centerpoint!FH85,'AEP Central'!FH85,TNMP!FH85,'AEP North'!FH85)</f>
        <v>4373969.78</v>
      </c>
      <c r="FI85" s="69">
        <f>SUM(Oncor!FI85,Centerpoint!FI85,'AEP Central'!FI85,TNMP!FI85,'AEP North'!FI85)</f>
        <v>5278698.8699999992</v>
      </c>
      <c r="FJ85" s="69">
        <f>SUM(Oncor!FJ85,Centerpoint!FJ85,'AEP Central'!FJ85,TNMP!FJ85,'AEP North'!FJ85)</f>
        <v>5923047.7599999998</v>
      </c>
      <c r="FK85" s="69">
        <f>SUM(Oncor!FK85,Centerpoint!FK85,'AEP Central'!FK85,TNMP!FK85,'AEP North'!FK85)</f>
        <v>5490519.9000000004</v>
      </c>
      <c r="FL85" s="69">
        <f>SUM(Oncor!FL85,Centerpoint!FL85,'AEP Central'!FL85,TNMP!FL85,'AEP North'!FL85,'[1]Sharyland Utilities LP '!FL85,'Sharyland Utilities LP McAllen'!FL85)</f>
        <v>4593451.95</v>
      </c>
      <c r="FM85" s="69">
        <f>SUM(Oncor!FM85,Centerpoint!FM85,'AEP Central'!FM85,TNMP!FM85,'AEP North'!FM85,'[1]Sharyland Utilities LP '!FM85,'Sharyland Utilities LP McAllen'!FM85)</f>
        <v>3600138.0799999996</v>
      </c>
      <c r="FN85" s="69">
        <f>SUM(Oncor!FN85,Centerpoint!FN85,'AEP Central'!FN85,TNMP!FN85,'AEP North'!FN85,'[1]Sharyland Utilities LP '!FN85,'Sharyland Utilities LP McAllen'!FN85)</f>
        <v>3557660.1320000002</v>
      </c>
      <c r="FO85" s="69">
        <f>SUM(Oncor!FO85,Centerpoint!FO85,'AEP Central'!FO85,TNMP!FO85,'AEP North'!FO85,'[1]Sharyland Utilities LP '!FO85,'Sharyland Utilities LP McAllen'!FO85)</f>
        <v>4005723.1599999997</v>
      </c>
      <c r="FP85" s="69">
        <f>SUM(Oncor!FP85,Centerpoint!FP85,'AEP Central'!FP85,TNMP!FP85,'AEP North'!FP85,'[1]Sharyland Utilities LP '!FP85,'Sharyland Utilities LP McAllen'!FP85)</f>
        <v>3702351.3600000003</v>
      </c>
      <c r="FQ85" s="69">
        <f>SUM(Oncor!FQ85,Centerpoint!FQ85,'AEP Central'!FQ85,TNMP!FQ85,'AEP North'!FQ85,'[1]Sharyland Utilities LP '!FQ85,'Sharyland Utilities LP McAllen'!FQ85)</f>
        <v>3190318.0799999996</v>
      </c>
      <c r="FR85" s="69">
        <f>SUM(Oncor!FR85,Centerpoint!FR85,'AEP Central'!FR85,TNMP!FR85,'AEP North'!FR85,'[1]Sharyland Utilities LP '!FR85,'Sharyland Utilities LP McAllen'!FR85)</f>
        <v>3250072.95</v>
      </c>
      <c r="FS85" s="69">
        <f>SUM(Oncor!FS85,Centerpoint!FS85,'AEP Central'!FS85,TNMP!FS85,'AEP North'!FS85,'[1]Sharyland Utilities LP '!FS85,'Sharyland Utilities LP McAllen'!FS85)</f>
        <v>3420190.82</v>
      </c>
      <c r="FT85" s="69">
        <f>SUM(Oncor!FT85,Centerpoint!FT85,'AEP Central'!FT85,TNMP!FT85,'AEP North'!FT85,'[1]Sharyland Utilities LP '!FT85,'Sharyland Utilities LP McAllen'!FT85)</f>
        <v>4267745.8600000003</v>
      </c>
    </row>
    <row r="86" spans="2:176" s="68" customFormat="1" ht="13.8" thickBot="1" x14ac:dyDescent="0.3">
      <c r="B86" s="90" t="s">
        <v>8</v>
      </c>
      <c r="C86" s="91">
        <f>SUM(Oncor!C86,Centerpoint!C86,'AEP Central'!C86,TNMP!C86,'AEP North'!C86)</f>
        <v>306815.81599999993</v>
      </c>
      <c r="D86" s="92">
        <f>SUM(Oncor!D86,Centerpoint!D86,'AEP Central'!D86,TNMP!D86,'AEP North'!D86)</f>
        <v>1367285.4099999997</v>
      </c>
      <c r="E86" s="92">
        <f>SUM(Oncor!E86,Centerpoint!E86,'AEP Central'!E86,TNMP!E86,'AEP North'!E86)</f>
        <v>2890161.72554</v>
      </c>
      <c r="F86" s="92">
        <f>SUM(Oncor!F86,Centerpoint!F86,'AEP Central'!F86,TNMP!F86,'AEP North'!F86)</f>
        <v>2791334.0101199993</v>
      </c>
      <c r="G86" s="92">
        <f>SUM(Oncor!G86,Centerpoint!G86,'AEP Central'!G86,TNMP!G86,'AEP North'!G86)</f>
        <v>3050193.8780799997</v>
      </c>
      <c r="H86" s="92">
        <f>SUM(Oncor!H86,Centerpoint!H86,'AEP Central'!H86,TNMP!H86,'AEP North'!H86)</f>
        <v>4248498.8559999997</v>
      </c>
      <c r="I86" s="92">
        <f>SUM(Oncor!I86,Centerpoint!I86,'AEP Central'!I86,TNMP!I86,'AEP North'!I86)</f>
        <v>5975454.4789999994</v>
      </c>
      <c r="J86" s="92">
        <f>SUM(Oncor!J86,Centerpoint!J86,'AEP Central'!J86,TNMP!J86,'AEP North'!J86)</f>
        <v>4080839.0100000002</v>
      </c>
      <c r="K86" s="92">
        <f>SUM(Oncor!K86,Centerpoint!K86,'AEP Central'!K86,TNMP!K86,'AEP North'!K86)</f>
        <v>6070465.112999999</v>
      </c>
      <c r="L86" s="92">
        <f t="shared" si="368"/>
        <v>5441851.8474000003</v>
      </c>
      <c r="M86" s="92">
        <f t="shared" si="368"/>
        <v>4910064.3229999999</v>
      </c>
      <c r="N86" s="92">
        <f t="shared" si="368"/>
        <v>4468035.1239999998</v>
      </c>
      <c r="O86" s="144">
        <f>SUM(Oncor!O86,Centerpoint!O86,'AEP Central'!O86,TNMP!O86,'AEP North'!O86)</f>
        <v>4556206</v>
      </c>
      <c r="P86" s="92">
        <f>SUM(Oncor!P86,Centerpoint!P86,'AEP Central'!P86,TNMP!P86,'AEP North'!P86)</f>
        <v>4681944</v>
      </c>
      <c r="Q86" s="92">
        <f>SUM(Oncor!Q86,Centerpoint!Q86,'AEP Central'!Q86,TNMP!Q86,'AEP North'!Q86)</f>
        <v>4528604</v>
      </c>
      <c r="R86" s="92">
        <f>SUM(Oncor!R86,Centerpoint!R86,'AEP Central'!R86,TNMP!R86,'AEP North'!R86)</f>
        <v>4623405.3509999998</v>
      </c>
      <c r="S86" s="92">
        <f>SUM(Oncor!S86,Centerpoint!S86,'AEP Central'!S86,TNMP!S86,'AEP North'!S86)</f>
        <v>5397374.3440000005</v>
      </c>
      <c r="T86" s="92">
        <f>SUM(Oncor!T86,Centerpoint!T86,'AEP Central'!T86,TNMP!T86,'AEP North'!T86)</f>
        <v>5888786.4760000007</v>
      </c>
      <c r="U86" s="92">
        <f>SUM(Oncor!U86,Centerpoint!U86,'AEP Central'!U86,TNMP!U86,'AEP North'!U86)</f>
        <v>6270861.6549999993</v>
      </c>
      <c r="V86" s="92">
        <f>SUM(Oncor!V86,Centerpoint!V86,'AEP Central'!V86,TNMP!V86,'AEP North'!V86)</f>
        <v>6721187.0169999991</v>
      </c>
      <c r="W86" s="92">
        <f>SUM(Oncor!W86,Centerpoint!W86,'AEP Central'!W86,TNMP!W86,'AEP North'!W86)</f>
        <v>6670996.9390000012</v>
      </c>
      <c r="X86" s="92">
        <f>SUM(Oncor!X86,Centerpoint!X86,'AEP Central'!X86,TNMP!X86,'AEP North'!X86)</f>
        <v>6199161.0299999993</v>
      </c>
      <c r="Y86" s="92">
        <f>SUM(Oncor!Y86,Centerpoint!Y86,'AEP Central'!Y86,TNMP!Y86,'AEP North'!Y86)</f>
        <v>5844239.6799999988</v>
      </c>
      <c r="Z86" s="158">
        <f>SUM(Oncor!Z86,Centerpoint!Z86,'AEP Central'!Z86,TNMP!Z86,'AEP North'!Z86)</f>
        <v>5893722.9799999995</v>
      </c>
      <c r="AA86" s="144">
        <f>SUM(Oncor!AA86,Centerpoint!AA86,'AEP Central'!AA86,TNMP!AA86,'AEP North'!AA86)</f>
        <v>6151239.9699999997</v>
      </c>
      <c r="AB86" s="92">
        <f>SUM(Oncor!AB86,Centerpoint!AB86,'AEP Central'!AB86,TNMP!AB86,'AEP North'!AB86)</f>
        <v>6106021.5999999996</v>
      </c>
      <c r="AC86" s="92">
        <f>SUM(Oncor!AC86,Centerpoint!AC86,'AEP Central'!AC86,TNMP!AC86,'AEP North'!AC86)</f>
        <v>5895489.8200000003</v>
      </c>
      <c r="AD86" s="92">
        <f>SUM(Oncor!AD86,Centerpoint!AD86,'AEP Central'!AD86,TNMP!AD86,'AEP North'!AD86)</f>
        <v>6400482.7700000005</v>
      </c>
      <c r="AE86" s="92">
        <f>SUM(Oncor!AE86,Centerpoint!AE86,'AEP Central'!AE86,TNMP!AE86,'AEP North'!AE86)</f>
        <v>6559893.1599999992</v>
      </c>
      <c r="AF86" s="92">
        <f>SUM(Oncor!AF86,Centerpoint!AF86,'AEP Central'!AF86,TNMP!AF86,'AEP North'!AF86)</f>
        <v>7892029.2799999993</v>
      </c>
      <c r="AG86" s="92">
        <f>SUM(Oncor!AG86,Centerpoint!AG86,'AEP Central'!AG86,TNMP!AG86,'AEP North'!AG86)</f>
        <v>8284288.6499999994</v>
      </c>
      <c r="AH86" s="92">
        <f>SUM(Oncor!AH86,Centerpoint!AH86,'AEP Central'!AH86,TNMP!AH86,'AEP North'!AH86)</f>
        <v>8757524.040000001</v>
      </c>
      <c r="AI86" s="92">
        <f>SUM(Oncor!AI86,Centerpoint!AI86,'AEP Central'!AI86,TNMP!AI86,'AEP North'!AI86)</f>
        <v>8685355.9800000004</v>
      </c>
      <c r="AJ86" s="92">
        <f>SUM(Oncor!AJ86,Centerpoint!AJ86,'AEP Central'!AJ86,TNMP!AJ86,'AEP North'!AJ86)</f>
        <v>8515581.7479999997</v>
      </c>
      <c r="AK86" s="92">
        <f>SUM(Oncor!AK86,Centerpoint!AK86,'AEP Central'!AK86,TNMP!AK86,'AEP North'!AK86)</f>
        <v>7666456.3780000005</v>
      </c>
      <c r="AL86" s="158">
        <f>SUM(Oncor!AL86,Centerpoint!AL86,'AEP Central'!AL86,TNMP!AL86,'AEP North'!AL86)</f>
        <v>7544372.3710000003</v>
      </c>
      <c r="AM86" s="92">
        <f>SUM(Oncor!AM86,Centerpoint!AM86,'AEP Central'!AM86,TNMP!AM86,'AEP North'!AM86)</f>
        <v>7801587.9200000009</v>
      </c>
      <c r="AN86" s="92">
        <f>SUM(Oncor!AN86,Centerpoint!AN86,'AEP Central'!AN86,TNMP!AN86,'AEP North'!AN86)</f>
        <v>7364625.0699999994</v>
      </c>
      <c r="AO86" s="92">
        <f>SUM(Oncor!AO86,Centerpoint!AO86,'AEP Central'!AO86,TNMP!AO86,'AEP North'!AO86)</f>
        <v>7783225.3100000005</v>
      </c>
      <c r="AP86" s="92">
        <f>SUM(Oncor!AP86,Centerpoint!AP86,'AEP Central'!AP86,TNMP!AP86,'AEP North'!AP86)</f>
        <v>7776254.1300000008</v>
      </c>
      <c r="AQ86" s="92">
        <f>SUM(Oncor!AQ86,Centerpoint!AQ86,'AEP Central'!AQ86,TNMP!AQ86,'AEP North'!AQ86)</f>
        <v>7955543.6200000001</v>
      </c>
      <c r="AR86" s="92">
        <f>SUM(Oncor!AR86,Centerpoint!AR86,'AEP Central'!AR86,TNMP!AR86,'AEP North'!AR86)</f>
        <v>9723544.2899999991</v>
      </c>
      <c r="AS86" s="92">
        <f>SUM(Oncor!AS86,Centerpoint!AS86,'AEP Central'!AS86,TNMP!AS86,'AEP North'!AS86)</f>
        <v>10589223.440000001</v>
      </c>
      <c r="AT86" s="92">
        <f>SUM(Oncor!AT86,Centerpoint!AT86,'AEP Central'!AT86,TNMP!AT86,'AEP North'!AT86)</f>
        <v>10871320.250000002</v>
      </c>
      <c r="AU86" s="92">
        <f>SUM(Oncor!AU86,Centerpoint!AU86,'AEP Central'!AU86,TNMP!AU86,'AEP North'!AU86)</f>
        <v>11464745.92</v>
      </c>
      <c r="AV86" s="92">
        <f>SUM(Oncor!AV86,Centerpoint!AV86,'AEP Central'!AV86,TNMP!AV86,'AEP North'!AV86)</f>
        <v>10350487.939999999</v>
      </c>
      <c r="AW86" s="92">
        <f>SUM(Oncor!AW86,Centerpoint!AW86,'AEP Central'!AW86,TNMP!AW86,'AEP North'!AW86)</f>
        <v>8900906.6199999992</v>
      </c>
      <c r="AX86" s="93">
        <f>SUM(Oncor!AX86,Centerpoint!AX86,'AEP Central'!AX86,TNMP!AX86,'AEP North'!AX86)</f>
        <v>8936100.9900000002</v>
      </c>
      <c r="AY86" s="92">
        <f>SUM(Oncor!AY86,Centerpoint!AY86,'AEP Central'!AY86,TNMP!AY86,'AEP North'!AY86)</f>
        <v>8905560.040000001</v>
      </c>
      <c r="AZ86" s="92">
        <f>SUM(Oncor!AZ86,Centerpoint!AZ86,'AEP Central'!AZ86,TNMP!AZ86,'AEP North'!AZ86)</f>
        <v>8165768.29</v>
      </c>
      <c r="BA86" s="92">
        <f>SUM(Oncor!BA86,Centerpoint!BA86,'AEP Central'!BA86,TNMP!BA86,'AEP North'!BA86)</f>
        <v>9026437.6900000013</v>
      </c>
      <c r="BB86" s="92">
        <f>SUM(Oncor!BB86,Centerpoint!BB86,'AEP Central'!BB86,TNMP!BB86,'AEP North'!BB86)</f>
        <v>9231471.4100000001</v>
      </c>
      <c r="BC86" s="92">
        <f>SUM(Oncor!BC86,Centerpoint!BC86,'AEP Central'!BC86,TNMP!BC86,'AEP North'!BC86)</f>
        <v>9948665.8900000006</v>
      </c>
      <c r="BD86" s="92">
        <f>SUM(Oncor!BD86,Centerpoint!BD86,'AEP Central'!BD86,TNMP!BD86,'AEP North'!BD86)</f>
        <v>11294308.109999999</v>
      </c>
      <c r="BE86" s="92">
        <f>SUM(Oncor!BE86,Centerpoint!BE86,'AEP Central'!BE86,TNMP!BE86,'AEP North'!BE86)</f>
        <v>11754659.98</v>
      </c>
      <c r="BF86" s="92">
        <f>SUM(Oncor!BF86,Centerpoint!BF86,'AEP Central'!BF86,TNMP!BF86,'AEP North'!BF86)</f>
        <v>12372219.020000001</v>
      </c>
      <c r="BG86" s="92">
        <f>SUM(Oncor!BG86,Centerpoint!BG86,'AEP Central'!BG86,TNMP!BG86,'AEP North'!BG86)</f>
        <v>12395437.109999999</v>
      </c>
      <c r="BH86" s="92">
        <f>SUM(Oncor!BH86,Centerpoint!BH86,'AEP Central'!BH86,TNMP!BH86,'AEP North'!BH86)</f>
        <v>11144133.360000001</v>
      </c>
      <c r="BI86" s="92">
        <f>SUM(Oncor!BI86,Centerpoint!BI86,'AEP Central'!BI86,TNMP!BI86,'AEP North'!BI86)</f>
        <v>9575847.1600000001</v>
      </c>
      <c r="BJ86" s="93">
        <f>SUM(Oncor!BJ86,Centerpoint!BJ86,'AEP Central'!BJ86,TNMP!BJ86,'AEP North'!BJ86)</f>
        <v>9471793.540000001</v>
      </c>
      <c r="BK86" s="92">
        <f>SUM(Oncor!BK86,Centerpoint!BK86,'AEP Central'!BK86,TNMP!BK86,'AEP North'!BK86)</f>
        <v>9807347.2200000007</v>
      </c>
      <c r="BL86" s="92">
        <f>SUM(Oncor!BL86,Centerpoint!BL86,'AEP Central'!BL86,TNMP!BL86,'AEP North'!BL86)</f>
        <v>9863818.9799999986</v>
      </c>
      <c r="BM86" s="92">
        <f>SUM(Oncor!BM86,Centerpoint!BM86,'AEP Central'!BM86,TNMP!BM86,'AEP North'!BM86)</f>
        <v>9181578.8399999999</v>
      </c>
      <c r="BN86" s="92">
        <f>SUM(Oncor!BN86,Centerpoint!BN86,'AEP Central'!BN86,TNMP!BN86,'AEP North'!BN86)</f>
        <v>9471081.6790000014</v>
      </c>
      <c r="BO86" s="92">
        <f>SUM(Oncor!BO86,Centerpoint!BO86,'AEP Central'!BO86,TNMP!BO86,'AEP North'!BO86)</f>
        <v>10013077.067</v>
      </c>
      <c r="BP86" s="92">
        <f>SUM(Oncor!BP86,Centerpoint!BP86,'AEP Central'!BP86,TNMP!BP86,'AEP North'!BP86)</f>
        <v>11319499.260999998</v>
      </c>
      <c r="BQ86" s="92">
        <f>SUM(Oncor!BQ86,Centerpoint!BQ86,'AEP Central'!BQ86,TNMP!BQ86,'AEP North'!BQ86)</f>
        <v>12180418.290000001</v>
      </c>
      <c r="BR86" s="92">
        <f>SUM(Oncor!BR86,Centerpoint!BR86,'AEP Central'!BR86,TNMP!BR86,'AEP North'!BR86)</f>
        <v>12372814.228</v>
      </c>
      <c r="BS86" s="92">
        <f>SUM(Oncor!BS86,Centerpoint!BS86,'AEP Central'!BS86,TNMP!BS86,'AEP North'!BS86)</f>
        <v>12870355.390000001</v>
      </c>
      <c r="BT86" s="92">
        <f>SUM(Oncor!BT86,Centerpoint!BT86,'AEP Central'!BT86,TNMP!BT86,'AEP North'!BT86)</f>
        <v>12058594.129999999</v>
      </c>
      <c r="BU86" s="92">
        <f>SUM(Oncor!BU86,Centerpoint!BU86,'AEP Central'!BU86,TNMP!BU86,'AEP North'!BU86)</f>
        <v>10436215.02</v>
      </c>
      <c r="BV86" s="93">
        <f>SUM(Oncor!BV86,Centerpoint!BV86,'AEP Central'!BV86,TNMP!BV86,'AEP North'!BV86)</f>
        <v>10524338.17</v>
      </c>
      <c r="BW86" s="92">
        <f>SUM(Oncor!BW86,Centerpoint!BW86,'AEP Central'!BW86,TNMP!BW86,'AEP North'!BW86)</f>
        <v>10816041.23</v>
      </c>
      <c r="BX86" s="92">
        <f>SUM(Oncor!BX86,Centerpoint!BX86,'AEP Central'!BX86,TNMP!BX86,'AEP North'!BX86)</f>
        <v>10161950.84</v>
      </c>
      <c r="BY86" s="92">
        <f>SUM(Oncor!BY86,Centerpoint!BY86,'AEP Central'!BY86,TNMP!BY86,'AEP North'!BY86)</f>
        <v>9765310.6099999994</v>
      </c>
      <c r="BZ86" s="92">
        <f>SUM(Oncor!BZ86,Centerpoint!BZ86,'AEP Central'!BZ86,TNMP!BZ86,'AEP North'!BZ86)</f>
        <v>10073484.289999999</v>
      </c>
      <c r="CA86" s="92">
        <f>SUM(Oncor!CA86,Centerpoint!CA86,'AEP Central'!CA86,TNMP!CA86,'AEP North'!CA86)</f>
        <v>10316816.640000001</v>
      </c>
      <c r="CB86" s="92">
        <f>SUM(Oncor!CB86,Centerpoint!CB86,'AEP Central'!CB86,TNMP!CB86,'AEP North'!CB86)</f>
        <v>12825863.189999999</v>
      </c>
      <c r="CC86" s="92">
        <f>SUM(Oncor!CC86,Centerpoint!CC86,'AEP Central'!CC86,TNMP!CC86,'AEP North'!CC86)</f>
        <v>13419374.526999999</v>
      </c>
      <c r="CD86" s="92">
        <f>SUM(Oncor!CD86,Centerpoint!CD86,'AEP Central'!CD86,TNMP!CD86,'AEP North'!CD86)</f>
        <v>14112899.927000003</v>
      </c>
      <c r="CE86" s="92">
        <f>SUM(Oncor!CE86,Centerpoint!CE86,'AEP Central'!CE86,TNMP!CE86,'AEP North'!CE86)</f>
        <v>13162801.064999999</v>
      </c>
      <c r="CF86" s="92">
        <f>SUM(Oncor!CF86,Centerpoint!CF86,'AEP Central'!CF86,TNMP!CF86,'AEP North'!CF86)</f>
        <v>10096889.699999999</v>
      </c>
      <c r="CG86" s="92">
        <f>SUM(Oncor!CG86,Centerpoint!CG86,'AEP Central'!CG86,TNMP!CG86,'AEP North'!CG86)</f>
        <v>10869963.010000002</v>
      </c>
      <c r="CH86" s="92">
        <f>SUM(Oncor!CH86,Centerpoint!CH86,'AEP Central'!CH86,TNMP!CH86,'AEP North'!CH86)</f>
        <v>10422758.989999998</v>
      </c>
      <c r="CI86" s="91">
        <f>SUM(Oncor!CI86,Centerpoint!CI86,'AEP Central'!CI86,TNMP!CI86,'AEP North'!CI86)</f>
        <v>11275969.25</v>
      </c>
      <c r="CJ86" s="92">
        <f>SUM(Oncor!CJ86,Centerpoint!CJ86,'AEP Central'!CJ86,TNMP!CJ86,'AEP North'!CJ86)</f>
        <v>9995424.2599999998</v>
      </c>
      <c r="CK86" s="92">
        <f>SUM(Oncor!CK86,Centerpoint!CK86,'AEP Central'!CK86,TNMP!CK86,'AEP North'!CK86)</f>
        <v>9591157.0999999996</v>
      </c>
      <c r="CL86" s="92">
        <f>SUM(Oncor!CL86,Centerpoint!CL86,'AEP Central'!CL86,TNMP!CL86,'AEP North'!CL86)</f>
        <v>9818152.8500000015</v>
      </c>
      <c r="CM86" s="92">
        <f>SUM(Oncor!CM86,Centerpoint!CM86,'AEP Central'!CM86,TNMP!CM86,'AEP North'!CM86)</f>
        <v>10447516.180000002</v>
      </c>
      <c r="CN86" s="92">
        <f>SUM(Oncor!CN86,Centerpoint!CN86,'AEP Central'!CN86,TNMP!CN86,'AEP North'!CN86)</f>
        <v>12232657.35</v>
      </c>
      <c r="CO86" s="92">
        <f>SUM(Oncor!CO86,Centerpoint!CO86,'AEP Central'!CO86,TNMP!CO86,'AEP North'!CO86)</f>
        <v>14374684.280000001</v>
      </c>
      <c r="CP86" s="92">
        <f>SUM(Oncor!CP86,Centerpoint!CP86,'AEP Central'!CP86,TNMP!CP86,'AEP North'!CP86)</f>
        <v>14354593.49</v>
      </c>
      <c r="CQ86" s="92">
        <f>SUM(Oncor!CQ86,Centerpoint!CQ86,'AEP Central'!CQ86,TNMP!CQ86,'AEP North'!CQ86)</f>
        <v>13908294.640000001</v>
      </c>
      <c r="CR86" s="92">
        <f>SUM(Oncor!CR86,Centerpoint!CR86,'AEP Central'!CR86,TNMP!CR86,'AEP North'!CR86)</f>
        <v>11774886.82</v>
      </c>
      <c r="CS86" s="92">
        <f>SUM(Oncor!CS86,Centerpoint!CS86,'AEP Central'!CS86,TNMP!CS86,'AEP North'!CS86)</f>
        <v>10580476.41</v>
      </c>
      <c r="CT86" s="93">
        <f>SUM(Oncor!CT86,Centerpoint!CT86,'AEP Central'!CT86,TNMP!CT86,'AEP North'!CT86)</f>
        <v>11113291.190000001</v>
      </c>
      <c r="CU86" s="92">
        <f>SUM(Oncor!CU86,Centerpoint!CU86,'AEP Central'!CU86,TNMP!CU86,'AEP North'!CU86)</f>
        <v>12144095.359000001</v>
      </c>
      <c r="CV86" s="92">
        <f>SUM(Oncor!CV86,Centerpoint!CV86,'AEP Central'!CV86,TNMP!CV86,'AEP North'!CV86)</f>
        <v>11166919.772999998</v>
      </c>
      <c r="CW86" s="92">
        <f>SUM(Oncor!CW86,Centerpoint!CW86,'AEP Central'!CW86,TNMP!CW86,'AEP North'!CW86)</f>
        <v>10843502.243000001</v>
      </c>
      <c r="CX86" s="92">
        <f>SUM(Oncor!CX86,Centerpoint!CX86,'AEP Central'!CX86,TNMP!CX86,'AEP North'!CX86)</f>
        <v>10612688.200999999</v>
      </c>
      <c r="CY86" s="92">
        <f>SUM(Oncor!CY86,Centerpoint!CY86,'AEP Central'!CY86,TNMP!CY86,'AEP North'!CY86)</f>
        <v>11124708.949000001</v>
      </c>
      <c r="CZ86" s="92">
        <f>SUM(Oncor!CZ86,Centerpoint!CZ86,'AEP Central'!CZ86,TNMP!CZ86,'AEP North'!CZ86)</f>
        <v>13635674.721999999</v>
      </c>
      <c r="DA86" s="92">
        <f>SUM(Oncor!DA86,Centerpoint!DA86,'AEP Central'!DA86,TNMP!DA86,'AEP North'!DA86)</f>
        <v>14836580.289999999</v>
      </c>
      <c r="DB86" s="92">
        <f>SUM(Oncor!DB86,Centerpoint!DB86,'AEP Central'!DB86,TNMP!DB86,'AEP North'!DB86)</f>
        <v>15099096.65</v>
      </c>
      <c r="DC86" s="92">
        <f>SUM(Oncor!DC86,Centerpoint!DC86,'AEP Central'!DC86,TNMP!DC86,'AEP North'!DC86)</f>
        <v>15500608.84</v>
      </c>
      <c r="DD86" s="92">
        <f>SUM(Oncor!DD86,Centerpoint!DD86,'AEP Central'!DD86,TNMP!DD86,'AEP North'!DD86)</f>
        <v>12936609.399999999</v>
      </c>
      <c r="DE86" s="92">
        <f>SUM(Oncor!DE86,Centerpoint!DE86,'AEP Central'!DE86,TNMP!DE86,'AEP North'!DE86)</f>
        <v>11261330.84</v>
      </c>
      <c r="DF86" s="93">
        <f>SUM(Oncor!DF86,Centerpoint!DF86,'AEP Central'!DF86,TNMP!DF86,'AEP North'!DF86)</f>
        <v>11692573.800000001</v>
      </c>
      <c r="DG86" s="92">
        <f>SUM(Oncor!DG86,Centerpoint!DG86,'AEP Central'!DG86,TNMP!DG86,'AEP North'!DG86)</f>
        <v>12278004.730000002</v>
      </c>
      <c r="DH86" s="92">
        <f>SUM(Oncor!DH86,Centerpoint!DH86,'AEP Central'!DH86,TNMP!DH86,'AEP North'!DH86)</f>
        <v>12777904.049999999</v>
      </c>
      <c r="DI86" s="92">
        <f>SUM(Oncor!DI86,Centerpoint!DI86,'AEP Central'!DI86,TNMP!DI86,'AEP North'!DI86)</f>
        <v>10802904.220000001</v>
      </c>
      <c r="DJ86" s="92">
        <f>SUM(Oncor!DJ86,Centerpoint!DJ86,'AEP Central'!DJ86,TNMP!DJ86,'AEP North'!DJ86)</f>
        <v>10746666.120000001</v>
      </c>
      <c r="DK86" s="92">
        <f>SUM(Oncor!DK86,Centerpoint!DK86,'AEP Central'!DK86,TNMP!DK86,'AEP North'!DK86)</f>
        <v>12396180.439999998</v>
      </c>
      <c r="DL86" s="92">
        <f>SUM(Oncor!DL86,Centerpoint!DL86,'AEP Central'!DL86,TNMP!DL86,'AEP North'!DL86)</f>
        <v>14691437.620000001</v>
      </c>
      <c r="DM86" s="92">
        <f>SUM(Oncor!DM86,Centerpoint!DM86,'AEP Central'!DM86,TNMP!DM86,'AEP North'!DM86)</f>
        <v>16394676.629999999</v>
      </c>
      <c r="DN86" s="92">
        <f>SUM(Oncor!DN86,Centerpoint!DN86,'AEP Central'!DN86,TNMP!DN86,'AEP North'!DN86)</f>
        <v>16881755.009999998</v>
      </c>
      <c r="DO86" s="92">
        <f>SUM(Oncor!DO86,Centerpoint!DO86,'AEP Central'!DO86,TNMP!DO86,'AEP North'!DO86)</f>
        <v>16609324.76</v>
      </c>
      <c r="DP86" s="92">
        <f>SUM(Oncor!DP86,Centerpoint!DP86,'AEP Central'!DP86,TNMP!DP86,'AEP North'!DP86)</f>
        <v>13888970.100000001</v>
      </c>
      <c r="DQ86" s="92">
        <f>SUM(Oncor!DQ86,Centerpoint!DQ86,'AEP Central'!DQ86,TNMP!DQ86,'AEP North'!DQ86)</f>
        <v>11708853.84</v>
      </c>
      <c r="DR86" s="92">
        <f>SUM(Oncor!DR86,Centerpoint!DR86,'AEP Central'!DR86,TNMP!DR86,'AEP North'!DR86)</f>
        <v>12070683</v>
      </c>
      <c r="DS86" s="92">
        <f>SUM(Oncor!DS86,Centerpoint!DS86,'AEP Central'!DS86,TNMP!DS86,'AEP North'!DS86)</f>
        <v>12615283.050000001</v>
      </c>
      <c r="DT86" s="92">
        <f>SUM(Oncor!DT86,Centerpoint!DT86,'AEP Central'!DT86,TNMP!DT86,'AEP North'!DT86)</f>
        <v>11916723.229999999</v>
      </c>
      <c r="DU86" s="92">
        <f>SUM(Oncor!DU86,Centerpoint!DU86,'AEP Central'!DU86,TNMP!DU86,'AEP North'!DU86)</f>
        <v>11421358.07</v>
      </c>
      <c r="DV86" s="92">
        <f>SUM(Oncor!DV86,Centerpoint!DV86,'AEP Central'!DV86,TNMP!DV86,'AEP North'!DV86)</f>
        <v>12472687.27</v>
      </c>
      <c r="DW86" s="92">
        <f>SUM(Oncor!DW86,Centerpoint!DW86,'AEP Central'!DW86,TNMP!DW86,'AEP North'!DW86)</f>
        <v>13148129.959999999</v>
      </c>
      <c r="DX86" s="92">
        <f>SUM(Oncor!DX86,Centerpoint!DX86,'AEP Central'!DX86,TNMP!DX86,'AEP North'!DX86)</f>
        <v>15318904.549999999</v>
      </c>
      <c r="DY86" s="92">
        <f>SUM(Oncor!DY86,Centerpoint!DY86,'AEP Central'!DY86,TNMP!DY86,'AEP North'!DY86)</f>
        <v>16589894.389999999</v>
      </c>
      <c r="DZ86" s="92">
        <f>SUM(Oncor!DZ86,Centerpoint!DZ86,'AEP Central'!DZ86,TNMP!DZ86,'AEP North'!DZ86)</f>
        <v>16897189.93</v>
      </c>
      <c r="EA86" s="92">
        <f>SUM(Oncor!EA86,Centerpoint!EA86,'AEP Central'!EA86,TNMP!EA86,'AEP North'!EA86)</f>
        <v>16763133.289999999</v>
      </c>
      <c r="EB86" s="92">
        <f>SUM(Oncor!EB86,Centerpoint!EB86,'AEP Central'!EB86,TNMP!EB86,'AEP North'!EB86)</f>
        <v>14262612.82</v>
      </c>
      <c r="EC86" s="92">
        <f>SUM(Oncor!EC86,Centerpoint!EC86,'AEP Central'!EC86,TNMP!EC86,'AEP North'!EC86)</f>
        <v>12772902.430000002</v>
      </c>
      <c r="ED86" s="92">
        <f>SUM(Oncor!ED86,Centerpoint!ED86,'AEP Central'!ED86,TNMP!ED86,'AEP North'!ED86)</f>
        <v>12465818.51</v>
      </c>
      <c r="EE86" s="92">
        <f>SUM(Oncor!EE86,Centerpoint!EE86,'AEP Central'!EE86,TNMP!EE86,'AEP North'!EE86)</f>
        <v>13479336.4</v>
      </c>
      <c r="EF86" s="92">
        <f>SUM(Oncor!EF86,Centerpoint!EF86,'AEP Central'!EF86,TNMP!EF86,'AEP North'!EF86)</f>
        <v>12535700.149999999</v>
      </c>
      <c r="EG86" s="92">
        <f>SUM(Oncor!EG86,Centerpoint!EG86,'AEP Central'!EG86,TNMP!EG86,'AEP North'!EG86)</f>
        <v>11676635.460000001</v>
      </c>
      <c r="EH86" s="92">
        <f>SUM(Oncor!EH86,Centerpoint!EH86,'AEP Central'!EH86,TNMP!EH86,'AEP North'!EH86)</f>
        <v>12577246.479999999</v>
      </c>
      <c r="EI86" s="92">
        <f>SUM(Oncor!EI86,Centerpoint!EI86,'AEP Central'!EI86,TNMP!EI86,'AEP North'!EI86)</f>
        <v>12821045.689999999</v>
      </c>
      <c r="EJ86" s="92">
        <f>SUM(Oncor!EJ86,Centerpoint!EJ86,'AEP Central'!EJ86,TNMP!EJ86,'AEP North'!EJ86)</f>
        <v>15478321.07</v>
      </c>
      <c r="EK86" s="92">
        <f>SUM(Oncor!EK86,Centerpoint!EK86,'AEP Central'!EK86,TNMP!EK86,'AEP North'!EK86)</f>
        <v>17054346.41</v>
      </c>
      <c r="EL86" s="92">
        <f>SUM(Oncor!EL86,Centerpoint!EL86,'AEP Central'!EL86,TNMP!EL86,'AEP North'!EL86)</f>
        <v>17411157.940000001</v>
      </c>
      <c r="EM86" s="92">
        <f>SUM(Oncor!EM86,Centerpoint!EM86,'AEP Central'!EM86,TNMP!EM86,'AEP North'!EM86)</f>
        <v>17785726.939999998</v>
      </c>
      <c r="EN86" s="92">
        <f>SUM(Oncor!EN86,Centerpoint!EN86,'AEP Central'!EN86,TNMP!EN86,'AEP North'!EN86)</f>
        <v>15630942.080000002</v>
      </c>
      <c r="EO86" s="92">
        <f>SUM(Oncor!EO86,Centerpoint!EO86,'AEP Central'!EO86,TNMP!EO86,'AEP North'!EO86)</f>
        <v>13261224.334000001</v>
      </c>
      <c r="EP86" s="92">
        <f>SUM(Oncor!EP86,Centerpoint!EP86,'AEP Central'!EP86,TNMP!EP86,'AEP North'!EP86)</f>
        <v>14371386.67</v>
      </c>
      <c r="EQ86" s="92">
        <f>SUM(Oncor!EQ86,Centerpoint!EQ86,'AEP Central'!EQ86,TNMP!EQ86,'AEP North'!EQ86)</f>
        <v>15035023.440000001</v>
      </c>
      <c r="ER86" s="92">
        <f>SUM(Oncor!ER86,Centerpoint!ER86,'AEP Central'!ER86,TNMP!ER86,'AEP North'!ER86)</f>
        <v>14266081.49</v>
      </c>
      <c r="ES86" s="92">
        <f>SUM(Oncor!ES86,Centerpoint!ES86,'AEP Central'!ES86,TNMP!ES86,'AEP North'!ES86)</f>
        <v>13257774.890000001</v>
      </c>
      <c r="ET86" s="92">
        <f>SUM(Oncor!ET86,Centerpoint!ET86,'AEP Central'!ET86,TNMP!ET86,'AEP North'!ET86)</f>
        <v>13137012.66</v>
      </c>
      <c r="EU86" s="92">
        <f>SUM(Oncor!EU86,Centerpoint!EU86,'AEP Central'!EU86,TNMP!EU86,'AEP North'!EU86)</f>
        <v>13731122.26</v>
      </c>
      <c r="EV86" s="92">
        <f>SUM(Oncor!EV86,Centerpoint!EV86,'AEP Central'!EV86,TNMP!EV86,'AEP North'!EV86)</f>
        <v>16010580.609999999</v>
      </c>
      <c r="EW86" s="92">
        <f>SUM(Oncor!EW86,Centerpoint!EW86,'AEP Central'!EW86,TNMP!EW86,'AEP North'!EW86)</f>
        <v>17327625.23</v>
      </c>
      <c r="EX86" s="92">
        <f>SUM(Oncor!EX86,Centerpoint!EX86,'AEP Central'!EX86,TNMP!EX86,'AEP North'!EX86)</f>
        <v>17881082.309999999</v>
      </c>
      <c r="EY86" s="92">
        <f>SUM(Oncor!EY86,Centerpoint!EY86,'AEP Central'!EY86,TNMP!EY86,'AEP North'!EY86)</f>
        <v>18680800.010000002</v>
      </c>
      <c r="EZ86" s="92">
        <f>SUM(Oncor!EZ86,Centerpoint!EZ86,'AEP Central'!EZ86,TNMP!EZ86,'AEP North'!EZ86)</f>
        <v>16017185.68</v>
      </c>
      <c r="FA86" s="92">
        <f>SUM(Oncor!FA86,Centerpoint!FA86,'AEP Central'!FA86,TNMP!FA86,'AEP North'!FA86)</f>
        <v>14097215.93</v>
      </c>
      <c r="FB86" s="92">
        <f>SUM(Oncor!FB86,Centerpoint!FB86,'AEP Central'!FB86,TNMP!FB86,'AEP North'!FB86)</f>
        <v>14198207.93</v>
      </c>
      <c r="FC86" s="92">
        <f>SUM(Oncor!FC86,Centerpoint!FC86,'AEP Central'!FC86,TNMP!FC86,'AEP North'!FC86)</f>
        <v>15152870.870000001</v>
      </c>
      <c r="FD86" s="92">
        <f>SUM(Oncor!FD86,Centerpoint!FD86,'AEP Central'!FD86,TNMP!FD86,'AEP North'!FD86)</f>
        <v>14309762.32</v>
      </c>
      <c r="FE86" s="92">
        <f>SUM(Oncor!FE86,Centerpoint!FE86,'AEP Central'!FE86,TNMP!FE86,'AEP North'!FE86)</f>
        <v>14334773.529999999</v>
      </c>
      <c r="FF86" s="92">
        <f>SUM(Oncor!FF86,Centerpoint!FF86,'AEP Central'!FF86,TNMP!FF86,'AEP North'!FF86)</f>
        <v>13660332.93</v>
      </c>
      <c r="FG86" s="92">
        <f>SUM(Oncor!FG86,Centerpoint!FG86,'AEP Central'!FG86,TNMP!FG86,'AEP North'!FG86)</f>
        <v>14000338.4</v>
      </c>
      <c r="FH86" s="92">
        <f>SUM(Oncor!FH86,Centerpoint!FH86,'AEP Central'!FH86,TNMP!FH86,'AEP North'!FH86)</f>
        <v>16187930.18</v>
      </c>
      <c r="FI86" s="92">
        <f>SUM(Oncor!FI86,Centerpoint!FI86,'AEP Central'!FI86,TNMP!FI86,'AEP North'!FI86)</f>
        <v>18009902.190000001</v>
      </c>
      <c r="FJ86" s="92">
        <f>SUM(Oncor!FJ86,Centerpoint!FJ86,'AEP Central'!FJ86,TNMP!FJ86,'AEP North'!FJ86)</f>
        <v>19460059.559999999</v>
      </c>
      <c r="FK86" s="92">
        <f>SUM(Oncor!FK86,Centerpoint!FK86,'AEP Central'!FK86,TNMP!FK86,'AEP North'!FK86)</f>
        <v>18572033.719999999</v>
      </c>
      <c r="FL86" s="92">
        <f>SUM(Oncor!FL86,Centerpoint!FL86,'AEP Central'!FL86,TNMP!FL86,'AEP North'!FL86,'[1]Sharyland Utilities LP '!FL86,'Sharyland Utilities LP McAllen'!FL86)</f>
        <v>16911756.189999998</v>
      </c>
      <c r="FM86" s="92">
        <f>SUM(Oncor!FM86,Centerpoint!FM86,'AEP Central'!FM86,TNMP!FM86,'AEP North'!FM86,'[1]Sharyland Utilities LP '!FM86,'Sharyland Utilities LP McAllen'!FM86)</f>
        <v>14516229.579999998</v>
      </c>
      <c r="FN86" s="92">
        <f>SUM(Oncor!FN86,Centerpoint!FN86,'AEP Central'!FN86,TNMP!FN86,'AEP North'!FN86,'[1]Sharyland Utilities LP '!FN86,'Sharyland Utilities LP McAllen'!FN86)</f>
        <v>14192308.789999999</v>
      </c>
      <c r="FO86" s="92">
        <f>SUM(Oncor!FO86,Centerpoint!FO86,'AEP Central'!FO86,TNMP!FO86,'AEP North'!FO86,'[1]Sharyland Utilities LP '!FO86,'Sharyland Utilities LP McAllen'!FO86)</f>
        <v>15176242.132999998</v>
      </c>
      <c r="FP86" s="92">
        <f>SUM(Oncor!FP86,Centerpoint!FP86,'AEP Central'!FP86,TNMP!FP86,'AEP North'!FP86,'[1]Sharyland Utilities LP '!FP86,'Sharyland Utilities LP McAllen'!FP86)</f>
        <v>14262211.037</v>
      </c>
      <c r="FQ86" s="92">
        <f>SUM(Oncor!FQ86,Centerpoint!FQ86,'AEP Central'!FQ86,TNMP!FQ86,'AEP North'!FQ86,'[1]Sharyland Utilities LP '!FQ86,'Sharyland Utilities LP McAllen'!FQ86)</f>
        <v>13501548.858999999</v>
      </c>
      <c r="FR86" s="92">
        <f>SUM(Oncor!FR86,Centerpoint!FR86,'AEP Central'!FR86,TNMP!FR86,'AEP North'!FR86,'[1]Sharyland Utilities LP '!FR86,'Sharyland Utilities LP McAllen'!FR86)</f>
        <v>13825288.650000002</v>
      </c>
      <c r="FS86" s="92">
        <f>SUM(Oncor!FS86,Centerpoint!FS86,'AEP Central'!FS86,TNMP!FS86,'AEP North'!FS86,'[1]Sharyland Utilities LP '!FS86,'Sharyland Utilities LP McAllen'!FS86)</f>
        <v>14413649.23</v>
      </c>
      <c r="FT86" s="92">
        <f>SUM(Oncor!FT86,Centerpoint!FT86,'AEP Central'!FT86,TNMP!FT86,'AEP North'!FT86,'[1]Sharyland Utilities LP '!FT86,'Sharyland Utilities LP McAllen'!FT86)</f>
        <v>16882340.5</v>
      </c>
    </row>
    <row r="87" spans="2:176" s="68" customFormat="1" ht="13.8" thickTop="1" x14ac:dyDescent="0.25">
      <c r="B87" s="87" t="s">
        <v>9</v>
      </c>
      <c r="C87" s="87">
        <f t="shared" ref="C87:Q87" si="369">SUM(C85:C86)</f>
        <v>9476640.5783999991</v>
      </c>
      <c r="D87" s="94">
        <f t="shared" si="369"/>
        <v>10520863.588400001</v>
      </c>
      <c r="E87" s="94">
        <f t="shared" si="369"/>
        <v>13451808.855969999</v>
      </c>
      <c r="F87" s="94">
        <f t="shared" si="369"/>
        <v>13487116.022009999</v>
      </c>
      <c r="G87" s="94">
        <f t="shared" si="369"/>
        <v>15113472.272169998</v>
      </c>
      <c r="H87" s="94">
        <f t="shared" si="369"/>
        <v>17765536.785180002</v>
      </c>
      <c r="I87" s="94">
        <f t="shared" si="369"/>
        <v>22004259.631889999</v>
      </c>
      <c r="J87" s="94">
        <f t="shared" si="369"/>
        <v>19046293.846000001</v>
      </c>
      <c r="K87" s="94">
        <f t="shared" si="369"/>
        <v>23760525.809999999</v>
      </c>
      <c r="L87" s="94">
        <f t="shared" si="369"/>
        <v>18585183.683399998</v>
      </c>
      <c r="M87" s="94">
        <f t="shared" si="369"/>
        <v>15202419.131000001</v>
      </c>
      <c r="N87" s="95">
        <f t="shared" si="369"/>
        <v>14876365.339999998</v>
      </c>
      <c r="O87" s="145">
        <f t="shared" si="369"/>
        <v>16087469</v>
      </c>
      <c r="P87" s="94">
        <f t="shared" si="369"/>
        <v>15810593</v>
      </c>
      <c r="Q87" s="94">
        <f t="shared" si="369"/>
        <v>14429684</v>
      </c>
      <c r="R87" s="94">
        <f t="shared" ref="R87:W87" si="370">SUM(R85:R86)</f>
        <v>13688383.203</v>
      </c>
      <c r="S87" s="94">
        <f t="shared" si="370"/>
        <v>15992257.039000003</v>
      </c>
      <c r="T87" s="94">
        <f t="shared" si="370"/>
        <v>18601660.912</v>
      </c>
      <c r="U87" s="94">
        <f t="shared" si="370"/>
        <v>20110340.18</v>
      </c>
      <c r="V87" s="94">
        <f t="shared" si="370"/>
        <v>21354500.531000003</v>
      </c>
      <c r="W87" s="94">
        <f t="shared" si="370"/>
        <v>20268468.68</v>
      </c>
      <c r="X87" s="164">
        <f t="shared" ref="X87:AC87" si="371">SUM(X85:X86)</f>
        <v>17136806.600000001</v>
      </c>
      <c r="Y87" s="164">
        <f t="shared" si="371"/>
        <v>15075668.529999997</v>
      </c>
      <c r="Z87" s="159">
        <f t="shared" si="371"/>
        <v>14981725.199999999</v>
      </c>
      <c r="AA87" s="142">
        <f t="shared" si="371"/>
        <v>15976332.300000001</v>
      </c>
      <c r="AB87" s="125">
        <f t="shared" si="371"/>
        <v>15545282.33</v>
      </c>
      <c r="AC87" s="125">
        <f t="shared" si="371"/>
        <v>14675694.59</v>
      </c>
      <c r="AD87" s="125">
        <f t="shared" ref="AD87:AI87" si="372">SUM(AD85:AD86)</f>
        <v>14784459.520000001</v>
      </c>
      <c r="AE87" s="125">
        <f t="shared" si="372"/>
        <v>15335687.079999998</v>
      </c>
      <c r="AF87" s="125">
        <f t="shared" si="372"/>
        <v>18821276.75</v>
      </c>
      <c r="AG87" s="125">
        <f t="shared" si="372"/>
        <v>20095001.629999999</v>
      </c>
      <c r="AH87" s="125">
        <f t="shared" si="372"/>
        <v>20882253.940000001</v>
      </c>
      <c r="AI87" s="125">
        <f t="shared" si="372"/>
        <v>20053865.52</v>
      </c>
      <c r="AJ87" s="125">
        <f t="shared" ref="AJ87:AO87" si="373">SUM(AJ85:AJ86)</f>
        <v>18513085.493000001</v>
      </c>
      <c r="AK87" s="125">
        <f t="shared" si="373"/>
        <v>16064096.000000002</v>
      </c>
      <c r="AL87" s="155">
        <f t="shared" si="373"/>
        <v>15422989.044</v>
      </c>
      <c r="AM87" s="125">
        <f t="shared" si="373"/>
        <v>16655027.030000001</v>
      </c>
      <c r="AN87" s="125">
        <f t="shared" si="373"/>
        <v>15288908.57</v>
      </c>
      <c r="AO87" s="125">
        <f t="shared" si="373"/>
        <v>14971792.530000001</v>
      </c>
      <c r="AP87" s="125">
        <f t="shared" ref="AP87:AU87" si="374">SUM(AP85:AP86)</f>
        <v>14764119.07</v>
      </c>
      <c r="AQ87" s="125">
        <f t="shared" si="374"/>
        <v>15118471.960000001</v>
      </c>
      <c r="AR87" s="125">
        <f t="shared" si="374"/>
        <v>19145315.120000001</v>
      </c>
      <c r="AS87" s="125">
        <f t="shared" si="374"/>
        <v>21594030.240000002</v>
      </c>
      <c r="AT87" s="125">
        <f t="shared" si="374"/>
        <v>21477089.68</v>
      </c>
      <c r="AU87" s="125">
        <f t="shared" si="374"/>
        <v>22320852.149999999</v>
      </c>
      <c r="AV87" s="125">
        <f t="shared" ref="AV87:BJ87" si="375">SUM(AV85:AV86)</f>
        <v>19560405.93</v>
      </c>
      <c r="AW87" s="125">
        <f t="shared" si="375"/>
        <v>15702272.439999999</v>
      </c>
      <c r="AX87" s="126">
        <f t="shared" si="375"/>
        <v>15949006.760000002</v>
      </c>
      <c r="AY87" s="125">
        <f t="shared" si="375"/>
        <v>16139320.5</v>
      </c>
      <c r="AZ87" s="125">
        <f t="shared" si="375"/>
        <v>14599204.780000001</v>
      </c>
      <c r="BA87" s="125">
        <f t="shared" si="375"/>
        <v>15586130.490000002</v>
      </c>
      <c r="BB87" s="125">
        <f t="shared" si="375"/>
        <v>15827253.24</v>
      </c>
      <c r="BC87" s="125">
        <f t="shared" si="375"/>
        <v>17240893.140000001</v>
      </c>
      <c r="BD87" s="125">
        <f t="shared" si="375"/>
        <v>20130281.129999995</v>
      </c>
      <c r="BE87" s="125">
        <f t="shared" si="375"/>
        <v>21327371.330000002</v>
      </c>
      <c r="BF87" s="125">
        <f t="shared" si="375"/>
        <v>22610445.170000002</v>
      </c>
      <c r="BG87" s="125">
        <f t="shared" si="375"/>
        <v>22222402.169999998</v>
      </c>
      <c r="BH87" s="125">
        <f t="shared" si="375"/>
        <v>18874505.68</v>
      </c>
      <c r="BI87" s="125">
        <f t="shared" si="375"/>
        <v>15732589.66</v>
      </c>
      <c r="BJ87" s="126">
        <f t="shared" si="375"/>
        <v>15735885.050000001</v>
      </c>
      <c r="BK87" s="125">
        <f t="shared" ref="BK87:BP87" si="376">SUM(BK85:BK86)</f>
        <v>16810530.240000002</v>
      </c>
      <c r="BL87" s="125">
        <f t="shared" si="376"/>
        <v>16964798.640000001</v>
      </c>
      <c r="BM87" s="125">
        <f t="shared" si="376"/>
        <v>15200178.6</v>
      </c>
      <c r="BN87" s="125">
        <f t="shared" si="376"/>
        <v>15205062.030000001</v>
      </c>
      <c r="BO87" s="125">
        <f t="shared" si="376"/>
        <v>15983834.697999999</v>
      </c>
      <c r="BP87" s="125">
        <f t="shared" si="376"/>
        <v>18523256.204999998</v>
      </c>
      <c r="BQ87" s="125">
        <f t="shared" ref="BQ87:CB87" si="377">SUM(BQ85:BQ86)</f>
        <v>20321012.640000001</v>
      </c>
      <c r="BR87" s="125">
        <f t="shared" si="377"/>
        <v>20815493.908</v>
      </c>
      <c r="BS87" s="125">
        <f t="shared" si="377"/>
        <v>21740228.809999999</v>
      </c>
      <c r="BT87" s="125">
        <f t="shared" si="377"/>
        <v>19926366.089999996</v>
      </c>
      <c r="BU87" s="125">
        <f t="shared" si="377"/>
        <v>16606751.419999998</v>
      </c>
      <c r="BV87" s="126">
        <f t="shared" si="377"/>
        <v>16769110.509999998</v>
      </c>
      <c r="BW87" s="125">
        <f t="shared" si="377"/>
        <v>17681100.710000001</v>
      </c>
      <c r="BX87" s="125">
        <f t="shared" si="377"/>
        <v>16626915.029999999</v>
      </c>
      <c r="BY87" s="125">
        <f t="shared" si="377"/>
        <v>15578542.079999998</v>
      </c>
      <c r="BZ87" s="125">
        <f t="shared" si="377"/>
        <v>15714192.689999998</v>
      </c>
      <c r="CA87" s="125">
        <f t="shared" si="377"/>
        <v>16058464.310000001</v>
      </c>
      <c r="CB87" s="125">
        <f t="shared" si="377"/>
        <v>20870608.157000002</v>
      </c>
      <c r="CC87" s="94">
        <f>SUM(CC85:CC86)</f>
        <v>21992281.740999997</v>
      </c>
      <c r="CD87" s="94">
        <f>SUM(CD85:CD86)</f>
        <v>22885051.690000005</v>
      </c>
      <c r="CE87" s="94">
        <f>SUM(CE85:CE86)</f>
        <v>21257837.357000001</v>
      </c>
      <c r="CF87" s="94">
        <f t="shared" ref="CF87:CQ87" si="378">SUM(CF85:CF86)</f>
        <v>15551333.619999997</v>
      </c>
      <c r="CG87" s="94">
        <f t="shared" si="378"/>
        <v>16619623.620000001</v>
      </c>
      <c r="CH87" s="94">
        <f t="shared" si="378"/>
        <v>15962446.899999999</v>
      </c>
      <c r="CI87" s="87">
        <f t="shared" si="378"/>
        <v>17693131.16</v>
      </c>
      <c r="CJ87" s="94">
        <f t="shared" si="378"/>
        <v>15540123.48</v>
      </c>
      <c r="CK87" s="94">
        <f t="shared" si="378"/>
        <v>14579172.84</v>
      </c>
      <c r="CL87" s="94">
        <f t="shared" si="378"/>
        <v>14857272.310000002</v>
      </c>
      <c r="CM87" s="94">
        <f t="shared" si="378"/>
        <v>15790692.300000001</v>
      </c>
      <c r="CN87" s="94">
        <f t="shared" si="378"/>
        <v>18837657.370000001</v>
      </c>
      <c r="CO87" s="94">
        <f t="shared" si="378"/>
        <v>22618408.66</v>
      </c>
      <c r="CP87" s="94">
        <f t="shared" si="378"/>
        <v>22472908.560000002</v>
      </c>
      <c r="CQ87" s="94">
        <f t="shared" si="378"/>
        <v>21449912.77</v>
      </c>
      <c r="CR87" s="94">
        <f t="shared" ref="CR87:EA87" si="379">SUM(CR85:CR86)</f>
        <v>17543351.23</v>
      </c>
      <c r="CS87" s="94">
        <f t="shared" si="379"/>
        <v>15346418.940000001</v>
      </c>
      <c r="CT87" s="96">
        <f t="shared" si="379"/>
        <v>16292662.360000003</v>
      </c>
      <c r="CU87" s="94">
        <f t="shared" si="379"/>
        <v>18613876.447000001</v>
      </c>
      <c r="CV87" s="94">
        <f t="shared" si="379"/>
        <v>16722683.639999997</v>
      </c>
      <c r="CW87" s="94">
        <f t="shared" si="379"/>
        <v>16031146.401000001</v>
      </c>
      <c r="CX87" s="94">
        <f t="shared" si="379"/>
        <v>15183544.370999999</v>
      </c>
      <c r="CY87" s="94">
        <f t="shared" si="379"/>
        <v>15733633.719000001</v>
      </c>
      <c r="CZ87" s="94">
        <f t="shared" si="379"/>
        <v>20060544.671999998</v>
      </c>
      <c r="DA87" s="94">
        <f t="shared" si="379"/>
        <v>22089907.289999999</v>
      </c>
      <c r="DB87" s="94">
        <f t="shared" si="379"/>
        <v>22478866.91</v>
      </c>
      <c r="DC87" s="94">
        <f t="shared" si="379"/>
        <v>22905929.859999999</v>
      </c>
      <c r="DD87" s="94">
        <f t="shared" si="379"/>
        <v>18677717.919999998</v>
      </c>
      <c r="DE87" s="94">
        <f t="shared" si="379"/>
        <v>15771415.870000001</v>
      </c>
      <c r="DF87" s="96">
        <f t="shared" si="379"/>
        <v>16441930.09</v>
      </c>
      <c r="DG87" s="94">
        <f t="shared" si="379"/>
        <v>17697803.100000001</v>
      </c>
      <c r="DH87" s="94">
        <f t="shared" si="379"/>
        <v>18379918.189999998</v>
      </c>
      <c r="DI87" s="94">
        <f t="shared" si="379"/>
        <v>15117059.640000001</v>
      </c>
      <c r="DJ87" s="94">
        <f t="shared" si="379"/>
        <v>14812703.91</v>
      </c>
      <c r="DK87" s="94">
        <f t="shared" si="379"/>
        <v>17105042.579999998</v>
      </c>
      <c r="DL87" s="94">
        <f t="shared" si="379"/>
        <v>20690191.609999999</v>
      </c>
      <c r="DM87" s="94">
        <f t="shared" si="379"/>
        <v>23644528.509999998</v>
      </c>
      <c r="DN87" s="94">
        <f t="shared" si="379"/>
        <v>24380672.524999999</v>
      </c>
      <c r="DO87" s="94">
        <f t="shared" si="379"/>
        <v>23735461.509999998</v>
      </c>
      <c r="DP87" s="94">
        <f t="shared" si="379"/>
        <v>19270182.020000003</v>
      </c>
      <c r="DQ87" s="94">
        <f t="shared" si="379"/>
        <v>15881713.439999999</v>
      </c>
      <c r="DR87" s="94">
        <f t="shared" si="379"/>
        <v>16527485.109999999</v>
      </c>
      <c r="DS87" s="94">
        <f t="shared" si="379"/>
        <v>17393231.240000002</v>
      </c>
      <c r="DT87" s="94">
        <f t="shared" si="379"/>
        <v>16070394.509999998</v>
      </c>
      <c r="DU87" s="94">
        <f t="shared" si="379"/>
        <v>15257626.16</v>
      </c>
      <c r="DV87" s="94">
        <f t="shared" si="379"/>
        <v>16530721.75</v>
      </c>
      <c r="DW87" s="94">
        <f t="shared" si="379"/>
        <v>17593081.600000001</v>
      </c>
      <c r="DX87" s="94">
        <f t="shared" si="379"/>
        <v>20785278.629999999</v>
      </c>
      <c r="DY87" s="94">
        <f t="shared" si="379"/>
        <v>22807535.689999998</v>
      </c>
      <c r="DZ87" s="94">
        <f t="shared" si="379"/>
        <v>23275491.370000001</v>
      </c>
      <c r="EA87" s="94">
        <f t="shared" si="379"/>
        <v>22976467.009999998</v>
      </c>
      <c r="EB87" s="94">
        <f t="shared" ref="EB87:FH87" si="380">SUM(EB85:EB86)</f>
        <v>19180636.200000003</v>
      </c>
      <c r="EC87" s="94">
        <f t="shared" si="380"/>
        <v>16911680.68</v>
      </c>
      <c r="ED87" s="94">
        <f t="shared" si="380"/>
        <v>16501023.42</v>
      </c>
      <c r="EE87" s="94">
        <f t="shared" si="380"/>
        <v>18161115.07</v>
      </c>
      <c r="EF87" s="94">
        <f t="shared" si="380"/>
        <v>16563642.849999998</v>
      </c>
      <c r="EG87" s="94">
        <f t="shared" si="380"/>
        <v>15339975.48</v>
      </c>
      <c r="EH87" s="94">
        <f t="shared" si="380"/>
        <v>16302433.409999998</v>
      </c>
      <c r="EI87" s="94">
        <f t="shared" si="380"/>
        <v>16606400.649999999</v>
      </c>
      <c r="EJ87" s="94">
        <f t="shared" si="380"/>
        <v>20309423.949999999</v>
      </c>
      <c r="EK87" s="94">
        <f t="shared" si="380"/>
        <v>22801031.880000003</v>
      </c>
      <c r="EL87" s="94">
        <f t="shared" si="380"/>
        <v>23280136.84</v>
      </c>
      <c r="EM87" s="94">
        <f t="shared" si="380"/>
        <v>23753444.009999998</v>
      </c>
      <c r="EN87" s="94">
        <f t="shared" si="380"/>
        <v>20539751.510000002</v>
      </c>
      <c r="EO87" s="94">
        <f t="shared" si="380"/>
        <v>16994020.153999999</v>
      </c>
      <c r="EP87" s="94">
        <f t="shared" si="380"/>
        <v>18661521.359999999</v>
      </c>
      <c r="EQ87" s="94">
        <f t="shared" si="380"/>
        <v>19817451.760000002</v>
      </c>
      <c r="ER87" s="94">
        <f t="shared" si="380"/>
        <v>18628451.52</v>
      </c>
      <c r="ES87" s="94">
        <f t="shared" si="380"/>
        <v>17163977.899999999</v>
      </c>
      <c r="ET87" s="94">
        <f t="shared" si="380"/>
        <v>16647553.710000001</v>
      </c>
      <c r="EU87" s="94">
        <f t="shared" si="380"/>
        <v>17524870.030000001</v>
      </c>
      <c r="EV87" s="94">
        <f t="shared" si="380"/>
        <v>20644714.469999999</v>
      </c>
      <c r="EW87" s="94">
        <f t="shared" si="380"/>
        <v>22626819.509999998</v>
      </c>
      <c r="EX87" s="94">
        <f t="shared" si="380"/>
        <v>23362849.029999997</v>
      </c>
      <c r="EY87" s="94">
        <f t="shared" si="380"/>
        <v>24368766.730000004</v>
      </c>
      <c r="EZ87" s="94">
        <f t="shared" si="380"/>
        <v>20513749.939999998</v>
      </c>
      <c r="FA87" s="94">
        <f t="shared" si="380"/>
        <v>17881697.050000001</v>
      </c>
      <c r="FB87" s="94">
        <f t="shared" si="380"/>
        <v>17918600.850000001</v>
      </c>
      <c r="FC87" s="94">
        <f t="shared" si="380"/>
        <v>19469464.960000001</v>
      </c>
      <c r="FD87" s="94">
        <f t="shared" si="380"/>
        <v>18436774.09</v>
      </c>
      <c r="FE87" s="94">
        <f t="shared" si="380"/>
        <v>18368230.91</v>
      </c>
      <c r="FF87" s="94">
        <f t="shared" si="380"/>
        <v>17165738.559999999</v>
      </c>
      <c r="FG87" s="94">
        <f t="shared" si="380"/>
        <v>17600125.579999998</v>
      </c>
      <c r="FH87" s="94">
        <f t="shared" si="380"/>
        <v>20561899.960000001</v>
      </c>
      <c r="FI87" s="94">
        <f t="shared" ref="FI87:FT87" si="381">SUM(FI85:FI86)</f>
        <v>23288601.060000002</v>
      </c>
      <c r="FJ87" s="94">
        <f t="shared" si="381"/>
        <v>25383107.32</v>
      </c>
      <c r="FK87" s="94">
        <f t="shared" si="381"/>
        <v>24062553.619999997</v>
      </c>
      <c r="FL87" s="94">
        <f t="shared" si="381"/>
        <v>21505208.139999997</v>
      </c>
      <c r="FM87" s="94">
        <f t="shared" si="381"/>
        <v>18116367.659999996</v>
      </c>
      <c r="FN87" s="94">
        <f t="shared" si="381"/>
        <v>17749968.921999998</v>
      </c>
      <c r="FO87" s="94">
        <f t="shared" si="381"/>
        <v>19181965.292999998</v>
      </c>
      <c r="FP87" s="94">
        <f t="shared" si="381"/>
        <v>17964562.397</v>
      </c>
      <c r="FQ87" s="94">
        <f t="shared" si="381"/>
        <v>16691866.938999999</v>
      </c>
      <c r="FR87" s="94">
        <f t="shared" si="381"/>
        <v>17075361.600000001</v>
      </c>
      <c r="FS87" s="94">
        <f t="shared" si="381"/>
        <v>17833840.050000001</v>
      </c>
      <c r="FT87" s="94">
        <f t="shared" si="381"/>
        <v>21150086.359999999</v>
      </c>
    </row>
    <row r="88" spans="2:176" x14ac:dyDescent="0.25">
      <c r="B88" s="3" t="s">
        <v>10</v>
      </c>
      <c r="C88" s="78">
        <f t="shared" ref="C88:Q88" si="382">SUM(C85)/C87</f>
        <v>0.96762398938086547</v>
      </c>
      <c r="D88" s="14">
        <f t="shared" si="382"/>
        <v>0.87004057238157428</v>
      </c>
      <c r="E88" s="14">
        <f t="shared" si="382"/>
        <v>0.78514698235120051</v>
      </c>
      <c r="F88" s="14">
        <f t="shared" si="382"/>
        <v>0.79303699875015954</v>
      </c>
      <c r="G88" s="14">
        <f t="shared" si="382"/>
        <v>0.79818046950755073</v>
      </c>
      <c r="H88" s="14">
        <f t="shared" si="382"/>
        <v>0.76085727623248089</v>
      </c>
      <c r="I88" s="14">
        <f t="shared" si="382"/>
        <v>0.72844101192389199</v>
      </c>
      <c r="J88" s="14">
        <f t="shared" si="382"/>
        <v>0.78574104531853384</v>
      </c>
      <c r="K88" s="14">
        <f t="shared" si="382"/>
        <v>0.74451469796829395</v>
      </c>
      <c r="L88" s="14">
        <f t="shared" si="382"/>
        <v>0.70719407781476074</v>
      </c>
      <c r="M88" s="14">
        <f t="shared" si="382"/>
        <v>0.67702085564871417</v>
      </c>
      <c r="N88" s="14">
        <f t="shared" si="382"/>
        <v>0.69965545871704171</v>
      </c>
      <c r="O88" s="136">
        <f t="shared" si="382"/>
        <v>0.7167854060822122</v>
      </c>
      <c r="P88" s="14">
        <f t="shared" si="382"/>
        <v>0.70387296668758725</v>
      </c>
      <c r="Q88" s="14">
        <f t="shared" si="382"/>
        <v>0.68616055625334549</v>
      </c>
      <c r="R88" s="14">
        <f t="shared" ref="R88:W88" si="383">SUM(R85)/R87</f>
        <v>0.66223875512290475</v>
      </c>
      <c r="S88" s="14">
        <f t="shared" si="383"/>
        <v>0.66250077579183919</v>
      </c>
      <c r="T88" s="14">
        <f t="shared" si="383"/>
        <v>0.68342684538448262</v>
      </c>
      <c r="U88" s="14">
        <f t="shared" si="383"/>
        <v>0.68817724618917908</v>
      </c>
      <c r="V88" s="14">
        <f t="shared" si="383"/>
        <v>0.68525665082903919</v>
      </c>
      <c r="W88" s="14">
        <f t="shared" si="383"/>
        <v>0.67086823162015019</v>
      </c>
      <c r="X88" s="14">
        <f t="shared" ref="X88:AC88" si="384">SUM(X85)/X87</f>
        <v>0.63825459581250099</v>
      </c>
      <c r="Y88" s="14">
        <f t="shared" si="384"/>
        <v>0.61233960083626227</v>
      </c>
      <c r="Z88" s="150">
        <f t="shared" si="384"/>
        <v>0.6066058547115788</v>
      </c>
      <c r="AA88" s="136">
        <f t="shared" si="384"/>
        <v>0.61497796524925807</v>
      </c>
      <c r="AB88" s="14">
        <f t="shared" si="384"/>
        <v>0.60721063340121406</v>
      </c>
      <c r="AC88" s="14">
        <f t="shared" si="384"/>
        <v>0.59828205855297778</v>
      </c>
      <c r="AD88" s="14">
        <f t="shared" ref="AD88:AI88" si="385">SUM(AD85)/AD87</f>
        <v>0.56708036831907127</v>
      </c>
      <c r="AE88" s="14">
        <f t="shared" si="385"/>
        <v>0.57224654325693247</v>
      </c>
      <c r="AF88" s="14">
        <f t="shared" si="385"/>
        <v>0.58068576405158057</v>
      </c>
      <c r="AG88" s="14">
        <f t="shared" si="385"/>
        <v>0.58774381796355202</v>
      </c>
      <c r="AH88" s="14">
        <f t="shared" si="385"/>
        <v>0.5806236211300474</v>
      </c>
      <c r="AI88" s="14">
        <f t="shared" si="385"/>
        <v>0.56689866243802356</v>
      </c>
      <c r="AJ88" s="14">
        <f t="shared" ref="AJ88:AO88" si="386">SUM(AJ85)/AJ87</f>
        <v>0.54002363618858473</v>
      </c>
      <c r="AK88" s="14">
        <f t="shared" si="386"/>
        <v>0.52275830659876532</v>
      </c>
      <c r="AL88" s="150">
        <f t="shared" si="386"/>
        <v>0.51083591193141742</v>
      </c>
      <c r="AM88" s="14">
        <f t="shared" si="386"/>
        <v>0.53157758879962613</v>
      </c>
      <c r="AN88" s="14">
        <f t="shared" si="386"/>
        <v>0.51830275939703652</v>
      </c>
      <c r="AO88" s="14">
        <f t="shared" si="386"/>
        <v>0.48014071832719946</v>
      </c>
      <c r="AP88" s="14">
        <f t="shared" ref="AP88:AU88" si="387">SUM(AP85)/AP87</f>
        <v>0.47330050014287783</v>
      </c>
      <c r="AQ88" s="14">
        <f t="shared" si="387"/>
        <v>0.47378652809301497</v>
      </c>
      <c r="AR88" s="14">
        <f t="shared" si="387"/>
        <v>0.49211886933935206</v>
      </c>
      <c r="AS88" s="14">
        <f t="shared" si="387"/>
        <v>0.50962264467033547</v>
      </c>
      <c r="AT88" s="14">
        <f t="shared" si="387"/>
        <v>0.49381781181816065</v>
      </c>
      <c r="AU88" s="14">
        <f t="shared" si="387"/>
        <v>0.48636611886701653</v>
      </c>
      <c r="AV88" s="14">
        <f t="shared" ref="AV88:BJ88" si="388">SUM(AV85)/AV87</f>
        <v>0.47084493148859718</v>
      </c>
      <c r="AW88" s="14">
        <f t="shared" si="388"/>
        <v>0.43314531995217376</v>
      </c>
      <c r="AX88" s="23">
        <f t="shared" si="388"/>
        <v>0.4397079940795009</v>
      </c>
      <c r="AY88" s="14">
        <f t="shared" si="388"/>
        <v>0.44820725011316309</v>
      </c>
      <c r="AZ88" s="14">
        <f t="shared" si="388"/>
        <v>0.44067033697708019</v>
      </c>
      <c r="BA88" s="14">
        <f t="shared" si="388"/>
        <v>0.4208673091893253</v>
      </c>
      <c r="BB88" s="14">
        <f t="shared" si="388"/>
        <v>0.41673572350068749</v>
      </c>
      <c r="BC88" s="14">
        <f t="shared" si="388"/>
        <v>0.42296110710654283</v>
      </c>
      <c r="BD88" s="14">
        <f t="shared" si="388"/>
        <v>0.43893937511045578</v>
      </c>
      <c r="BE88" s="14">
        <f t="shared" si="388"/>
        <v>0.44884628311106545</v>
      </c>
      <c r="BF88" s="14">
        <f t="shared" si="388"/>
        <v>0.45280957862715082</v>
      </c>
      <c r="BG88" s="14">
        <f t="shared" si="388"/>
        <v>0.44220984683943371</v>
      </c>
      <c r="BH88" s="14">
        <f t="shared" si="388"/>
        <v>0.40956687560783844</v>
      </c>
      <c r="BI88" s="14">
        <f t="shared" si="388"/>
        <v>0.39133687670336154</v>
      </c>
      <c r="BJ88" s="23">
        <f t="shared" si="388"/>
        <v>0.39807684728861181</v>
      </c>
      <c r="BK88" s="14">
        <f t="shared" ref="BK88:BP88" si="389">SUM(BK85)/BK87</f>
        <v>0.41659501039034441</v>
      </c>
      <c r="BL88" s="14">
        <f t="shared" si="389"/>
        <v>0.41857140840193313</v>
      </c>
      <c r="BM88" s="14">
        <f t="shared" si="389"/>
        <v>0.39595585804498373</v>
      </c>
      <c r="BN88" s="14">
        <f t="shared" si="389"/>
        <v>0.37710996112259854</v>
      </c>
      <c r="BO88" s="14">
        <f t="shared" si="389"/>
        <v>0.37354976098114301</v>
      </c>
      <c r="BP88" s="14">
        <f t="shared" si="389"/>
        <v>0.38890337985259221</v>
      </c>
      <c r="BQ88" s="14">
        <f t="shared" ref="BQ88:CB88" si="390">SUM(BQ85)/BQ87</f>
        <v>0.40059983693804735</v>
      </c>
      <c r="BR88" s="14">
        <f t="shared" si="390"/>
        <v>0.40559593336169808</v>
      </c>
      <c r="BS88" s="14">
        <f t="shared" si="390"/>
        <v>0.40799356333913389</v>
      </c>
      <c r="BT88" s="14">
        <f t="shared" si="390"/>
        <v>0.39484228707152097</v>
      </c>
      <c r="BU88" s="14">
        <f t="shared" si="390"/>
        <v>0.3715679390834164</v>
      </c>
      <c r="BV88" s="23">
        <f t="shared" si="390"/>
        <v>0.37239735144425379</v>
      </c>
      <c r="BW88" s="14">
        <f t="shared" si="390"/>
        <v>0.38827104672942053</v>
      </c>
      <c r="BX88" s="14">
        <f t="shared" si="390"/>
        <v>0.38882523777473105</v>
      </c>
      <c r="BY88" s="14">
        <f t="shared" si="390"/>
        <v>0.37315632234053064</v>
      </c>
      <c r="BZ88" s="14">
        <f t="shared" si="390"/>
        <v>0.35895629583246508</v>
      </c>
      <c r="CA88" s="14">
        <f t="shared" si="390"/>
        <v>0.35754649754550533</v>
      </c>
      <c r="CB88" s="14">
        <f t="shared" si="390"/>
        <v>0.38545810004591524</v>
      </c>
      <c r="CC88" s="14">
        <f>SUM(CC85)/CC87</f>
        <v>0.38981435919027957</v>
      </c>
      <c r="CD88" s="14">
        <f>SUM(CD85)/CD87</f>
        <v>0.38331360933010844</v>
      </c>
      <c r="CE88" s="14">
        <f>SUM(CE85)/CE87</f>
        <v>0.380802437992799</v>
      </c>
      <c r="CF88" s="14">
        <f t="shared" ref="CF88:CQ88" si="391">SUM(CF85)/CF87</f>
        <v>0.35073801728394788</v>
      </c>
      <c r="CG88" s="14">
        <f t="shared" si="391"/>
        <v>0.34595612641196505</v>
      </c>
      <c r="CH88" s="14">
        <f t="shared" si="391"/>
        <v>0.34704503292662486</v>
      </c>
      <c r="CI88" s="78">
        <f t="shared" si="391"/>
        <v>0.36269227034882839</v>
      </c>
      <c r="CJ88" s="14">
        <f t="shared" si="391"/>
        <v>0.35679891650384749</v>
      </c>
      <c r="CK88" s="14">
        <f t="shared" si="391"/>
        <v>0.34213297247664698</v>
      </c>
      <c r="CL88" s="14">
        <f t="shared" si="391"/>
        <v>0.33916854688113335</v>
      </c>
      <c r="CM88" s="14">
        <f t="shared" si="391"/>
        <v>0.33837503881954561</v>
      </c>
      <c r="CN88" s="14">
        <f t="shared" si="391"/>
        <v>0.35062746339780149</v>
      </c>
      <c r="CO88" s="14">
        <f t="shared" si="391"/>
        <v>0.36446968944277619</v>
      </c>
      <c r="CP88" s="14">
        <f t="shared" si="391"/>
        <v>0.36124896999091421</v>
      </c>
      <c r="CQ88" s="14">
        <f t="shared" si="391"/>
        <v>0.35159201861873118</v>
      </c>
      <c r="CR88" s="14">
        <f t="shared" ref="CR88:EA88" si="392">SUM(CR85)/CR87</f>
        <v>0.32881200030559954</v>
      </c>
      <c r="CS88" s="14">
        <f t="shared" si="392"/>
        <v>0.31055730647217689</v>
      </c>
      <c r="CT88" s="23">
        <f t="shared" si="392"/>
        <v>0.31789593717450609</v>
      </c>
      <c r="CU88" s="14">
        <f t="shared" si="392"/>
        <v>0.347578383601162</v>
      </c>
      <c r="CV88" s="14">
        <f t="shared" si="392"/>
        <v>0.33222920355383823</v>
      </c>
      <c r="CW88" s="14">
        <f t="shared" si="392"/>
        <v>0.32359782814262128</v>
      </c>
      <c r="CX88" s="14">
        <f t="shared" si="392"/>
        <v>0.3010401299139458</v>
      </c>
      <c r="CY88" s="14">
        <f t="shared" si="392"/>
        <v>0.29293454088957493</v>
      </c>
      <c r="CZ88" s="14">
        <f t="shared" si="392"/>
        <v>0.32027395342698101</v>
      </c>
      <c r="DA88" s="14">
        <f t="shared" si="392"/>
        <v>0.328354795915488</v>
      </c>
      <c r="DB88" s="14">
        <f t="shared" si="392"/>
        <v>0.32829814285332232</v>
      </c>
      <c r="DC88" s="14">
        <f t="shared" si="392"/>
        <v>0.32329274843942085</v>
      </c>
      <c r="DD88" s="14">
        <f t="shared" si="392"/>
        <v>0.30737740791408202</v>
      </c>
      <c r="DE88" s="14">
        <f t="shared" si="392"/>
        <v>0.28596576662333623</v>
      </c>
      <c r="DF88" s="23">
        <f t="shared" si="392"/>
        <v>0.28885637294423017</v>
      </c>
      <c r="DG88" s="14">
        <f t="shared" si="392"/>
        <v>0.30624130799601895</v>
      </c>
      <c r="DH88" s="14">
        <f t="shared" si="392"/>
        <v>0.30478993878481458</v>
      </c>
      <c r="DI88" s="14">
        <f t="shared" si="392"/>
        <v>0.28538323739787796</v>
      </c>
      <c r="DJ88" s="14">
        <f t="shared" si="392"/>
        <v>0.27449666277707968</v>
      </c>
      <c r="DK88" s="14">
        <f t="shared" si="392"/>
        <v>0.27529087507246658</v>
      </c>
      <c r="DL88" s="14">
        <f t="shared" si="392"/>
        <v>0.28993225887287954</v>
      </c>
      <c r="DM88" s="14">
        <f t="shared" si="392"/>
        <v>0.30661858522295404</v>
      </c>
      <c r="DN88" s="14">
        <f t="shared" si="392"/>
        <v>0.30757631920573941</v>
      </c>
      <c r="DO88" s="14">
        <f t="shared" si="392"/>
        <v>0.30023164904536126</v>
      </c>
      <c r="DP88" s="14">
        <f t="shared" si="392"/>
        <v>0.27925070528212886</v>
      </c>
      <c r="DQ88" s="14">
        <f t="shared" si="392"/>
        <v>0.26274618389034476</v>
      </c>
      <c r="DR88" s="14">
        <f t="shared" si="392"/>
        <v>0.26966002875436862</v>
      </c>
      <c r="DS88" s="14">
        <f t="shared" si="392"/>
        <v>0.27470158500577718</v>
      </c>
      <c r="DT88" s="14">
        <f t="shared" si="392"/>
        <v>0.25846728762105547</v>
      </c>
      <c r="DU88" s="14">
        <f t="shared" si="392"/>
        <v>0.25143282773943654</v>
      </c>
      <c r="DV88" s="14">
        <f t="shared" si="392"/>
        <v>0.24548441026176004</v>
      </c>
      <c r="DW88" s="14">
        <f t="shared" si="392"/>
        <v>0.25265338620381322</v>
      </c>
      <c r="DX88" s="14">
        <f t="shared" si="392"/>
        <v>0.2629925813027218</v>
      </c>
      <c r="DY88" s="14">
        <f t="shared" si="392"/>
        <v>0.27261346357231114</v>
      </c>
      <c r="DZ88" s="14">
        <f t="shared" si="392"/>
        <v>0.27403509290553807</v>
      </c>
      <c r="EA88" s="14">
        <f t="shared" si="392"/>
        <v>0.27042163259024043</v>
      </c>
      <c r="EB88" s="14">
        <f t="shared" ref="EB88:FH88" si="393">SUM(EB85)/EB87</f>
        <v>0.25640564414646477</v>
      </c>
      <c r="EC88" s="14">
        <f t="shared" si="393"/>
        <v>0.24472897332401619</v>
      </c>
      <c r="ED88" s="14">
        <f t="shared" si="393"/>
        <v>0.24454270546087137</v>
      </c>
      <c r="EE88" s="14">
        <f t="shared" si="393"/>
        <v>0.25779136644168621</v>
      </c>
      <c r="EF88" s="14">
        <f t="shared" si="393"/>
        <v>0.24317976042329364</v>
      </c>
      <c r="EG88" s="14">
        <f t="shared" si="393"/>
        <v>0.2388100310053429</v>
      </c>
      <c r="EH88" s="14">
        <f t="shared" si="393"/>
        <v>0.22850496219263505</v>
      </c>
      <c r="EI88" s="14">
        <f t="shared" si="393"/>
        <v>0.22794553978197557</v>
      </c>
      <c r="EJ88" s="14">
        <f t="shared" si="393"/>
        <v>0.23787493391706957</v>
      </c>
      <c r="EK88" s="14">
        <f t="shared" si="393"/>
        <v>0.25203620170544666</v>
      </c>
      <c r="EL88" s="14">
        <f t="shared" si="393"/>
        <v>0.25210242277940148</v>
      </c>
      <c r="EM88" s="14">
        <f t="shared" si="393"/>
        <v>0.25123586573330758</v>
      </c>
      <c r="EN88" s="14">
        <f t="shared" si="393"/>
        <v>0.23899069215175717</v>
      </c>
      <c r="EO88" s="14">
        <f t="shared" si="393"/>
        <v>0.21965348906105575</v>
      </c>
      <c r="EP88" s="14">
        <f t="shared" si="393"/>
        <v>0.22989201186971181</v>
      </c>
      <c r="EQ88" s="14">
        <f t="shared" si="393"/>
        <v>0.24132408030647831</v>
      </c>
      <c r="ER88" s="14">
        <f t="shared" si="393"/>
        <v>0.2341778126494542</v>
      </c>
      <c r="ES88" s="14">
        <f t="shared" si="393"/>
        <v>0.22758145184980691</v>
      </c>
      <c r="ET88" s="14">
        <f t="shared" si="393"/>
        <v>0.21087428886871573</v>
      </c>
      <c r="EU88" s="14">
        <f t="shared" si="393"/>
        <v>0.21647794040729901</v>
      </c>
      <c r="EV88" s="14">
        <f t="shared" si="393"/>
        <v>0.22447071703191257</v>
      </c>
      <c r="EW88" s="14">
        <f t="shared" si="393"/>
        <v>0.23419969729541537</v>
      </c>
      <c r="EX88" s="14">
        <f t="shared" si="393"/>
        <v>0.23463605457369172</v>
      </c>
      <c r="EY88" s="14">
        <f t="shared" si="393"/>
        <v>0.23341216989030614</v>
      </c>
      <c r="EZ88" s="14">
        <f t="shared" si="393"/>
        <v>0.21919757592599379</v>
      </c>
      <c r="FA88" s="14">
        <f t="shared" si="393"/>
        <v>0.21163993045056087</v>
      </c>
      <c r="FB88" s="14">
        <f t="shared" si="393"/>
        <v>0.20762742309760193</v>
      </c>
      <c r="FC88" s="14">
        <f t="shared" si="393"/>
        <v>0.22171097659172656</v>
      </c>
      <c r="FD88" s="14">
        <f t="shared" si="393"/>
        <v>0.22384673966572424</v>
      </c>
      <c r="FE88" s="14">
        <f t="shared" si="393"/>
        <v>0.21958877802456805</v>
      </c>
      <c r="FF88" s="14">
        <f t="shared" si="393"/>
        <v>0.20420942668720221</v>
      </c>
      <c r="FG88" s="14">
        <f t="shared" si="393"/>
        <v>0.20453190311838673</v>
      </c>
      <c r="FH88" s="14">
        <f t="shared" si="393"/>
        <v>0.21272206306367031</v>
      </c>
      <c r="FI88" s="14">
        <f t="shared" ref="FI88:FT88" si="394">SUM(FI85)/FI87</f>
        <v>0.2266644894813617</v>
      </c>
      <c r="FJ88" s="14">
        <f t="shared" si="394"/>
        <v>0.23334604724824523</v>
      </c>
      <c r="FK88" s="14">
        <f t="shared" si="394"/>
        <v>0.22817694192841037</v>
      </c>
      <c r="FL88" s="14">
        <f t="shared" si="394"/>
        <v>0.21359718632325689</v>
      </c>
      <c r="FM88" s="14">
        <f t="shared" si="394"/>
        <v>0.19872295305360349</v>
      </c>
      <c r="FN88" s="14">
        <f t="shared" si="394"/>
        <v>0.20043190766325786</v>
      </c>
      <c r="FO88" s="14">
        <f t="shared" si="394"/>
        <v>0.20882756791671359</v>
      </c>
      <c r="FP88" s="14">
        <f t="shared" si="394"/>
        <v>0.20609193133578785</v>
      </c>
      <c r="FQ88" s="14">
        <f t="shared" si="394"/>
        <v>0.19113009297635403</v>
      </c>
      <c r="FR88" s="14">
        <f t="shared" si="394"/>
        <v>0.19033699116509487</v>
      </c>
      <c r="FS88" s="14">
        <f t="shared" si="394"/>
        <v>0.19178095185394464</v>
      </c>
      <c r="FT88" s="14">
        <f t="shared" si="394"/>
        <v>0.20178385030480794</v>
      </c>
    </row>
    <row r="89" spans="2:176" ht="13.8" thickBot="1" x14ac:dyDescent="0.3">
      <c r="B89" s="4" t="s">
        <v>11</v>
      </c>
      <c r="C89" s="79">
        <f t="shared" ref="C89:Q89" si="395">SUM(C86/C87)</f>
        <v>3.2376010619134567E-2</v>
      </c>
      <c r="D89" s="15">
        <f t="shared" si="395"/>
        <v>0.12995942761842563</v>
      </c>
      <c r="E89" s="15">
        <f t="shared" si="395"/>
        <v>0.21485301764879952</v>
      </c>
      <c r="F89" s="15">
        <f t="shared" si="395"/>
        <v>0.20696300124984052</v>
      </c>
      <c r="G89" s="15">
        <f t="shared" si="395"/>
        <v>0.2018195304924493</v>
      </c>
      <c r="H89" s="15">
        <f t="shared" si="395"/>
        <v>0.23914272376751905</v>
      </c>
      <c r="I89" s="15">
        <f t="shared" si="395"/>
        <v>0.27155898807610795</v>
      </c>
      <c r="J89" s="15">
        <f t="shared" si="395"/>
        <v>0.21425895468146608</v>
      </c>
      <c r="K89" s="15">
        <f t="shared" si="395"/>
        <v>0.25548530203170616</v>
      </c>
      <c r="L89" s="15">
        <f t="shared" si="395"/>
        <v>0.29280592218523938</v>
      </c>
      <c r="M89" s="15">
        <f t="shared" si="395"/>
        <v>0.32297914435128589</v>
      </c>
      <c r="N89" s="15">
        <f t="shared" si="395"/>
        <v>0.30034454128295834</v>
      </c>
      <c r="O89" s="137">
        <f t="shared" si="395"/>
        <v>0.2832145939177878</v>
      </c>
      <c r="P89" s="15">
        <f t="shared" si="395"/>
        <v>0.29612703331241275</v>
      </c>
      <c r="Q89" s="15">
        <f t="shared" si="395"/>
        <v>0.31383944374665446</v>
      </c>
      <c r="R89" s="15">
        <f t="shared" ref="R89:W89" si="396">SUM(R86/R87)</f>
        <v>0.33776124487709519</v>
      </c>
      <c r="S89" s="15">
        <f t="shared" si="396"/>
        <v>0.33749922420816086</v>
      </c>
      <c r="T89" s="15">
        <f t="shared" si="396"/>
        <v>0.31657315461551733</v>
      </c>
      <c r="U89" s="15">
        <f t="shared" si="396"/>
        <v>0.31182275381082086</v>
      </c>
      <c r="V89" s="15">
        <f t="shared" si="396"/>
        <v>0.3147433491709607</v>
      </c>
      <c r="W89" s="15">
        <f t="shared" si="396"/>
        <v>0.32913176837984987</v>
      </c>
      <c r="X89" s="15">
        <f t="shared" ref="X89:AC89" si="397">SUM(X86/X87)</f>
        <v>0.3617454041874989</v>
      </c>
      <c r="Y89" s="15">
        <f t="shared" si="397"/>
        <v>0.38766039916373779</v>
      </c>
      <c r="Z89" s="151">
        <f t="shared" si="397"/>
        <v>0.39339414528842109</v>
      </c>
      <c r="AA89" s="137">
        <f t="shared" si="397"/>
        <v>0.38502203475074187</v>
      </c>
      <c r="AB89" s="15">
        <f t="shared" si="397"/>
        <v>0.39278936659878594</v>
      </c>
      <c r="AC89" s="15">
        <f t="shared" si="397"/>
        <v>0.40171794144702222</v>
      </c>
      <c r="AD89" s="15">
        <f t="shared" ref="AD89:AI89" si="398">SUM(AD86/AD87)</f>
        <v>0.43291963168092867</v>
      </c>
      <c r="AE89" s="15">
        <f t="shared" si="398"/>
        <v>0.42775345674306753</v>
      </c>
      <c r="AF89" s="15">
        <f t="shared" si="398"/>
        <v>0.41931423594841938</v>
      </c>
      <c r="AG89" s="15">
        <f t="shared" si="398"/>
        <v>0.41225618203644804</v>
      </c>
      <c r="AH89" s="15">
        <f t="shared" si="398"/>
        <v>0.4193763788699526</v>
      </c>
      <c r="AI89" s="15">
        <f t="shared" si="398"/>
        <v>0.43310133756197644</v>
      </c>
      <c r="AJ89" s="15">
        <f t="shared" ref="AJ89:AO89" si="399">SUM(AJ86/AJ87)</f>
        <v>0.4599763638114151</v>
      </c>
      <c r="AK89" s="15">
        <f t="shared" si="399"/>
        <v>0.47724169340123462</v>
      </c>
      <c r="AL89" s="151">
        <f t="shared" si="399"/>
        <v>0.48916408806858258</v>
      </c>
      <c r="AM89" s="15">
        <f t="shared" si="399"/>
        <v>0.46842241120037381</v>
      </c>
      <c r="AN89" s="15">
        <f t="shared" si="399"/>
        <v>0.48169724060296343</v>
      </c>
      <c r="AO89" s="15">
        <f t="shared" si="399"/>
        <v>0.51985928167280049</v>
      </c>
      <c r="AP89" s="15">
        <f t="shared" ref="AP89:AU89" si="400">SUM(AP86/AP87)</f>
        <v>0.52669949985712228</v>
      </c>
      <c r="AQ89" s="15">
        <f t="shared" si="400"/>
        <v>0.52621347190698498</v>
      </c>
      <c r="AR89" s="15">
        <f t="shared" si="400"/>
        <v>0.50788113066064788</v>
      </c>
      <c r="AS89" s="15">
        <f t="shared" si="400"/>
        <v>0.49037735532966448</v>
      </c>
      <c r="AT89" s="15">
        <f t="shared" si="400"/>
        <v>0.50618218818183947</v>
      </c>
      <c r="AU89" s="15">
        <f t="shared" si="400"/>
        <v>0.51363388113298358</v>
      </c>
      <c r="AV89" s="15">
        <f>SUM(AV86/AV87)</f>
        <v>0.52915506851140282</v>
      </c>
      <c r="AW89" s="15">
        <f>SUM(AW86/AW87)</f>
        <v>0.56685468004782624</v>
      </c>
      <c r="AX89" s="24">
        <f>SUM(AX86/AX87)</f>
        <v>0.56029200592049899</v>
      </c>
      <c r="AY89" s="15">
        <f t="shared" ref="AY89:BG89" si="401">SUM(AY86/AY87)</f>
        <v>0.55179274988683702</v>
      </c>
      <c r="AZ89" s="15">
        <f t="shared" si="401"/>
        <v>0.55932966302291975</v>
      </c>
      <c r="BA89" s="15">
        <f t="shared" si="401"/>
        <v>0.57913269081067476</v>
      </c>
      <c r="BB89" s="15">
        <f t="shared" si="401"/>
        <v>0.58326427649931256</v>
      </c>
      <c r="BC89" s="15">
        <f t="shared" si="401"/>
        <v>0.57703889289345711</v>
      </c>
      <c r="BD89" s="15">
        <f t="shared" si="401"/>
        <v>0.56106062488954433</v>
      </c>
      <c r="BE89" s="15">
        <f t="shared" si="401"/>
        <v>0.55115371688893455</v>
      </c>
      <c r="BF89" s="15">
        <f t="shared" si="401"/>
        <v>0.54719042137284912</v>
      </c>
      <c r="BG89" s="15">
        <f t="shared" si="401"/>
        <v>0.55779015316056624</v>
      </c>
      <c r="BH89" s="15">
        <f t="shared" ref="BH89:BM89" si="402">SUM(BH86/BH87)</f>
        <v>0.59043312439216167</v>
      </c>
      <c r="BI89" s="15">
        <f t="shared" si="402"/>
        <v>0.60866312329663852</v>
      </c>
      <c r="BJ89" s="24">
        <f t="shared" si="402"/>
        <v>0.60192315271138819</v>
      </c>
      <c r="BK89" s="15">
        <f t="shared" si="402"/>
        <v>0.58340498960965548</v>
      </c>
      <c r="BL89" s="15">
        <f t="shared" si="402"/>
        <v>0.5814285915980667</v>
      </c>
      <c r="BM89" s="15">
        <f t="shared" si="402"/>
        <v>0.60404414195501621</v>
      </c>
      <c r="BN89" s="15">
        <f t="shared" ref="BN89:BS89" si="403">SUM(BN86/BN87)</f>
        <v>0.62289003887740146</v>
      </c>
      <c r="BO89" s="15">
        <f t="shared" si="403"/>
        <v>0.62645023901885699</v>
      </c>
      <c r="BP89" s="15">
        <f t="shared" si="403"/>
        <v>0.61109662014740773</v>
      </c>
      <c r="BQ89" s="15">
        <f t="shared" si="403"/>
        <v>0.59940016306195265</v>
      </c>
      <c r="BR89" s="15">
        <f t="shared" si="403"/>
        <v>0.59440406663830192</v>
      </c>
      <c r="BS89" s="15">
        <f t="shared" si="403"/>
        <v>0.59200643666086605</v>
      </c>
      <c r="BT89" s="15">
        <f>SUM(BT86/BT87)</f>
        <v>0.60515771292847909</v>
      </c>
      <c r="BU89" s="15">
        <f>SUM(BU86/BU87)</f>
        <v>0.62843206091658355</v>
      </c>
      <c r="BV89" s="24">
        <f>SUM(BV86/BV87)</f>
        <v>0.62760264855574632</v>
      </c>
      <c r="BW89" s="15">
        <f t="shared" ref="BW89:CB89" si="404">SUM(BW86/BW87)</f>
        <v>0.61172895327057952</v>
      </c>
      <c r="BX89" s="15">
        <f t="shared" si="404"/>
        <v>0.6111747622252689</v>
      </c>
      <c r="BY89" s="15">
        <f t="shared" si="404"/>
        <v>0.62684367765946947</v>
      </c>
      <c r="BZ89" s="15">
        <f t="shared" si="404"/>
        <v>0.64104370416753498</v>
      </c>
      <c r="CA89" s="15">
        <f t="shared" si="404"/>
        <v>0.64245350245449473</v>
      </c>
      <c r="CB89" s="15">
        <f t="shared" si="404"/>
        <v>0.6145418999540847</v>
      </c>
      <c r="CC89" s="15">
        <f>SUM(CC86/CC87)</f>
        <v>0.61018564080972049</v>
      </c>
      <c r="CD89" s="15">
        <f>SUM(CD86/CD87)</f>
        <v>0.6166863906698915</v>
      </c>
      <c r="CE89" s="15">
        <f>SUM(CE86/CE87)</f>
        <v>0.61919756200720089</v>
      </c>
      <c r="CF89" s="15">
        <f t="shared" ref="CF89:CQ89" si="405">SUM(CF86/CF87)</f>
        <v>0.64926198271605218</v>
      </c>
      <c r="CG89" s="15">
        <f t="shared" si="405"/>
        <v>0.65404387358803506</v>
      </c>
      <c r="CH89" s="15">
        <f t="shared" si="405"/>
        <v>0.65295496707337519</v>
      </c>
      <c r="CI89" s="79">
        <f t="shared" si="405"/>
        <v>0.63730772965117155</v>
      </c>
      <c r="CJ89" s="15">
        <f t="shared" si="405"/>
        <v>0.64320108349615246</v>
      </c>
      <c r="CK89" s="15">
        <f t="shared" si="405"/>
        <v>0.65786702752335291</v>
      </c>
      <c r="CL89" s="15">
        <f t="shared" si="405"/>
        <v>0.6608314531188666</v>
      </c>
      <c r="CM89" s="15">
        <f t="shared" si="405"/>
        <v>0.66162496118045444</v>
      </c>
      <c r="CN89" s="15">
        <f t="shared" si="405"/>
        <v>0.64937253660219851</v>
      </c>
      <c r="CO89" s="15">
        <f t="shared" si="405"/>
        <v>0.63553031055722387</v>
      </c>
      <c r="CP89" s="15">
        <f t="shared" si="405"/>
        <v>0.63875103000908573</v>
      </c>
      <c r="CQ89" s="15">
        <f t="shared" si="405"/>
        <v>0.64840798138126887</v>
      </c>
      <c r="CR89" s="15">
        <f t="shared" ref="CR89:EA89" si="406">SUM(CR86/CR87)</f>
        <v>0.67118799969440046</v>
      </c>
      <c r="CS89" s="15">
        <f t="shared" si="406"/>
        <v>0.68944269352782306</v>
      </c>
      <c r="CT89" s="24">
        <f t="shared" si="406"/>
        <v>0.68210406282549385</v>
      </c>
      <c r="CU89" s="15">
        <f t="shared" si="406"/>
        <v>0.65242161639883811</v>
      </c>
      <c r="CV89" s="15">
        <f t="shared" si="406"/>
        <v>0.66777079644616177</v>
      </c>
      <c r="CW89" s="15">
        <f t="shared" si="406"/>
        <v>0.67640217185737872</v>
      </c>
      <c r="CX89" s="15">
        <f t="shared" si="406"/>
        <v>0.6989598700860542</v>
      </c>
      <c r="CY89" s="15">
        <f t="shared" si="406"/>
        <v>0.70706545911042518</v>
      </c>
      <c r="CZ89" s="15">
        <f t="shared" si="406"/>
        <v>0.67972604657301905</v>
      </c>
      <c r="DA89" s="15">
        <f t="shared" si="406"/>
        <v>0.671645204084512</v>
      </c>
      <c r="DB89" s="15">
        <f t="shared" si="406"/>
        <v>0.67170185714667774</v>
      </c>
      <c r="DC89" s="15">
        <f t="shared" si="406"/>
        <v>0.67670725156057909</v>
      </c>
      <c r="DD89" s="15">
        <f t="shared" si="406"/>
        <v>0.69262259208591792</v>
      </c>
      <c r="DE89" s="15">
        <f t="shared" si="406"/>
        <v>0.71403423337666383</v>
      </c>
      <c r="DF89" s="24">
        <f t="shared" si="406"/>
        <v>0.71114362705576983</v>
      </c>
      <c r="DG89" s="15">
        <f t="shared" si="406"/>
        <v>0.6937586920039811</v>
      </c>
      <c r="DH89" s="15">
        <f t="shared" si="406"/>
        <v>0.69521006121518547</v>
      </c>
      <c r="DI89" s="15">
        <f t="shared" si="406"/>
        <v>0.71461676260212204</v>
      </c>
      <c r="DJ89" s="15">
        <f t="shared" si="406"/>
        <v>0.72550333722292037</v>
      </c>
      <c r="DK89" s="15">
        <f t="shared" si="406"/>
        <v>0.72470912492753348</v>
      </c>
      <c r="DL89" s="15">
        <f t="shared" si="406"/>
        <v>0.71006774112712057</v>
      </c>
      <c r="DM89" s="15">
        <f t="shared" si="406"/>
        <v>0.69338141477704607</v>
      </c>
      <c r="DN89" s="15">
        <f t="shared" si="406"/>
        <v>0.69242368079426053</v>
      </c>
      <c r="DO89" s="15">
        <f t="shared" si="406"/>
        <v>0.69976835095463885</v>
      </c>
      <c r="DP89" s="15">
        <f t="shared" si="406"/>
        <v>0.72074929471787097</v>
      </c>
      <c r="DQ89" s="15">
        <f t="shared" si="406"/>
        <v>0.73725381610965524</v>
      </c>
      <c r="DR89" s="15">
        <f t="shared" si="406"/>
        <v>0.73033997124563133</v>
      </c>
      <c r="DS89" s="15">
        <f t="shared" si="406"/>
        <v>0.72529841499422276</v>
      </c>
      <c r="DT89" s="15">
        <f t="shared" si="406"/>
        <v>0.74153271237894458</v>
      </c>
      <c r="DU89" s="15">
        <f t="shared" si="406"/>
        <v>0.74856717226056346</v>
      </c>
      <c r="DV89" s="15">
        <f t="shared" si="406"/>
        <v>0.75451558973823996</v>
      </c>
      <c r="DW89" s="15">
        <f t="shared" si="406"/>
        <v>0.74734661379618672</v>
      </c>
      <c r="DX89" s="15">
        <f t="shared" si="406"/>
        <v>0.73700741869727826</v>
      </c>
      <c r="DY89" s="15">
        <f t="shared" si="406"/>
        <v>0.72738653642768891</v>
      </c>
      <c r="DZ89" s="15">
        <f t="shared" si="406"/>
        <v>0.72596490709446182</v>
      </c>
      <c r="EA89" s="15">
        <f t="shared" si="406"/>
        <v>0.72957836740975957</v>
      </c>
      <c r="EB89" s="15">
        <f t="shared" ref="EB89:FH89" si="407">SUM(EB86/EB87)</f>
        <v>0.74359435585353517</v>
      </c>
      <c r="EC89" s="15">
        <f t="shared" si="407"/>
        <v>0.75527102667598389</v>
      </c>
      <c r="ED89" s="15">
        <f t="shared" si="407"/>
        <v>0.75545729453912869</v>
      </c>
      <c r="EE89" s="15">
        <f t="shared" si="407"/>
        <v>0.74220863355831379</v>
      </c>
      <c r="EF89" s="15">
        <f t="shared" si="407"/>
        <v>0.75682023957670641</v>
      </c>
      <c r="EG89" s="15">
        <f t="shared" si="407"/>
        <v>0.76118996899465707</v>
      </c>
      <c r="EH89" s="15">
        <f t="shared" si="407"/>
        <v>0.77149503780736495</v>
      </c>
      <c r="EI89" s="15">
        <f t="shared" si="407"/>
        <v>0.77205446021802449</v>
      </c>
      <c r="EJ89" s="15">
        <f t="shared" si="407"/>
        <v>0.76212506608293051</v>
      </c>
      <c r="EK89" s="15">
        <f t="shared" si="407"/>
        <v>0.74796379829455328</v>
      </c>
      <c r="EL89" s="15">
        <f t="shared" si="407"/>
        <v>0.74789757722059858</v>
      </c>
      <c r="EM89" s="15">
        <f t="shared" si="407"/>
        <v>0.7487641342666923</v>
      </c>
      <c r="EN89" s="15">
        <f t="shared" si="407"/>
        <v>0.76100930784824283</v>
      </c>
      <c r="EO89" s="15">
        <f t="shared" si="407"/>
        <v>0.78034651093894436</v>
      </c>
      <c r="EP89" s="15">
        <f t="shared" si="407"/>
        <v>0.77010798813028825</v>
      </c>
      <c r="EQ89" s="15">
        <f t="shared" si="407"/>
        <v>0.75867591969352166</v>
      </c>
      <c r="ER89" s="15">
        <f t="shared" si="407"/>
        <v>0.76582218735054586</v>
      </c>
      <c r="ES89" s="15">
        <f t="shared" si="407"/>
        <v>0.77241854815019317</v>
      </c>
      <c r="ET89" s="15">
        <f t="shared" si="407"/>
        <v>0.78912571113128427</v>
      </c>
      <c r="EU89" s="15">
        <f t="shared" si="407"/>
        <v>0.78352205959270094</v>
      </c>
      <c r="EV89" s="15">
        <f t="shared" si="407"/>
        <v>0.77552928296808754</v>
      </c>
      <c r="EW89" s="15">
        <f t="shared" si="407"/>
        <v>0.76580030270458466</v>
      </c>
      <c r="EX89" s="15">
        <f t="shared" si="407"/>
        <v>0.76536394542630837</v>
      </c>
      <c r="EY89" s="15">
        <f t="shared" si="407"/>
        <v>0.76658783010969378</v>
      </c>
      <c r="EZ89" s="15">
        <f t="shared" si="407"/>
        <v>0.78080242407400635</v>
      </c>
      <c r="FA89" s="15">
        <f t="shared" si="407"/>
        <v>0.78836006954943905</v>
      </c>
      <c r="FB89" s="15">
        <f t="shared" si="407"/>
        <v>0.79237257690239793</v>
      </c>
      <c r="FC89" s="15">
        <f t="shared" si="407"/>
        <v>0.77828902340827344</v>
      </c>
      <c r="FD89" s="15">
        <f t="shared" si="407"/>
        <v>0.77615326033427579</v>
      </c>
      <c r="FE89" s="15">
        <f t="shared" si="407"/>
        <v>0.78041122197543189</v>
      </c>
      <c r="FF89" s="15">
        <f t="shared" si="407"/>
        <v>0.79579057331279779</v>
      </c>
      <c r="FG89" s="15">
        <f t="shared" si="407"/>
        <v>0.79546809688161335</v>
      </c>
      <c r="FH89" s="15">
        <f t="shared" si="407"/>
        <v>0.78727793693632964</v>
      </c>
      <c r="FI89" s="15">
        <f t="shared" ref="FI89:FT89" si="408">SUM(FI86/FI87)</f>
        <v>0.77333551051863825</v>
      </c>
      <c r="FJ89" s="15">
        <f t="shared" si="408"/>
        <v>0.76665395275175463</v>
      </c>
      <c r="FK89" s="15">
        <f t="shared" si="408"/>
        <v>0.77182305807158968</v>
      </c>
      <c r="FL89" s="15">
        <f t="shared" si="408"/>
        <v>0.78640281367674314</v>
      </c>
      <c r="FM89" s="15">
        <f t="shared" si="408"/>
        <v>0.80127704694639657</v>
      </c>
      <c r="FN89" s="15">
        <f t="shared" si="408"/>
        <v>0.7995680923367422</v>
      </c>
      <c r="FO89" s="15">
        <f t="shared" si="408"/>
        <v>0.79117243208328636</v>
      </c>
      <c r="FP89" s="15">
        <f t="shared" si="408"/>
        <v>0.79390806866421215</v>
      </c>
      <c r="FQ89" s="15">
        <f t="shared" si="408"/>
        <v>0.80886990702364592</v>
      </c>
      <c r="FR89" s="15">
        <f t="shared" si="408"/>
        <v>0.80966300883490516</v>
      </c>
      <c r="FS89" s="15">
        <f t="shared" si="408"/>
        <v>0.80821904814605539</v>
      </c>
      <c r="FT89" s="15">
        <f t="shared" si="408"/>
        <v>0.79821614969519206</v>
      </c>
    </row>
    <row r="91" spans="2:176" x14ac:dyDescent="0.25">
      <c r="R91" s="69"/>
    </row>
    <row r="93" spans="2:176" x14ac:dyDescent="0.25">
      <c r="B93" s="1" t="s">
        <v>45</v>
      </c>
      <c r="C93" s="186">
        <f>Oncor!C87/TOTAL!C87</f>
        <v>0.48048587496063705</v>
      </c>
    </row>
    <row r="94" spans="2:176" x14ac:dyDescent="0.25">
      <c r="B94" s="1" t="s">
        <v>83</v>
      </c>
      <c r="C94" s="186">
        <f>Centerpoint!C87/TOTAL!C87</f>
        <v>0.33477238793155073</v>
      </c>
    </row>
    <row r="95" spans="2:176" x14ac:dyDescent="0.25">
      <c r="B95" s="1" t="s">
        <v>24</v>
      </c>
      <c r="C95" s="186">
        <f>'AEP Central'!C87/TOTAL!C87</f>
        <v>0.10339226362908317</v>
      </c>
    </row>
    <row r="96" spans="2:176" x14ac:dyDescent="0.25">
      <c r="B96" s="1" t="s">
        <v>25</v>
      </c>
      <c r="C96" s="186">
        <f>'AEP North'!C87/TOTAL!C87</f>
        <v>2.7914541108898242E-2</v>
      </c>
    </row>
    <row r="97" spans="2:92" x14ac:dyDescent="0.25">
      <c r="B97" s="1" t="s">
        <v>0</v>
      </c>
      <c r="C97" s="186">
        <f>TNMP!C87/TOTAL!C87</f>
        <v>5.3434932369830983E-2</v>
      </c>
    </row>
    <row r="98" spans="2:92" x14ac:dyDescent="0.25">
      <c r="C98" s="187">
        <f>SUM(C93:C97)</f>
        <v>1.0000000000000002</v>
      </c>
      <c r="CN98" s="6">
        <f>SUM(CC87:CN87)</f>
        <v>211566624.38800001</v>
      </c>
    </row>
    <row r="100" spans="2:92" x14ac:dyDescent="0.25">
      <c r="C100" s="2" t="s">
        <v>60</v>
      </c>
      <c r="D100" s="2" t="s">
        <v>84</v>
      </c>
      <c r="E100" s="2" t="s">
        <v>85</v>
      </c>
    </row>
    <row r="101" spans="2:92" x14ac:dyDescent="0.25">
      <c r="B101" s="1" t="s">
        <v>45</v>
      </c>
      <c r="C101" s="186">
        <f>Oncor!C53/TOTAL!C53</f>
        <v>0.51186969346426103</v>
      </c>
      <c r="D101" s="188">
        <f>Oncor!C10/TOTAL!C10</f>
        <v>0.49199163862365286</v>
      </c>
      <c r="E101" s="120">
        <f>Oncor!C10</f>
        <v>1986001</v>
      </c>
    </row>
    <row r="102" spans="2:92" x14ac:dyDescent="0.25">
      <c r="B102" s="1" t="s">
        <v>83</v>
      </c>
      <c r="C102" s="186">
        <f>Centerpoint!C53/TOTAL!C53</f>
        <v>0.30795443972455988</v>
      </c>
      <c r="D102" s="186">
        <f>Centerpoint!C10/TOTAL!C10</f>
        <v>0.29349887629760874</v>
      </c>
      <c r="E102" s="120">
        <f>Centerpoint!C10</f>
        <v>1184754</v>
      </c>
    </row>
    <row r="103" spans="2:92" x14ac:dyDescent="0.25">
      <c r="B103" s="1" t="s">
        <v>24</v>
      </c>
      <c r="C103" s="186">
        <f>'AEP Central'!C53/TOTAL!C53</f>
        <v>0.11001612701729056</v>
      </c>
      <c r="D103" s="186">
        <f>'AEP Central'!C10/TOTAL!C10</f>
        <v>0.13882233214819395</v>
      </c>
      <c r="E103" s="120">
        <f>'AEP Central'!C10</f>
        <v>560378</v>
      </c>
    </row>
    <row r="104" spans="2:92" x14ac:dyDescent="0.25">
      <c r="B104" s="1" t="s">
        <v>25</v>
      </c>
      <c r="C104" s="186">
        <f>'AEP North'!C53/TOTAL!C53</f>
        <v>2.8119391142812086E-2</v>
      </c>
      <c r="D104" s="186">
        <f>'AEP North'!C10/TOTAL!C10</f>
        <v>3.5058474142953967E-2</v>
      </c>
      <c r="E104" s="120">
        <f>'AEP North'!C10</f>
        <v>141519</v>
      </c>
    </row>
    <row r="105" spans="2:92" x14ac:dyDescent="0.25">
      <c r="B105" s="1" t="s">
        <v>0</v>
      </c>
      <c r="C105" s="186">
        <f>TNMP!C53/TOTAL!C53</f>
        <v>4.2040348651076483E-2</v>
      </c>
      <c r="D105" s="186">
        <f>TNMP!C10/TOTAL!C10</f>
        <v>4.0628678787590522E-2</v>
      </c>
      <c r="E105" s="120">
        <f>TNMP!C10</f>
        <v>164004</v>
      </c>
    </row>
    <row r="106" spans="2:92" x14ac:dyDescent="0.25">
      <c r="C106" s="186">
        <f>SUM(C101:C105)</f>
        <v>1</v>
      </c>
      <c r="D106" s="186">
        <f>SUM(D101:D105)</f>
        <v>1</v>
      </c>
      <c r="E106" s="120">
        <f>SUM(E101:E105)</f>
        <v>4036656</v>
      </c>
    </row>
    <row r="108" spans="2:92" x14ac:dyDescent="0.25">
      <c r="E108" s="2">
        <f>1658000/5300000</f>
        <v>0.31283018867924528</v>
      </c>
    </row>
  </sheetData>
  <mergeCells count="90">
    <mergeCell ref="EQ47:FB47"/>
    <mergeCell ref="EQ2:FB2"/>
    <mergeCell ref="EQ3:FB3"/>
    <mergeCell ref="EQ4:FB4"/>
    <mergeCell ref="EQ45:FB45"/>
    <mergeCell ref="EQ46:FB46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BW47:CH47"/>
    <mergeCell ref="C2:N2"/>
    <mergeCell ref="O2:Z2"/>
    <mergeCell ref="AA2:AL2"/>
    <mergeCell ref="AM2:AX2"/>
    <mergeCell ref="AM3:AX3"/>
    <mergeCell ref="C4:N4"/>
    <mergeCell ref="O4:Z4"/>
    <mergeCell ref="AA4:AL4"/>
    <mergeCell ref="AM4:AX4"/>
    <mergeCell ref="C3:N3"/>
    <mergeCell ref="O3:Z3"/>
    <mergeCell ref="AA3:AL3"/>
    <mergeCell ref="C45:N45"/>
    <mergeCell ref="O45:Z45"/>
    <mergeCell ref="C47:N47"/>
    <mergeCell ref="BW46:CH46"/>
    <mergeCell ref="BK2:BV2"/>
    <mergeCell ref="BK3:BV3"/>
    <mergeCell ref="BW2:CH2"/>
    <mergeCell ref="BW3:CH3"/>
    <mergeCell ref="BK45:BV45"/>
    <mergeCell ref="BW45:CH45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FO2:FZ2"/>
    <mergeCell ref="FO3:FZ3"/>
    <mergeCell ref="FO4:FZ4"/>
    <mergeCell ref="FC47:FN47"/>
    <mergeCell ref="FC2:FN2"/>
    <mergeCell ref="FC3:FN3"/>
    <mergeCell ref="FC4:FN4"/>
    <mergeCell ref="FC45:FN45"/>
    <mergeCell ref="FC46:FN46"/>
    <mergeCell ref="FO45:FZ45"/>
    <mergeCell ref="FO46:FZ46"/>
    <mergeCell ref="FO47:FZ47"/>
  </mergeCells>
  <phoneticPr fontId="7" type="noConversion"/>
  <pageMargins left="0.75" right="0.75" top="1" bottom="1" header="0.5" footer="0.5"/>
  <pageSetup scale="75" fitToWidth="2" fitToHeight="2" orientation="landscape" r:id="rId1"/>
  <headerFooter alignWithMargins="0">
    <oddHeader>&amp;CMarket Share</oddHeader>
  </headerFooter>
  <rowBreaks count="1" manualBreakCount="1">
    <brk id="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16"/>
  <sheetViews>
    <sheetView workbookViewId="0">
      <selection activeCell="K19" sqref="K19"/>
    </sheetView>
  </sheetViews>
  <sheetFormatPr defaultRowHeight="13.2" x14ac:dyDescent="0.25"/>
  <cols>
    <col min="1" max="1" width="10.33203125" customWidth="1"/>
    <col min="2" max="2" width="15" customWidth="1"/>
    <col min="3" max="3" width="9.33203125" bestFit="1" customWidth="1"/>
    <col min="4" max="4" width="10.6640625" bestFit="1" customWidth="1"/>
    <col min="5" max="5" width="11.6640625" customWidth="1"/>
    <col min="6" max="6" width="9.5546875" customWidth="1"/>
    <col min="9" max="9" width="16.88671875" customWidth="1"/>
  </cols>
  <sheetData>
    <row r="1" spans="1:17" s="2" customFormat="1" ht="17.399999999999999" x14ac:dyDescent="0.3">
      <c r="B1" s="70" t="s">
        <v>103</v>
      </c>
      <c r="C1" s="70"/>
      <c r="D1" s="70"/>
      <c r="E1" s="70"/>
      <c r="F1" s="70"/>
      <c r="G1" s="70"/>
      <c r="H1" s="70"/>
      <c r="I1" s="70"/>
    </row>
    <row r="2" spans="1:17" s="2" customFormat="1" x14ac:dyDescent="0.25"/>
    <row r="3" spans="1:17" s="2" customFormat="1" ht="13.8" x14ac:dyDescent="0.3">
      <c r="C3" s="339"/>
      <c r="D3" s="339"/>
      <c r="E3" s="339"/>
      <c r="F3" s="339"/>
      <c r="G3" s="339"/>
    </row>
    <row r="4" spans="1:17" s="2" customFormat="1" x14ac:dyDescent="0.25">
      <c r="C4" s="273" t="s">
        <v>86</v>
      </c>
      <c r="D4" s="302" t="s">
        <v>46</v>
      </c>
      <c r="E4" s="2" t="s">
        <v>74</v>
      </c>
      <c r="F4" s="2" t="s">
        <v>75</v>
      </c>
      <c r="G4" s="325" t="s">
        <v>64</v>
      </c>
      <c r="H4" s="302" t="s">
        <v>98</v>
      </c>
      <c r="I4" s="302" t="s">
        <v>99</v>
      </c>
      <c r="M4" s="45"/>
    </row>
    <row r="5" spans="1:17" s="2" customFormat="1" x14ac:dyDescent="0.25">
      <c r="A5" s="606" t="s">
        <v>61</v>
      </c>
      <c r="B5" s="44" t="s">
        <v>1</v>
      </c>
      <c r="C5" s="282">
        <v>0.3678118393781401</v>
      </c>
      <c r="D5" s="282">
        <v>0.34776107759517372</v>
      </c>
      <c r="E5" s="282">
        <v>0.21726334741361403</v>
      </c>
      <c r="F5" s="282">
        <v>0.23253765349511862</v>
      </c>
      <c r="G5" s="282">
        <v>0.16698726305794842</v>
      </c>
      <c r="H5" s="45">
        <v>0</v>
      </c>
      <c r="I5" s="45">
        <v>0</v>
      </c>
      <c r="J5" s="45"/>
      <c r="K5" s="45"/>
      <c r="L5" s="45"/>
      <c r="M5" s="45"/>
      <c r="N5" s="45"/>
    </row>
    <row r="6" spans="1:17" s="2" customFormat="1" ht="13.8" thickBot="1" x14ac:dyDescent="0.3">
      <c r="A6" s="606"/>
      <c r="B6" s="44" t="s">
        <v>8</v>
      </c>
      <c r="C6" s="354">
        <v>0.6321881606218599</v>
      </c>
      <c r="D6" s="354">
        <v>0.65223892240482628</v>
      </c>
      <c r="E6" s="354">
        <v>0.78273665258638603</v>
      </c>
      <c r="F6" s="354">
        <v>0.76746234650488143</v>
      </c>
      <c r="G6" s="354">
        <v>0.83301273694205158</v>
      </c>
      <c r="H6" s="15">
        <v>1</v>
      </c>
      <c r="I6" s="15">
        <v>1</v>
      </c>
      <c r="J6" s="45"/>
      <c r="K6" s="45"/>
      <c r="L6" s="45"/>
      <c r="M6" s="45"/>
      <c r="N6" s="45"/>
    </row>
    <row r="7" spans="1:17" x14ac:dyDescent="0.25">
      <c r="A7" s="575" t="s">
        <v>63</v>
      </c>
      <c r="B7" t="s">
        <v>1</v>
      </c>
      <c r="C7" s="282">
        <v>0.3623817878862885</v>
      </c>
      <c r="D7" s="282">
        <v>0.33320193901970524</v>
      </c>
      <c r="E7" s="282">
        <v>0.19725189490104256</v>
      </c>
      <c r="F7" s="282">
        <v>0.20134916537601102</v>
      </c>
      <c r="G7" s="282">
        <v>0.14223728126309088</v>
      </c>
      <c r="H7" s="559">
        <v>0</v>
      </c>
      <c r="I7" s="559">
        <v>0</v>
      </c>
      <c r="L7" s="383"/>
      <c r="M7" s="383"/>
      <c r="N7" s="383"/>
    </row>
    <row r="8" spans="1:17" ht="14.4" thickBot="1" x14ac:dyDescent="0.35">
      <c r="A8" s="575"/>
      <c r="B8" t="s">
        <v>8</v>
      </c>
      <c r="C8" s="354">
        <v>0.6376182121137115</v>
      </c>
      <c r="D8" s="354">
        <v>0.66679806098029459</v>
      </c>
      <c r="E8" s="354">
        <v>0.80274810509895744</v>
      </c>
      <c r="F8" s="354">
        <v>0.798650834623989</v>
      </c>
      <c r="G8" s="354">
        <v>0.85776271873690912</v>
      </c>
      <c r="H8" s="564">
        <v>1</v>
      </c>
      <c r="I8" s="564">
        <v>1</v>
      </c>
      <c r="L8" s="383"/>
    </row>
    <row r="9" spans="1:17" x14ac:dyDescent="0.25">
      <c r="M9" s="282"/>
      <c r="N9" s="282"/>
      <c r="O9" s="282"/>
      <c r="P9" s="282"/>
    </row>
    <row r="10" spans="1:17" x14ac:dyDescent="0.25">
      <c r="M10" s="282"/>
      <c r="N10" s="282"/>
      <c r="O10" s="282"/>
      <c r="P10" s="282"/>
    </row>
    <row r="11" spans="1:17" x14ac:dyDescent="0.25">
      <c r="M11" s="282"/>
      <c r="N11" s="282"/>
      <c r="O11" s="282"/>
      <c r="P11" s="282"/>
      <c r="Q11" s="356"/>
    </row>
    <row r="12" spans="1:17" x14ac:dyDescent="0.25">
      <c r="M12" s="356"/>
      <c r="N12" s="356"/>
      <c r="O12" s="356"/>
      <c r="P12" s="356"/>
      <c r="Q12" s="356"/>
    </row>
    <row r="13" spans="1:17" x14ac:dyDescent="0.25">
      <c r="M13" s="282"/>
      <c r="N13" s="282"/>
      <c r="O13" s="282"/>
      <c r="P13" s="282"/>
      <c r="Q13" s="282"/>
    </row>
    <row r="14" spans="1:17" x14ac:dyDescent="0.25">
      <c r="M14" s="356"/>
      <c r="N14" s="356"/>
      <c r="O14" s="356"/>
      <c r="P14" s="356"/>
      <c r="Q14" s="282"/>
    </row>
    <row r="15" spans="1:17" x14ac:dyDescent="0.25">
      <c r="M15" s="356"/>
      <c r="N15" s="356"/>
      <c r="O15" s="356"/>
      <c r="P15" s="356"/>
      <c r="Q15" s="282"/>
    </row>
    <row r="16" spans="1:17" x14ac:dyDescent="0.25">
      <c r="N16" s="282"/>
      <c r="O16" s="282"/>
      <c r="P16" s="282"/>
      <c r="Q16" s="282"/>
    </row>
  </sheetData>
  <mergeCells count="2">
    <mergeCell ref="A5:A6"/>
    <mergeCell ref="A7:A8"/>
  </mergeCells>
  <phoneticPr fontId="7" type="noConversion"/>
  <printOptions gridLines="1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29" baseType="lpstr">
      <vt:lpstr>Oncor</vt:lpstr>
      <vt:lpstr>Centerpoint</vt:lpstr>
      <vt:lpstr>AEP Central</vt:lpstr>
      <vt:lpstr>AEP North</vt:lpstr>
      <vt:lpstr>TNMP</vt:lpstr>
      <vt:lpstr>Sharyland Utilities LP </vt:lpstr>
      <vt:lpstr>Sharyland Utilities LP McAllen</vt:lpstr>
      <vt:lpstr>TOTAL</vt:lpstr>
      <vt:lpstr>Total Chart</vt:lpstr>
      <vt:lpstr>Prim&amp;Trans</vt:lpstr>
      <vt:lpstr>res # of cust</vt:lpstr>
      <vt:lpstr>res MWH</vt:lpstr>
      <vt:lpstr>non-res # of cust</vt:lpstr>
      <vt:lpstr>non-res MWH</vt:lpstr>
      <vt:lpstr>Sheet1</vt:lpstr>
      <vt:lpstr>NOT UPDATED - NON PTB AFF</vt:lpstr>
      <vt:lpstr>NOT UPDATED - SM COM</vt:lpstr>
      <vt:lpstr>Number of Res Cust w a C-REP</vt:lpstr>
      <vt:lpstr>Sheet2</vt:lpstr>
      <vt:lpstr>Sheet3</vt:lpstr>
      <vt:lpstr>Sheet4</vt:lpstr>
      <vt:lpstr>Sheet5</vt:lpstr>
      <vt:lpstr>Sheet6</vt:lpstr>
      <vt:lpstr>Sheet7</vt:lpstr>
      <vt:lpstr>Percentage by Class</vt:lpstr>
      <vt:lpstr>'AEP North'!Print_Area</vt:lpstr>
      <vt:lpstr>'NOT UPDATED - NON PTB AFF'!Print_Area</vt:lpstr>
      <vt:lpstr>Centerpoint!Print_Titles</vt:lpstr>
      <vt:lpstr>TOTAL!Print_Titles</vt:lpstr>
    </vt:vector>
  </TitlesOfParts>
  <Company>Public Utility Commission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Godines, Grace</dc:creator>
  <cp:lastModifiedBy>Godines, Grace</cp:lastModifiedBy>
  <cp:lastPrinted>2016-11-30T17:05:17Z</cp:lastPrinted>
  <dcterms:created xsi:type="dcterms:W3CDTF">2002-08-19T15:33:54Z</dcterms:created>
  <dcterms:modified xsi:type="dcterms:W3CDTF">2016-11-30T17:16:16Z</dcterms:modified>
</cp:coreProperties>
</file>